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tif" ContentType="image/tiff"/>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trlProps/ctrlProp4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6.xml" ContentType="application/vnd.ms-excel.controlproperties+xml"/>
  <Override PartName="/xl/ctrlProps/ctrlProp215.xml" ContentType="application/vnd.ms-excel.controlproperties+xml"/>
  <Override PartName="/xl/ctrlProps/ctrlProp220.xml" ContentType="application/vnd.ms-excel.controlproperties+xml"/>
  <Override PartName="/xl/comments8.xml" ContentType="application/vnd.openxmlformats-officedocument.spreadsheetml.comments+xml"/>
  <Override PartName="/xl/ctrlProps/ctrlProp219.xml" ContentType="application/vnd.ms-excel.controlproperties+xml"/>
  <Override PartName="/xl/ctrlProps/ctrlProp210.xml" ContentType="application/vnd.ms-excel.controlproperties+xml"/>
  <Override PartName="/xl/ctrlProps/ctrlProp213.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15.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4.xml" ContentType="application/vnd.ms-excel.controlproperties+xml"/>
  <Override PartName="/xl/ctrlProps/ctrlProp221.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27.xml" ContentType="application/vnd.ms-excel.controlproperties+xml"/>
  <Override PartName="/xl/ctrlProps/ctrlProp226.xml" ContentType="application/vnd.ms-excel.controlproperties+xml"/>
  <Override PartName="/xl/ctrlProps/ctrlProp225.xml" ContentType="application/vnd.ms-excel.controlproperties+xml"/>
  <Override PartName="/xl/ctrlProps/ctrlProp14.xml" ContentType="application/vnd.ms-excel.controlproperties+xml"/>
  <Override PartName="/xl/ctrlProps/ctrlProp13.xml" ContentType="application/vnd.ms-excel.controlproperties+xml"/>
  <Override PartName="/xl/ctrlProps/ctrlProp206.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omments9.xml" ContentType="application/vnd.openxmlformats-officedocument.spreadsheetml.comments+xml"/>
  <Override PartName="/xl/ctrlProps/ctrlProp201.xml" ContentType="application/vnd.ms-excel.controlproperties+xml"/>
  <Override PartName="/xl/ctrlProps/ctrlProp204.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78.xml" ContentType="application/vnd.ms-excel.controlproperties+xml"/>
  <Override PartName="/xl/ctrlProps/ctrlProp177.xml" ContentType="application/vnd.ms-excel.controlproperties+xml"/>
  <Override PartName="/xl/ctrlProps/ctrlProp176.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34.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197.xml" ContentType="application/vnd.ms-excel.controlproperties+xml"/>
  <Override PartName="/xl/ctrlProps/ctrlProp196.xml" ContentType="application/vnd.ms-excel.controlproperties+xml"/>
  <Override PartName="/xl/ctrlProps/ctrlProp195.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205.xml" ContentType="application/vnd.ms-excel.controlproperties+xml"/>
  <Override PartName="/xl/ctrlProps/ctrlProp239.xml" ContentType="application/vnd.ms-excel.controlproperties+xml"/>
  <Override PartName="/xl/ctrlProps/ctrlProp236.xml" ContentType="application/vnd.ms-excel.controlproperties+xml"/>
  <Override PartName="/xl/ctrlProps/ctrlProp8.xml" ContentType="application/vnd.ms-excel.controlproperties+xml"/>
  <Override PartName="/xl/ctrlProps/ctrlProp7.xml" ContentType="application/vnd.ms-excel.controlproperties+xml"/>
  <Override PartName="/xl/ctrlProps/ctrlProp6.xml" ContentType="application/vnd.ms-excel.controlproperties+xml"/>
  <Override PartName="/xl/ctrlProps/ctrlProp5.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omments10.xml" ContentType="application/vnd.openxmlformats-officedocument.spreadsheetml.comments+xml"/>
  <Override PartName="/xl/ctrlProps/ctrlProp12.xml" ContentType="application/vnd.ms-excel.controlproperties+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omments2.xml" ContentType="application/vnd.openxmlformats-officedocument.spreadsheetml.comments+xml"/>
  <Override PartName="/xl/ctrlProps/ctrlProp52.xml" ContentType="application/vnd.ms-excel.controlproperties+xml"/>
  <Override PartName="/xl/ctrlProps/ctrlProp51.xml" ContentType="application/vnd.ms-excel.controlproperties+xml"/>
  <Override PartName="/docProps/app.xml" ContentType="application/vnd.openxmlformats-officedocument.extended-properties+xml"/>
  <Override PartName="/xl/ctrlProps/ctrlProp48.xml" ContentType="application/vnd.ms-excel.controlproperties+xml"/>
  <Override PartName="/xl/ctrlProps/ctrlProp49.xml" ContentType="application/vnd.ms-excel.controlproperties+xml"/>
  <Override PartName="/xl/comments1.xml" ContentType="application/vnd.openxmlformats-officedocument.spreadsheetml.comments+xml"/>
  <Override PartName="/xl/ctrlProps/ctrlProp50.xml" ContentType="application/vnd.ms-excel.controlproperties+xml"/>
  <Override PartName="/xl/ctrlProps/ctrlProp272.xml" ContentType="application/vnd.ms-excel.controlproperties+xml"/>
  <Override PartName="/xl/ctrlProps/ctrlProp271.xml" ContentType="application/vnd.ms-excel.controlproperties+xml"/>
  <Override PartName="/xl/ctrlProps/ctrlProp270.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45.xml" ContentType="application/vnd.ms-excel.controlproperties+xml"/>
  <Override PartName="/xl/ctrlProps/ctrlProp244.xml" ContentType="application/vnd.ms-excel.controlproperties+xml"/>
  <Override PartName="/xl/ctrlProps/ctrlProp243.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16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63.xml" ContentType="application/vnd.ms-excel.controlproperties+xml"/>
  <Override PartName="/xl/ctrlProps/ctrlProp262.xml" ContentType="application/vnd.ms-excel.controlproperties+xml"/>
  <Override PartName="/xl/ctrlProps/ctrlProp261.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35.xml" ContentType="application/vnd.ms-excel.controlproperties+xml"/>
  <Override PartName="/xl/ctrlProps/ctrlProp168.xml" ContentType="application/vnd.ms-excel.controlproperties+xml"/>
  <Override PartName="/xl/ctrlProps/ctrlProp16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77.xml" ContentType="application/vnd.ms-excel.controlproperties+xml"/>
  <Override PartName="/xl/ctrlProps/ctrlProp76.xml" ContentType="application/vnd.ms-excel.controlproperties+xml"/>
  <Override PartName="/xl/ctrlProps/ctrlProp75.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96.xml" ContentType="application/vnd.ms-excel.controlproperties+xml"/>
  <Override PartName="/xl/ctrlProps/ctrlProp95.xml" ContentType="application/vnd.ms-excel.controlproperties+xml"/>
  <Override PartName="/xl/ctrlProps/ctrlProp94.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67.xml" ContentType="application/vnd.ms-excel.controlproperties+xml"/>
  <Override PartName="/xl/ctrlProps/ctrlProp66.xml" ContentType="application/vnd.ms-excel.controlproperties+xml"/>
  <Override PartName="/xl/ctrlProps/ctrlProp6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33.xml" ContentType="application/vnd.ms-excel.controlproperties+xml"/>
  <Override PartName="/xl/ctrlProps/ctrlProp32.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29.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45.xml" ContentType="application/vnd.ms-excel.controlproperties+xml"/>
  <Override PartName="/xl/ctrlProps/ctrlProp44.xml" ContentType="application/vnd.ms-excel.controlproperties+xml"/>
  <Override PartName="/xl/ctrlProps/ctrlProp43.xml" ContentType="application/vnd.ms-excel.controlproperties+xml"/>
  <Override PartName="/xl/ctrlProps/ctrlProp42.xml" ContentType="application/vnd.ms-excel.controlproperties+xml"/>
  <Override PartName="/xl/ctrlProps/ctrlProp41.xml" ContentType="application/vnd.ms-excel.controlproperties+xml"/>
  <Override PartName="/xl/ctrlProps/ctrlProp40.xml" ContentType="application/vnd.ms-excel.controlproperties+xml"/>
  <Override PartName="/xl/ctrlProps/ctrlProp39.xml" ContentType="application/vnd.ms-excel.controlproperties+xml"/>
  <Override PartName="/xl/ctrlProps/ctrlProp28.xml" ContentType="application/vnd.ms-excel.controlproperties+xml"/>
  <Override PartName="/xl/ctrlProps/ctrlProp27.xml" ContentType="application/vnd.ms-excel.controlproperties+xml"/>
  <Override PartName="/xl/ctrlProps/ctrlProp26.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57.xml" ContentType="application/vnd.ms-excel.controlproperties+xml"/>
  <Override PartName="/xl/ctrlProps/ctrlProp56.xml" ContentType="application/vnd.ms-excel.controlproperties+xml"/>
  <Override PartName="/xl/ctrlProps/ctrlProp22.xml" ContentType="application/vnd.ms-excel.controlproperties+xml"/>
  <Override PartName="/xl/ctrlProps/ctrlProp25.xml" ContentType="application/vnd.ms-excel.controlproperties+xml"/>
  <Override PartName="/xl/ctrlProps/ctrlProp24.xml" ContentType="application/vnd.ms-excel.controlproperties+xml"/>
  <Override PartName="/xl/comments3.xml" ContentType="application/vnd.openxmlformats-officedocument.spreadsheetml.comments+xml"/>
  <Override PartName="/xl/ctrlProps/ctrlProp2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47.xml" ContentType="application/vnd.ms-excel.controlproperties+xml"/>
  <Override PartName="/xl/ctrlProps/ctrlProp146.xml" ContentType="application/vnd.ms-excel.controlproperties+xml"/>
  <Override PartName="/xl/ctrlProps/ctrlProp145.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8.xml" ContentType="application/vnd.ms-excel.controlproperties+xml"/>
  <Override PartName="/xl/comments7.xml" ContentType="application/vnd.openxmlformats-officedocument.spreadsheetml.comments+xml"/>
  <Override PartName="/xl/ctrlProps/ctrlProp17.xml" ContentType="application/vnd.ms-excel.controlproperties+xml"/>
  <Override PartName="/xl/ctrlProps/ctrlProp16.xml" ContentType="application/vnd.ms-excel.controlproperties+xml"/>
  <Override PartName="/xl/ctrlProps/ctrlProp166.xml" ContentType="application/vnd.ms-excel.controlproperties+xml"/>
  <Override PartName="/xl/comments6.xml" ContentType="application/vnd.openxmlformats-officedocument.spreadsheetml.comments+xml"/>
  <Override PartName="/xl/ctrlProps/ctrlProp165.xml" ContentType="application/vnd.ms-excel.controlproperties+xml"/>
  <Override PartName="/xl/ctrlProps/ctrlProp164.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37.xml" ContentType="application/vnd.ms-excel.controlproperties+xml"/>
  <Override PartName="/xl/ctrlProps/ctrlProp136.xml" ContentType="application/vnd.ms-excel.controlproperties+xml"/>
  <Override PartName="/xl/ctrlProps/ctrlProp135.xml" ContentType="application/vnd.ms-excel.controlproperties+xml"/>
  <Override PartName="/xl/ctrlProps/ctrlProp20.xml" ContentType="application/vnd.ms-excel.controlproperties+xml"/>
  <Override PartName="/xl/ctrlProps/ctrlProp19.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omments5.xml" ContentType="application/vnd.openxmlformats-officedocument.spreadsheetml.comments+xml"/>
  <Override PartName="/xl/ctrlProps/ctrlProp21.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omments4.xml" ContentType="application/vnd.openxmlformats-officedocument.spreadsheetml.comment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27.xml" ContentType="application/vnd.ms-excel.controlproperties+xml"/>
  <Override PartName="/xl/ctrlProps/ctrlProp126.xml" ContentType="application/vnd.ms-excel.controlproperties+xml"/>
  <Override PartName="/xl/ctrlProps/ctrlProp125.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47.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DieseArbeitsmappe"/>
  <mc:AlternateContent xmlns:mc="http://schemas.openxmlformats.org/markup-compatibility/2006">
    <mc:Choice Requires="x15">
      <x15ac:absPath xmlns:x15ac="http://schemas.microsoft.com/office/spreadsheetml/2010/11/ac" url="C:\Users\425\OneDrive - Sky-Frame AG\06 Listen\02 In Arbeit\01 Sky-Lean Bestellformular\SKY-FRAME 3\02 Excel-Formulare ORDER\"/>
    </mc:Choice>
  </mc:AlternateContent>
  <xr:revisionPtr revIDLastSave="0" documentId="6_{D097F099-5E57-4F8A-B838-F82BB4CADB98}" xr6:coauthVersionLast="34" xr6:coauthVersionMax="34" xr10:uidLastSave="{00000000-0000-0000-0000-000000000000}"/>
  <bookViews>
    <workbookView xWindow="0" yWindow="0" windowWidth="19950" windowHeight="11685" firstSheet="1" activeTab="12" xr2:uid="{00000000-000D-0000-FFFF-FFFF00000000}"/>
  </bookViews>
  <sheets>
    <sheet name="INDEX" sheetId="3" state="hidden" r:id="rId1"/>
    <sheet name="NOTES" sheetId="5" r:id="rId2"/>
    <sheet name="Sprachen &amp; Rückgabewerte" sheetId="1" state="hidden" r:id="rId3"/>
    <sheet name="Pos. 1" sheetId="2" r:id="rId4"/>
    <sheet name="Sprachen &amp; Rückgabewerte(2)" sheetId="6" state="hidden" r:id="rId5"/>
    <sheet name="Pos. 2" sheetId="7" r:id="rId6"/>
    <sheet name="Sprachen &amp; Rückgabewerte(3)" sheetId="8" state="hidden" r:id="rId7"/>
    <sheet name="Pos. 3" sheetId="9" r:id="rId8"/>
    <sheet name="Sprachen &amp; Rückgabewerte(4)" sheetId="10" state="hidden" r:id="rId9"/>
    <sheet name="Pos. 4" sheetId="11" r:id="rId10"/>
    <sheet name="Sprachen &amp; Rückgabewerte(5)" sheetId="12" state="hidden" r:id="rId11"/>
    <sheet name="Pos. 5" sheetId="13" r:id="rId12"/>
    <sheet name="INFO" sheetId="4" r:id="rId13"/>
  </sheets>
  <definedNames>
    <definedName name="_xlnm.Print_Area" localSheetId="12">INFO!$B$2:$I$40</definedName>
    <definedName name="_xlnm.Print_Area" localSheetId="1">NOTES!$B$2:$N$87</definedName>
    <definedName name="_xlnm.Print_Area" localSheetId="3">'Pos. 1'!$B$2:$AU$136</definedName>
    <definedName name="_xlnm.Print_Area" localSheetId="5">'Pos. 2'!$B$2:$AU$136</definedName>
    <definedName name="_xlnm.Print_Area" localSheetId="7">'Pos. 3'!$B$2:$AU$136</definedName>
    <definedName name="_xlnm.Print_Area" localSheetId="9">'Pos. 4'!$B$2:$AU$136</definedName>
    <definedName name="_xlnm.Print_Area" localSheetId="11">'Pos. 5'!$B$2:$AU$136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3" i="4" l="1"/>
  <c r="K86" i="5" l="1"/>
  <c r="K85" i="5"/>
  <c r="K84" i="5"/>
  <c r="K83" i="5"/>
  <c r="K82" i="5"/>
  <c r="K81" i="5"/>
  <c r="K80" i="5"/>
  <c r="K79" i="5"/>
  <c r="K78" i="5"/>
  <c r="K77" i="5"/>
  <c r="K76" i="5"/>
  <c r="K75" i="5"/>
  <c r="E78" i="5"/>
  <c r="E76" i="5"/>
  <c r="E74" i="5"/>
  <c r="C78" i="5"/>
  <c r="C76" i="5"/>
  <c r="K70" i="5"/>
  <c r="K69" i="5"/>
  <c r="K68" i="5"/>
  <c r="K67" i="5"/>
  <c r="K66" i="5"/>
  <c r="K65" i="5"/>
  <c r="K64" i="5"/>
  <c r="K63" i="5"/>
  <c r="K62" i="5"/>
  <c r="K61" i="5"/>
  <c r="K60" i="5"/>
  <c r="K59" i="5"/>
  <c r="M63" i="5"/>
  <c r="N56" i="5"/>
  <c r="K58" i="5"/>
  <c r="E62" i="5"/>
  <c r="E60" i="5"/>
  <c r="E58" i="5"/>
  <c r="C60" i="5"/>
  <c r="C58" i="5"/>
  <c r="M47" i="5"/>
  <c r="K54" i="5"/>
  <c r="K53" i="5"/>
  <c r="K52" i="5"/>
  <c r="K51" i="5"/>
  <c r="K50" i="5"/>
  <c r="K49" i="5"/>
  <c r="K48" i="5"/>
  <c r="K47" i="5"/>
  <c r="K46" i="5"/>
  <c r="K45" i="5"/>
  <c r="K44" i="5"/>
  <c r="K43" i="5"/>
  <c r="E46" i="5"/>
  <c r="E44" i="5"/>
  <c r="E42" i="5"/>
  <c r="C46" i="5"/>
  <c r="K38" i="5"/>
  <c r="K37" i="5"/>
  <c r="K36" i="5"/>
  <c r="K35" i="5"/>
  <c r="K34" i="5"/>
  <c r="K33" i="5"/>
  <c r="K32" i="5"/>
  <c r="K31" i="5"/>
  <c r="K30" i="5"/>
  <c r="K29" i="5"/>
  <c r="K28" i="5"/>
  <c r="K27" i="5"/>
  <c r="K26" i="5"/>
  <c r="E30" i="5"/>
  <c r="E28" i="5"/>
  <c r="E26" i="5"/>
  <c r="C28" i="5"/>
  <c r="E116" i="13"/>
  <c r="E102" i="13"/>
  <c r="AW95" i="13"/>
  <c r="O95" i="13"/>
  <c r="H95" i="13"/>
  <c r="Z87" i="13"/>
  <c r="AS86" i="13"/>
  <c r="AO86" i="13"/>
  <c r="AO84" i="13"/>
  <c r="V84" i="13"/>
  <c r="O84" i="13"/>
  <c r="H84" i="13"/>
  <c r="AN83" i="13"/>
  <c r="AE83" i="13"/>
  <c r="AQ75" i="13"/>
  <c r="AM74" i="13"/>
  <c r="AF74" i="13"/>
  <c r="R71" i="13"/>
  <c r="L71" i="13"/>
  <c r="F71" i="13"/>
  <c r="L60" i="13"/>
  <c r="Q59" i="13"/>
  <c r="AI53" i="13"/>
  <c r="AX43" i="13"/>
  <c r="AW42" i="13"/>
  <c r="AW41" i="13"/>
  <c r="O50" i="12" s="1"/>
  <c r="AW40" i="13"/>
  <c r="AF40" i="13"/>
  <c r="F40" i="13"/>
  <c r="AW39" i="13"/>
  <c r="AW38" i="13"/>
  <c r="AO38" i="13"/>
  <c r="AM38" i="13"/>
  <c r="M79" i="5" s="1"/>
  <c r="AW37" i="13"/>
  <c r="O46" i="12" s="1"/>
  <c r="AW36" i="13"/>
  <c r="AO36" i="13"/>
  <c r="AF36" i="13"/>
  <c r="AW35" i="13"/>
  <c r="AW34" i="13"/>
  <c r="O43" i="12" s="1"/>
  <c r="AF34" i="13"/>
  <c r="AW33" i="13"/>
  <c r="AW30" i="13"/>
  <c r="A28" i="13"/>
  <c r="F21" i="13"/>
  <c r="AP14" i="13"/>
  <c r="AL14" i="13"/>
  <c r="AH14" i="13"/>
  <c r="AD14" i="13"/>
  <c r="Z14" i="13"/>
  <c r="V14" i="13"/>
  <c r="R14" i="13"/>
  <c r="N14" i="13"/>
  <c r="J14" i="13"/>
  <c r="F14" i="13"/>
  <c r="AR13" i="13"/>
  <c r="AN13" i="13"/>
  <c r="AJ13" i="13"/>
  <c r="AF13" i="13"/>
  <c r="AB13" i="13"/>
  <c r="X13" i="13"/>
  <c r="T13" i="13"/>
  <c r="P13" i="13"/>
  <c r="L13" i="13"/>
  <c r="H13" i="13"/>
  <c r="E13" i="13"/>
  <c r="AR12" i="13"/>
  <c r="AN12" i="13"/>
  <c r="AJ12" i="13"/>
  <c r="AF12" i="13"/>
  <c r="AB12" i="13"/>
  <c r="X12" i="13"/>
  <c r="T12" i="13"/>
  <c r="P12" i="13"/>
  <c r="L12" i="13"/>
  <c r="H12" i="13"/>
  <c r="C11" i="13"/>
  <c r="U58" i="12" s="1"/>
  <c r="V58" i="12" s="1"/>
  <c r="F7" i="13"/>
  <c r="BL5" i="13"/>
  <c r="BK5" i="13"/>
  <c r="BJ5" i="13"/>
  <c r="BF5" i="13"/>
  <c r="AN5" i="13"/>
  <c r="BB3" i="13"/>
  <c r="AX3" i="13"/>
  <c r="BB2" i="13"/>
  <c r="N72" i="5" s="1"/>
  <c r="H209" i="12"/>
  <c r="H208" i="12"/>
  <c r="H207" i="12"/>
  <c r="H206" i="12"/>
  <c r="H205" i="12"/>
  <c r="H204" i="12"/>
  <c r="H203" i="12"/>
  <c r="H202" i="12"/>
  <c r="H201" i="12"/>
  <c r="H200" i="12"/>
  <c r="H199" i="12"/>
  <c r="H198" i="12"/>
  <c r="H197" i="12"/>
  <c r="H196" i="12"/>
  <c r="H195" i="12"/>
  <c r="AX10" i="13" s="1"/>
  <c r="H194" i="12"/>
  <c r="AX9" i="13" s="1"/>
  <c r="H193" i="12"/>
  <c r="AX7" i="13" s="1"/>
  <c r="H192" i="12"/>
  <c r="H191" i="12"/>
  <c r="H190" i="12"/>
  <c r="H189" i="12"/>
  <c r="H188" i="12"/>
  <c r="H187" i="12"/>
  <c r="H186" i="12"/>
  <c r="H185" i="12"/>
  <c r="BG4" i="13" s="1"/>
  <c r="H184" i="12"/>
  <c r="BE4" i="13" s="1"/>
  <c r="H183" i="12"/>
  <c r="BE3" i="13" s="1"/>
  <c r="H182" i="12"/>
  <c r="H181" i="12"/>
  <c r="AE96" i="13" s="1"/>
  <c r="H180" i="12"/>
  <c r="H179" i="12"/>
  <c r="H178" i="12"/>
  <c r="J178" i="12" s="1"/>
  <c r="J177" i="12"/>
  <c r="H177" i="12"/>
  <c r="H176" i="12"/>
  <c r="AF47" i="13" s="1"/>
  <c r="H175" i="12"/>
  <c r="J175" i="12" s="1"/>
  <c r="J174" i="12"/>
  <c r="H174" i="12"/>
  <c r="H173" i="12"/>
  <c r="H172" i="12"/>
  <c r="H171" i="12"/>
  <c r="H170" i="12"/>
  <c r="H169" i="12"/>
  <c r="H168" i="12"/>
  <c r="H167" i="12"/>
  <c r="H166" i="12"/>
  <c r="H165" i="12"/>
  <c r="H164" i="12"/>
  <c r="H163" i="12"/>
  <c r="H162" i="12"/>
  <c r="H161" i="12"/>
  <c r="K82" i="12" s="1"/>
  <c r="H160" i="12"/>
  <c r="H159" i="12"/>
  <c r="H158" i="12"/>
  <c r="H157" i="12"/>
  <c r="AX22" i="13" s="1"/>
  <c r="H156" i="12"/>
  <c r="H155" i="12"/>
  <c r="H154" i="12"/>
  <c r="H153" i="12"/>
  <c r="J153" i="12" s="1"/>
  <c r="H152" i="12"/>
  <c r="J152" i="12" s="1"/>
  <c r="H151" i="12"/>
  <c r="J151" i="12" s="1"/>
  <c r="H150" i="12"/>
  <c r="AW46" i="13" s="1"/>
  <c r="H149" i="12"/>
  <c r="R114" i="13" s="1"/>
  <c r="H148" i="12"/>
  <c r="H147" i="12"/>
  <c r="J147" i="12" s="1"/>
  <c r="H146" i="12"/>
  <c r="J146" i="12" s="1"/>
  <c r="C82" i="12" s="1"/>
  <c r="H145" i="12"/>
  <c r="H144" i="12"/>
  <c r="J144" i="12" s="1"/>
  <c r="H143" i="12"/>
  <c r="J143" i="12" s="1"/>
  <c r="R112" i="13" s="1"/>
  <c r="H142" i="12"/>
  <c r="E110" i="13" s="1"/>
  <c r="H141" i="12"/>
  <c r="E108" i="13" s="1"/>
  <c r="H140" i="12"/>
  <c r="E106" i="13" s="1"/>
  <c r="H139" i="12"/>
  <c r="E104" i="13" s="1"/>
  <c r="M138" i="12"/>
  <c r="H138" i="12"/>
  <c r="M137" i="12"/>
  <c r="H137" i="12"/>
  <c r="M136" i="12"/>
  <c r="H136" i="12"/>
  <c r="J136" i="12" s="1"/>
  <c r="M135" i="12"/>
  <c r="H135" i="12"/>
  <c r="J135" i="12" s="1"/>
  <c r="M134" i="12"/>
  <c r="J134" i="12"/>
  <c r="H134" i="12"/>
  <c r="AE32" i="13" s="1"/>
  <c r="M133" i="12"/>
  <c r="H133" i="12"/>
  <c r="M132" i="12"/>
  <c r="H132" i="12"/>
  <c r="M131" i="12"/>
  <c r="H131" i="12"/>
  <c r="AX14" i="13" s="1"/>
  <c r="M130" i="12"/>
  <c r="H130" i="12"/>
  <c r="S5" i="13" s="1"/>
  <c r="M129" i="12"/>
  <c r="H129" i="12"/>
  <c r="M128" i="12"/>
  <c r="H128" i="12"/>
  <c r="M127" i="12"/>
  <c r="H127" i="12"/>
  <c r="M126" i="12"/>
  <c r="H126" i="12"/>
  <c r="M125" i="12"/>
  <c r="H125" i="12"/>
  <c r="AO34" i="13" s="1"/>
  <c r="M124" i="12"/>
  <c r="H124" i="12"/>
  <c r="F20" i="13" s="1"/>
  <c r="M123" i="12"/>
  <c r="H123" i="12"/>
  <c r="M122" i="12"/>
  <c r="H122" i="12"/>
  <c r="B77" i="12" s="1"/>
  <c r="M121" i="12"/>
  <c r="H121" i="12"/>
  <c r="M120" i="12"/>
  <c r="H120" i="12"/>
  <c r="B74" i="12" s="1"/>
  <c r="M119" i="12"/>
  <c r="H119" i="12"/>
  <c r="Z91" i="13" s="1"/>
  <c r="M118" i="12"/>
  <c r="H118" i="12"/>
  <c r="M117" i="12"/>
  <c r="H117" i="12"/>
  <c r="V96" i="13" s="1"/>
  <c r="M116" i="12"/>
  <c r="H116" i="12"/>
  <c r="V90" i="13" s="1"/>
  <c r="M115" i="12"/>
  <c r="H115" i="12"/>
  <c r="M114" i="12"/>
  <c r="H114" i="12"/>
  <c r="B71" i="12" s="1"/>
  <c r="M113" i="12"/>
  <c r="H113" i="12"/>
  <c r="B69" i="12" s="1"/>
  <c r="M112" i="12"/>
  <c r="H112" i="12"/>
  <c r="M111" i="12"/>
  <c r="H111" i="12"/>
  <c r="M110" i="12"/>
  <c r="H110" i="12"/>
  <c r="F60" i="13" s="1"/>
  <c r="M109" i="12"/>
  <c r="H109" i="12"/>
  <c r="M108" i="12"/>
  <c r="H108" i="12"/>
  <c r="M107" i="12"/>
  <c r="H107" i="12"/>
  <c r="M106" i="12"/>
  <c r="H106" i="12"/>
  <c r="M105" i="12"/>
  <c r="H105" i="12"/>
  <c r="M104" i="12"/>
  <c r="H104" i="12"/>
  <c r="M103" i="12"/>
  <c r="M102" i="12"/>
  <c r="H102" i="12"/>
  <c r="AE90" i="13" s="1"/>
  <c r="M101" i="12"/>
  <c r="H101" i="12"/>
  <c r="M100" i="12"/>
  <c r="H100" i="12"/>
  <c r="M99" i="12"/>
  <c r="H99" i="12"/>
  <c r="M98" i="12"/>
  <c r="H98" i="12"/>
  <c r="M97" i="12"/>
  <c r="H97" i="12"/>
  <c r="M96" i="12"/>
  <c r="H96" i="12"/>
  <c r="J96" i="12" s="1"/>
  <c r="M95" i="12"/>
  <c r="H95" i="12"/>
  <c r="J95" i="12" s="1"/>
  <c r="M94" i="12"/>
  <c r="H94" i="12"/>
  <c r="AE55" i="13" s="1"/>
  <c r="M93" i="12"/>
  <c r="H93" i="12"/>
  <c r="J93" i="12" s="1"/>
  <c r="C93" i="12"/>
  <c r="M92" i="12"/>
  <c r="H92" i="12"/>
  <c r="J92" i="12" s="1"/>
  <c r="C92" i="12"/>
  <c r="M91" i="12"/>
  <c r="H91" i="12"/>
  <c r="AF48" i="13" s="1"/>
  <c r="C91" i="12"/>
  <c r="M90" i="12"/>
  <c r="H90" i="12"/>
  <c r="AE88" i="13" s="1"/>
  <c r="C90" i="12"/>
  <c r="M89" i="12"/>
  <c r="H89" i="12"/>
  <c r="J89" i="12" s="1"/>
  <c r="C89" i="12"/>
  <c r="M88" i="12"/>
  <c r="H88" i="12"/>
  <c r="J88" i="12" s="1"/>
  <c r="C88" i="12"/>
  <c r="M87" i="12"/>
  <c r="H87" i="12"/>
  <c r="J86" i="12"/>
  <c r="H86" i="12"/>
  <c r="H85" i="12"/>
  <c r="J85" i="12" s="1"/>
  <c r="H84" i="12"/>
  <c r="AE80" i="13" s="1"/>
  <c r="H83" i="12"/>
  <c r="H82" i="12"/>
  <c r="H81" i="12"/>
  <c r="J81" i="12" s="1"/>
  <c r="B81" i="12"/>
  <c r="H80" i="12"/>
  <c r="J77" i="12" s="1"/>
  <c r="U79" i="12"/>
  <c r="V79" i="12" s="1"/>
  <c r="K79" i="12"/>
  <c r="N79" i="12" s="1"/>
  <c r="H79" i="12"/>
  <c r="J79" i="12" s="1"/>
  <c r="U78" i="12"/>
  <c r="V78" i="12" s="1"/>
  <c r="W78" i="12" s="1"/>
  <c r="J78" i="12"/>
  <c r="H78" i="12"/>
  <c r="B78" i="12"/>
  <c r="H77" i="12"/>
  <c r="AE78" i="13" s="1"/>
  <c r="L76" i="12"/>
  <c r="U76" i="12" s="1"/>
  <c r="V76" i="12" s="1"/>
  <c r="H76" i="12"/>
  <c r="AE77" i="13" s="1"/>
  <c r="L75" i="12"/>
  <c r="U75" i="12" s="1"/>
  <c r="V75" i="12" s="1"/>
  <c r="H75" i="12"/>
  <c r="AG75" i="13" s="1"/>
  <c r="B75" i="12"/>
  <c r="L74" i="12"/>
  <c r="U74" i="12" s="1"/>
  <c r="V74" i="12" s="1"/>
  <c r="H74" i="12"/>
  <c r="AM76" i="13" s="1"/>
  <c r="H73" i="12"/>
  <c r="J73" i="12" s="1"/>
  <c r="J72" i="12"/>
  <c r="H72" i="12"/>
  <c r="B72" i="12"/>
  <c r="L71" i="12"/>
  <c r="M71" i="12" s="1"/>
  <c r="U71" i="12" s="1"/>
  <c r="V71" i="12" s="1"/>
  <c r="H71" i="12"/>
  <c r="H70" i="12"/>
  <c r="AE73" i="13" s="1"/>
  <c r="U69" i="12"/>
  <c r="V69" i="12" s="1"/>
  <c r="R69" i="12"/>
  <c r="U67" i="12" s="1"/>
  <c r="V67" i="12" s="1"/>
  <c r="L69" i="12"/>
  <c r="H69" i="12"/>
  <c r="J69" i="12" s="1"/>
  <c r="U68" i="12"/>
  <c r="V68" i="12" s="1"/>
  <c r="W68" i="12" s="1"/>
  <c r="Q68" i="12"/>
  <c r="P68" i="12"/>
  <c r="R68" i="12" s="1"/>
  <c r="L68" i="12"/>
  <c r="H68" i="12"/>
  <c r="J68" i="12" s="1"/>
  <c r="B68" i="12"/>
  <c r="R67" i="12"/>
  <c r="Q67" i="12"/>
  <c r="P67" i="12"/>
  <c r="L67" i="12"/>
  <c r="H67" i="12"/>
  <c r="K80" i="12" s="1"/>
  <c r="N80" i="12" s="1"/>
  <c r="P66" i="12"/>
  <c r="R66" i="12" s="1"/>
  <c r="L66" i="12"/>
  <c r="M66" i="12" s="1"/>
  <c r="U66" i="12" s="1"/>
  <c r="V66" i="12" s="1"/>
  <c r="H66" i="12"/>
  <c r="K81" i="12" s="1"/>
  <c r="U65" i="12"/>
  <c r="V65" i="12" s="1"/>
  <c r="P65" i="12"/>
  <c r="R65" i="12" s="1"/>
  <c r="L65" i="12"/>
  <c r="H65" i="12"/>
  <c r="U64" i="12"/>
  <c r="V64" i="12" s="1"/>
  <c r="P64" i="12"/>
  <c r="Q64" i="12" s="1"/>
  <c r="L64" i="12"/>
  <c r="H64" i="12"/>
  <c r="AE60" i="13" s="1"/>
  <c r="C64" i="12"/>
  <c r="U63" i="12"/>
  <c r="V63" i="12" s="1"/>
  <c r="P63" i="12"/>
  <c r="Q63" i="12" s="1"/>
  <c r="L63" i="12"/>
  <c r="H63" i="12"/>
  <c r="R62" i="12"/>
  <c r="Q62" i="12"/>
  <c r="P62" i="12"/>
  <c r="L62" i="12"/>
  <c r="A9" i="13" s="1"/>
  <c r="H62" i="12"/>
  <c r="P61" i="12"/>
  <c r="R61" i="12" s="1"/>
  <c r="L61" i="12"/>
  <c r="H61" i="12"/>
  <c r="P60" i="12"/>
  <c r="Q60" i="12" s="1"/>
  <c r="L60" i="12"/>
  <c r="M60" i="12" s="1"/>
  <c r="U60" i="12" s="1"/>
  <c r="V60" i="12" s="1"/>
  <c r="H60" i="12"/>
  <c r="P59" i="12"/>
  <c r="Q59" i="12" s="1"/>
  <c r="L59" i="12"/>
  <c r="M59" i="12" s="1"/>
  <c r="U59" i="12" s="1"/>
  <c r="V59" i="12" s="1"/>
  <c r="H59" i="12"/>
  <c r="L58" i="12"/>
  <c r="H58" i="12"/>
  <c r="H57" i="12"/>
  <c r="AH7" i="13" s="1"/>
  <c r="L56" i="12"/>
  <c r="M56" i="12" s="1"/>
  <c r="U56" i="12" s="1"/>
  <c r="V56" i="12" s="1"/>
  <c r="H56" i="12"/>
  <c r="AH6" i="13" s="1"/>
  <c r="L55" i="12"/>
  <c r="U55" i="12" s="1"/>
  <c r="V55" i="12" s="1"/>
  <c r="H55" i="12"/>
  <c r="AH5" i="13" s="1"/>
  <c r="C74" i="5" s="1"/>
  <c r="M54" i="12"/>
  <c r="L54" i="12" s="1"/>
  <c r="U54" i="12" s="1"/>
  <c r="V54" i="12" s="1"/>
  <c r="H54" i="12"/>
  <c r="AH44" i="12" s="1"/>
  <c r="L53" i="12"/>
  <c r="U53" i="12" s="1"/>
  <c r="V53" i="12" s="1"/>
  <c r="H53" i="12"/>
  <c r="O52" i="12"/>
  <c r="L52" i="12"/>
  <c r="U52" i="12" s="1"/>
  <c r="V52" i="12" s="1"/>
  <c r="H52" i="12"/>
  <c r="AE79" i="13" s="1"/>
  <c r="L51" i="12"/>
  <c r="U51" i="12" s="1"/>
  <c r="V51" i="12" s="1"/>
  <c r="H51" i="12"/>
  <c r="AO85" i="13" s="1"/>
  <c r="V50" i="12"/>
  <c r="N50" i="12"/>
  <c r="L50" i="12"/>
  <c r="U50" i="12" s="1"/>
  <c r="H50" i="12"/>
  <c r="O49" i="12"/>
  <c r="N49" i="12"/>
  <c r="L49" i="12"/>
  <c r="H49" i="12"/>
  <c r="O48" i="12"/>
  <c r="N48" i="12"/>
  <c r="M48" i="12"/>
  <c r="L48" i="12"/>
  <c r="H48" i="12"/>
  <c r="A48" i="12"/>
  <c r="O47" i="12"/>
  <c r="N47" i="12"/>
  <c r="L47" i="12"/>
  <c r="U47" i="12" s="1"/>
  <c r="V47" i="12" s="1"/>
  <c r="H47" i="12"/>
  <c r="AE87" i="13" s="1"/>
  <c r="B47" i="12"/>
  <c r="A47" i="12"/>
  <c r="N46" i="12"/>
  <c r="L46" i="12"/>
  <c r="U46" i="12" s="1"/>
  <c r="V46" i="12" s="1"/>
  <c r="H46" i="12"/>
  <c r="A46" i="12"/>
  <c r="AL45" i="12"/>
  <c r="AK45" i="12"/>
  <c r="AJ45" i="12"/>
  <c r="AI45" i="12"/>
  <c r="AH45" i="12"/>
  <c r="AB45" i="12"/>
  <c r="AM45" i="12" s="1"/>
  <c r="O45" i="12"/>
  <c r="N45" i="12"/>
  <c r="L45" i="12"/>
  <c r="U45" i="12" s="1"/>
  <c r="V45" i="12" s="1"/>
  <c r="H45" i="12"/>
  <c r="AF57" i="13" s="1"/>
  <c r="A45" i="12"/>
  <c r="AL44" i="12"/>
  <c r="AK44" i="12"/>
  <c r="AJ44" i="12"/>
  <c r="AI44" i="12"/>
  <c r="O44" i="12"/>
  <c r="N44" i="12"/>
  <c r="H44" i="12"/>
  <c r="AN56" i="13" s="1"/>
  <c r="B44" i="12"/>
  <c r="X71" i="13" s="1"/>
  <c r="A44" i="12"/>
  <c r="AL43" i="12"/>
  <c r="AK43" i="12"/>
  <c r="AJ43" i="12"/>
  <c r="AI43" i="12"/>
  <c r="AH43" i="12"/>
  <c r="AB43" i="12"/>
  <c r="AM43" i="12" s="1"/>
  <c r="N43" i="12"/>
  <c r="L43" i="12"/>
  <c r="U43" i="12" s="1"/>
  <c r="V43" i="12" s="1"/>
  <c r="H43" i="12"/>
  <c r="AF56" i="13" s="1"/>
  <c r="A43" i="12"/>
  <c r="AL42" i="12"/>
  <c r="AK42" i="12"/>
  <c r="AJ42" i="12"/>
  <c r="AI42" i="12"/>
  <c r="N42" i="12"/>
  <c r="L42" i="12"/>
  <c r="U42" i="12" s="1"/>
  <c r="V42" i="12" s="1"/>
  <c r="H42" i="12"/>
  <c r="AE52" i="13" s="1"/>
  <c r="A42" i="12"/>
  <c r="AL41" i="12"/>
  <c r="AK41" i="12"/>
  <c r="AJ41" i="12"/>
  <c r="AI41" i="12"/>
  <c r="S41" i="12"/>
  <c r="O41" i="12"/>
  <c r="N41" i="12"/>
  <c r="L41" i="12"/>
  <c r="U41" i="12" s="1"/>
  <c r="V41" i="12" s="1"/>
  <c r="H41" i="12"/>
  <c r="A41" i="12"/>
  <c r="A50" i="12" s="1"/>
  <c r="L73" i="12" s="1"/>
  <c r="U73" i="12" s="1"/>
  <c r="V73" i="12" s="1"/>
  <c r="AL40" i="12"/>
  <c r="AK40" i="12"/>
  <c r="AJ40" i="12"/>
  <c r="AI40" i="12"/>
  <c r="H40" i="12"/>
  <c r="AF46" i="13" s="1"/>
  <c r="AL39" i="12"/>
  <c r="AK39" i="12"/>
  <c r="AJ39" i="12"/>
  <c r="AI39" i="12"/>
  <c r="AB39" i="12"/>
  <c r="AM39" i="12" s="1"/>
  <c r="H39" i="12"/>
  <c r="AF45" i="13" s="1"/>
  <c r="AL38" i="12"/>
  <c r="AK38" i="12"/>
  <c r="AJ38" i="12"/>
  <c r="AI38" i="12"/>
  <c r="H38" i="12"/>
  <c r="AL37" i="12"/>
  <c r="AK37" i="12"/>
  <c r="AJ37" i="12"/>
  <c r="AI37" i="12"/>
  <c r="H37" i="12"/>
  <c r="AL36" i="12"/>
  <c r="AK36" i="12"/>
  <c r="AJ36" i="12"/>
  <c r="AI36" i="12"/>
  <c r="AB36" i="12"/>
  <c r="AM36" i="12" s="1"/>
  <c r="H36" i="12"/>
  <c r="AF43" i="13" s="1"/>
  <c r="AL35" i="12"/>
  <c r="AK35" i="12"/>
  <c r="AJ35" i="12"/>
  <c r="AI35" i="12"/>
  <c r="H35" i="12"/>
  <c r="AE42" i="13" s="1"/>
  <c r="AL34" i="12"/>
  <c r="AK34" i="12"/>
  <c r="AJ34" i="12"/>
  <c r="AI34" i="12"/>
  <c r="AB34" i="12"/>
  <c r="AM34" i="12" s="1"/>
  <c r="H34" i="12"/>
  <c r="Z46" i="13" s="1"/>
  <c r="AL33" i="12"/>
  <c r="AK33" i="12"/>
  <c r="AJ33" i="12"/>
  <c r="AI33" i="12"/>
  <c r="H33" i="12"/>
  <c r="P44" i="13" s="1"/>
  <c r="AL32" i="12"/>
  <c r="AK32" i="12"/>
  <c r="AJ32" i="12"/>
  <c r="AI32" i="12"/>
  <c r="H32" i="12"/>
  <c r="H49" i="13" s="1"/>
  <c r="AM31" i="12"/>
  <c r="AL31" i="12"/>
  <c r="AK31" i="12"/>
  <c r="AJ31" i="12"/>
  <c r="AI31" i="12"/>
  <c r="H31" i="12"/>
  <c r="N40" i="13" s="1"/>
  <c r="AM30" i="12"/>
  <c r="AL30" i="12"/>
  <c r="AK30" i="12"/>
  <c r="AJ30" i="12"/>
  <c r="AI30" i="12"/>
  <c r="H30" i="12"/>
  <c r="C30" i="12"/>
  <c r="AM29" i="12"/>
  <c r="AL29" i="12"/>
  <c r="AK29" i="12"/>
  <c r="AJ29" i="12"/>
  <c r="AI29" i="12"/>
  <c r="H29" i="12"/>
  <c r="C29" i="12"/>
  <c r="AM28" i="12"/>
  <c r="AL28" i="12"/>
  <c r="AK28" i="12"/>
  <c r="AJ28" i="12"/>
  <c r="AI28" i="12"/>
  <c r="H28" i="12"/>
  <c r="AO37" i="13" s="1"/>
  <c r="C28" i="12"/>
  <c r="AM27" i="12"/>
  <c r="AL27" i="12"/>
  <c r="AK27" i="12"/>
  <c r="AJ27" i="12"/>
  <c r="AI27" i="12"/>
  <c r="H27" i="12"/>
  <c r="AL26" i="12"/>
  <c r="AK26" i="12"/>
  <c r="AJ26" i="12"/>
  <c r="AI26" i="12"/>
  <c r="H26" i="12"/>
  <c r="AO35" i="13" s="1"/>
  <c r="AM25" i="12"/>
  <c r="AL25" i="12"/>
  <c r="AK25" i="12"/>
  <c r="AJ25" i="12"/>
  <c r="AI25" i="12"/>
  <c r="H25" i="12"/>
  <c r="AO33" i="13" s="1"/>
  <c r="C25" i="12"/>
  <c r="AM24" i="12"/>
  <c r="AL24" i="12"/>
  <c r="AK24" i="12"/>
  <c r="AJ24" i="12"/>
  <c r="AI24" i="12"/>
  <c r="H24" i="12"/>
  <c r="C24" i="12"/>
  <c r="AM23" i="12"/>
  <c r="AL23" i="12"/>
  <c r="AK23" i="12"/>
  <c r="AJ23" i="12"/>
  <c r="AI23" i="12"/>
  <c r="H23" i="12"/>
  <c r="C23" i="12"/>
  <c r="AM22" i="12"/>
  <c r="AL22" i="12"/>
  <c r="AK22" i="12"/>
  <c r="AJ22" i="12"/>
  <c r="AI22" i="12"/>
  <c r="H22" i="12"/>
  <c r="AF39" i="13" s="1"/>
  <c r="C22" i="12"/>
  <c r="AM21" i="12"/>
  <c r="AL21" i="12"/>
  <c r="AK21" i="12"/>
  <c r="AJ21" i="12"/>
  <c r="AI21" i="12"/>
  <c r="H21" i="12"/>
  <c r="C21" i="12"/>
  <c r="AM20" i="12"/>
  <c r="AL20" i="12"/>
  <c r="AK20" i="12"/>
  <c r="AJ20" i="12"/>
  <c r="AI20" i="12"/>
  <c r="H20" i="12"/>
  <c r="AF38" i="13" s="1"/>
  <c r="C20" i="12"/>
  <c r="AM19" i="12"/>
  <c r="AL19" i="12"/>
  <c r="AK19" i="12"/>
  <c r="AJ19" i="12"/>
  <c r="AI19" i="12"/>
  <c r="H19" i="12"/>
  <c r="AF37" i="13" s="1"/>
  <c r="C19" i="12"/>
  <c r="AM18" i="12"/>
  <c r="AL18" i="12"/>
  <c r="AK18" i="12"/>
  <c r="AJ18" i="12"/>
  <c r="AI18" i="12"/>
  <c r="H18" i="12"/>
  <c r="C18" i="12"/>
  <c r="AM17" i="12"/>
  <c r="AL17" i="12"/>
  <c r="AK17" i="12"/>
  <c r="AJ17" i="12"/>
  <c r="AI17" i="12"/>
  <c r="H17" i="12"/>
  <c r="AF35" i="13" s="1"/>
  <c r="C17" i="12"/>
  <c r="AM16" i="12"/>
  <c r="AL16" i="12"/>
  <c r="AK16" i="12"/>
  <c r="AJ16" i="12"/>
  <c r="AI16" i="12"/>
  <c r="H16" i="12"/>
  <c r="C16" i="12"/>
  <c r="AM15" i="12"/>
  <c r="AL15" i="12"/>
  <c r="AK15" i="12"/>
  <c r="AJ15" i="12"/>
  <c r="AI15" i="12"/>
  <c r="H15" i="12"/>
  <c r="AF33" i="13" s="1"/>
  <c r="AM14" i="12"/>
  <c r="AL14" i="12"/>
  <c r="AK14" i="12"/>
  <c r="AJ14" i="12"/>
  <c r="AI14" i="12"/>
  <c r="H14" i="12"/>
  <c r="F34" i="13" s="1"/>
  <c r="AM13" i="12"/>
  <c r="AL13" i="12"/>
  <c r="AK13" i="12"/>
  <c r="AJ13" i="12"/>
  <c r="AI13" i="12"/>
  <c r="H13" i="12"/>
  <c r="F33" i="13" s="1"/>
  <c r="AM12" i="12"/>
  <c r="AL12" i="12"/>
  <c r="AK12" i="12"/>
  <c r="AJ12" i="12"/>
  <c r="AI12" i="12"/>
  <c r="I12" i="12"/>
  <c r="I133" i="12" s="1"/>
  <c r="H12" i="12"/>
  <c r="AM11" i="12"/>
  <c r="AL11" i="12"/>
  <c r="AK11" i="12"/>
  <c r="AJ11" i="12"/>
  <c r="AI11" i="12"/>
  <c r="H11" i="12"/>
  <c r="AN6" i="13" s="1"/>
  <c r="AM10" i="12"/>
  <c r="AL10" i="12"/>
  <c r="AK10" i="12"/>
  <c r="AJ10" i="12"/>
  <c r="AI10" i="12"/>
  <c r="H10" i="12"/>
  <c r="AM9" i="12"/>
  <c r="AL9" i="12"/>
  <c r="AK9" i="12"/>
  <c r="AJ9" i="12"/>
  <c r="AI9" i="12"/>
  <c r="H9" i="12"/>
  <c r="AM8" i="12"/>
  <c r="AL8" i="12"/>
  <c r="AK8" i="12"/>
  <c r="AJ8" i="12"/>
  <c r="AI8" i="12"/>
  <c r="H8" i="12"/>
  <c r="S7" i="13" s="1"/>
  <c r="AM7" i="12"/>
  <c r="AL7" i="12"/>
  <c r="AK7" i="12"/>
  <c r="AJ7" i="12"/>
  <c r="AI7" i="12"/>
  <c r="H7" i="12"/>
  <c r="S6" i="13" s="1"/>
  <c r="AM6" i="12"/>
  <c r="AL6" i="12"/>
  <c r="AK6" i="12"/>
  <c r="AJ6" i="12"/>
  <c r="AI6" i="12"/>
  <c r="H6" i="12"/>
  <c r="AM5" i="12"/>
  <c r="AL5" i="12"/>
  <c r="AK5" i="12"/>
  <c r="AJ5" i="12"/>
  <c r="AI5" i="12"/>
  <c r="H5" i="12"/>
  <c r="F6" i="13" s="1"/>
  <c r="AM4" i="12"/>
  <c r="AL4" i="12"/>
  <c r="AK4" i="12"/>
  <c r="AJ4" i="12"/>
  <c r="AI4" i="12"/>
  <c r="H4" i="12"/>
  <c r="E5" i="13" s="1"/>
  <c r="AM3" i="12"/>
  <c r="AL3" i="12"/>
  <c r="AK3" i="12"/>
  <c r="AJ3" i="12"/>
  <c r="AI3" i="12"/>
  <c r="H3" i="12"/>
  <c r="H2" i="12"/>
  <c r="AL1" i="12"/>
  <c r="AO53" i="13" s="1"/>
  <c r="AK1" i="12"/>
  <c r="AK53" i="13" s="1"/>
  <c r="AJ1" i="12"/>
  <c r="AH53" i="13" s="1"/>
  <c r="E116" i="11"/>
  <c r="O95" i="11"/>
  <c r="H95" i="11"/>
  <c r="AS86" i="11"/>
  <c r="AO86" i="11"/>
  <c r="O84" i="11"/>
  <c r="H84" i="11"/>
  <c r="R71" i="11"/>
  <c r="L71" i="11"/>
  <c r="F71" i="11"/>
  <c r="Q59" i="11"/>
  <c r="AX43" i="11"/>
  <c r="AW42" i="11"/>
  <c r="AW41" i="11"/>
  <c r="O50" i="10" s="1"/>
  <c r="AW40" i="11"/>
  <c r="O49" i="10" s="1"/>
  <c r="AW39" i="11"/>
  <c r="AW38" i="11"/>
  <c r="AM38" i="11"/>
  <c r="AW37" i="11"/>
  <c r="O46" i="10" s="1"/>
  <c r="AW36" i="11"/>
  <c r="AW35" i="11"/>
  <c r="AW34" i="11"/>
  <c r="AW33" i="11"/>
  <c r="AW43" i="11" s="1"/>
  <c r="AY43" i="11" s="1"/>
  <c r="AW30" i="11"/>
  <c r="A28" i="11"/>
  <c r="AP14" i="11"/>
  <c r="AL14" i="11"/>
  <c r="AH14" i="11"/>
  <c r="AD14" i="11"/>
  <c r="Z14" i="11"/>
  <c r="V14" i="11"/>
  <c r="R14" i="11"/>
  <c r="N14" i="11"/>
  <c r="J14" i="11"/>
  <c r="F14" i="11"/>
  <c r="AR13" i="11"/>
  <c r="AN13" i="11"/>
  <c r="AJ13" i="11"/>
  <c r="AF13" i="11"/>
  <c r="AB13" i="11"/>
  <c r="X13" i="11"/>
  <c r="T13" i="11"/>
  <c r="P13" i="11"/>
  <c r="L13" i="11"/>
  <c r="H13" i="11"/>
  <c r="E13" i="11"/>
  <c r="AR12" i="11"/>
  <c r="AN12" i="11"/>
  <c r="AJ12" i="11"/>
  <c r="AF12" i="11"/>
  <c r="AB12" i="11"/>
  <c r="X12" i="11"/>
  <c r="T12" i="11"/>
  <c r="P12" i="11"/>
  <c r="L12" i="11"/>
  <c r="H12" i="11"/>
  <c r="C11" i="11"/>
  <c r="BL5" i="11"/>
  <c r="BK5" i="11"/>
  <c r="BJ5" i="11"/>
  <c r="BF5" i="11"/>
  <c r="BB3" i="11"/>
  <c r="BB2" i="11"/>
  <c r="H209" i="10"/>
  <c r="H208" i="10"/>
  <c r="H207" i="10"/>
  <c r="H206" i="10"/>
  <c r="H205" i="10"/>
  <c r="H204" i="10"/>
  <c r="H203" i="10"/>
  <c r="H202" i="10"/>
  <c r="H201" i="10"/>
  <c r="H200" i="10"/>
  <c r="H199" i="10"/>
  <c r="H198" i="10"/>
  <c r="H197" i="10"/>
  <c r="H196" i="10"/>
  <c r="H195" i="10"/>
  <c r="AX10" i="11" s="1"/>
  <c r="H194" i="10"/>
  <c r="AX9" i="11" s="1"/>
  <c r="H193" i="10"/>
  <c r="AX7" i="11" s="1"/>
  <c r="H192" i="10"/>
  <c r="H191" i="10"/>
  <c r="H190" i="10"/>
  <c r="H189" i="10"/>
  <c r="H188" i="10"/>
  <c r="H187" i="10"/>
  <c r="H186" i="10"/>
  <c r="H185" i="10"/>
  <c r="BG4" i="11" s="1"/>
  <c r="H184" i="10"/>
  <c r="BE4" i="11" s="1"/>
  <c r="H183" i="10"/>
  <c r="BE3" i="11" s="1"/>
  <c r="H182" i="10"/>
  <c r="H181" i="10"/>
  <c r="AE96" i="11" s="1"/>
  <c r="H180" i="10"/>
  <c r="AQ76" i="11" s="1"/>
  <c r="H179" i="10"/>
  <c r="H178" i="10"/>
  <c r="J178" i="10" s="1"/>
  <c r="H177" i="10"/>
  <c r="J177" i="10" s="1"/>
  <c r="H176" i="10"/>
  <c r="AF47" i="11" s="1"/>
  <c r="H175" i="10"/>
  <c r="J175" i="10" s="1"/>
  <c r="H174" i="10"/>
  <c r="J174" i="10" s="1"/>
  <c r="H173" i="10"/>
  <c r="H172" i="10"/>
  <c r="H171" i="10"/>
  <c r="H170" i="10"/>
  <c r="H169" i="10"/>
  <c r="H168" i="10"/>
  <c r="H167" i="10"/>
  <c r="H166" i="10"/>
  <c r="H165" i="10"/>
  <c r="H164" i="10"/>
  <c r="H163" i="10"/>
  <c r="H162" i="10"/>
  <c r="H161" i="10"/>
  <c r="K82" i="10" s="1"/>
  <c r="H160" i="10"/>
  <c r="H159" i="10"/>
  <c r="J134" i="10" s="1"/>
  <c r="H158" i="10"/>
  <c r="H157" i="10"/>
  <c r="AX22" i="11" s="1"/>
  <c r="H156" i="10"/>
  <c r="H155" i="10"/>
  <c r="H154" i="10"/>
  <c r="H153" i="10"/>
  <c r="J153" i="10" s="1"/>
  <c r="H152" i="10"/>
  <c r="J152" i="10" s="1"/>
  <c r="H151" i="10"/>
  <c r="J151" i="10" s="1"/>
  <c r="H150" i="10"/>
  <c r="AW46" i="11" s="1"/>
  <c r="H149" i="10"/>
  <c r="R114" i="11" s="1"/>
  <c r="H148" i="10"/>
  <c r="H147" i="10"/>
  <c r="J147" i="10" s="1"/>
  <c r="J146" i="10"/>
  <c r="C83" i="10" s="1"/>
  <c r="H146" i="10"/>
  <c r="H145" i="10"/>
  <c r="H144" i="10"/>
  <c r="J144" i="10" s="1"/>
  <c r="H143" i="10"/>
  <c r="J143" i="10" s="1"/>
  <c r="H142" i="10"/>
  <c r="E110" i="11" s="1"/>
  <c r="H141" i="10"/>
  <c r="E108" i="11" s="1"/>
  <c r="H140" i="10"/>
  <c r="E106" i="11" s="1"/>
  <c r="H139" i="10"/>
  <c r="E104" i="11" s="1"/>
  <c r="H138" i="10"/>
  <c r="E102" i="11" s="1"/>
  <c r="H137" i="10"/>
  <c r="H136" i="10"/>
  <c r="J136" i="10" s="1"/>
  <c r="H135" i="10"/>
  <c r="J135" i="10" s="1"/>
  <c r="H134" i="10"/>
  <c r="AE32" i="11" s="1"/>
  <c r="H133" i="10"/>
  <c r="H132" i="10"/>
  <c r="H131" i="10"/>
  <c r="AX14" i="11" s="1"/>
  <c r="C62" i="5" s="1"/>
  <c r="H130" i="10"/>
  <c r="S5" i="11" s="1"/>
  <c r="H129" i="10"/>
  <c r="H128" i="10"/>
  <c r="H127" i="10"/>
  <c r="H126" i="10"/>
  <c r="H125" i="10"/>
  <c r="AO34" i="11" s="1"/>
  <c r="H124" i="10"/>
  <c r="F20" i="11" s="1"/>
  <c r="H123" i="10"/>
  <c r="B78" i="10" s="1"/>
  <c r="H122" i="10"/>
  <c r="B77" i="10" s="1"/>
  <c r="H121" i="10"/>
  <c r="M120" i="10"/>
  <c r="H120" i="10"/>
  <c r="H119" i="10"/>
  <c r="Z91" i="11" s="1"/>
  <c r="H118" i="10"/>
  <c r="Z87" i="11" s="1"/>
  <c r="H117" i="10"/>
  <c r="V96" i="11" s="1"/>
  <c r="H116" i="10"/>
  <c r="V90" i="11" s="1"/>
  <c r="H115" i="10"/>
  <c r="M114" i="10"/>
  <c r="H114" i="10"/>
  <c r="B71" i="10" s="1"/>
  <c r="H113" i="10"/>
  <c r="H112" i="10"/>
  <c r="B68" i="10" s="1"/>
  <c r="H111" i="10"/>
  <c r="L60" i="11" s="1"/>
  <c r="H110" i="10"/>
  <c r="F60" i="11" s="1"/>
  <c r="H109" i="10"/>
  <c r="M108" i="10"/>
  <c r="H108" i="10"/>
  <c r="H107" i="10"/>
  <c r="H106" i="10"/>
  <c r="F21" i="11" s="1"/>
  <c r="H105" i="10"/>
  <c r="H104" i="10"/>
  <c r="H102" i="10"/>
  <c r="AE90" i="11" s="1"/>
  <c r="H101" i="10"/>
  <c r="H100" i="10"/>
  <c r="H99" i="10"/>
  <c r="H98" i="10"/>
  <c r="H97" i="10"/>
  <c r="H96" i="10"/>
  <c r="AW95" i="11" s="1"/>
  <c r="H95" i="10"/>
  <c r="J95" i="10" s="1"/>
  <c r="H94" i="10"/>
  <c r="AE55" i="11" s="1"/>
  <c r="H93" i="10"/>
  <c r="J93" i="10" s="1"/>
  <c r="C93" i="10"/>
  <c r="H92" i="10"/>
  <c r="J92" i="10" s="1"/>
  <c r="C92" i="10"/>
  <c r="H91" i="10"/>
  <c r="AF48" i="11" s="1"/>
  <c r="C91" i="10"/>
  <c r="H90" i="10"/>
  <c r="AE88" i="11" s="1"/>
  <c r="C90" i="10"/>
  <c r="H89" i="10"/>
  <c r="J89" i="10" s="1"/>
  <c r="C89" i="10"/>
  <c r="H88" i="10"/>
  <c r="C88" i="10"/>
  <c r="H87" i="10"/>
  <c r="AE83" i="11" s="1"/>
  <c r="H86" i="10"/>
  <c r="J86" i="10" s="1"/>
  <c r="H85" i="10"/>
  <c r="J85" i="10" s="1"/>
  <c r="H84" i="10"/>
  <c r="AE80" i="11" s="1"/>
  <c r="H83" i="10"/>
  <c r="H82" i="10"/>
  <c r="K81" i="10"/>
  <c r="H81" i="10"/>
  <c r="J81" i="10" s="1"/>
  <c r="B81" i="10"/>
  <c r="H80" i="10"/>
  <c r="J80" i="10" s="1"/>
  <c r="V79" i="10"/>
  <c r="U79" i="10"/>
  <c r="H79" i="10"/>
  <c r="J79" i="10" s="1"/>
  <c r="V78" i="10"/>
  <c r="U78" i="10"/>
  <c r="H78" i="10"/>
  <c r="J78" i="10" s="1"/>
  <c r="H77" i="10"/>
  <c r="AE78" i="11" s="1"/>
  <c r="L76" i="10"/>
  <c r="U76" i="10" s="1"/>
  <c r="V76" i="10" s="1"/>
  <c r="H76" i="10"/>
  <c r="AE77" i="11" s="1"/>
  <c r="L75" i="10"/>
  <c r="U75" i="10" s="1"/>
  <c r="V75" i="10" s="1"/>
  <c r="H75" i="10"/>
  <c r="AG75" i="11" s="1"/>
  <c r="B75" i="10"/>
  <c r="U74" i="10"/>
  <c r="V74" i="10" s="1"/>
  <c r="L74" i="10"/>
  <c r="H74" i="10"/>
  <c r="B74" i="10"/>
  <c r="J73" i="10"/>
  <c r="H73" i="10"/>
  <c r="AM75" i="11" s="1"/>
  <c r="H72" i="10"/>
  <c r="J72" i="10" s="1"/>
  <c r="B72" i="10"/>
  <c r="V71" i="10"/>
  <c r="L71" i="10"/>
  <c r="M71" i="10" s="1"/>
  <c r="U71" i="10" s="1"/>
  <c r="H71" i="10"/>
  <c r="AF74" i="11" s="1"/>
  <c r="H70" i="10"/>
  <c r="AE73" i="11" s="1"/>
  <c r="U69" i="10"/>
  <c r="V69" i="10" s="1"/>
  <c r="R69" i="10"/>
  <c r="L69" i="10"/>
  <c r="H69" i="10"/>
  <c r="J69" i="10" s="1"/>
  <c r="B69" i="10"/>
  <c r="U68" i="10"/>
  <c r="V68" i="10" s="1"/>
  <c r="P68" i="10"/>
  <c r="Q68" i="10" s="1"/>
  <c r="L68" i="10"/>
  <c r="H68" i="10"/>
  <c r="J68" i="10" s="1"/>
  <c r="U67" i="10"/>
  <c r="V67" i="10" s="1"/>
  <c r="P67" i="10"/>
  <c r="L67" i="10"/>
  <c r="H67" i="10"/>
  <c r="K80" i="10" s="1"/>
  <c r="N80" i="10" s="1"/>
  <c r="R66" i="10"/>
  <c r="P66" i="10"/>
  <c r="Q66" i="10" s="1"/>
  <c r="L66" i="10"/>
  <c r="H66" i="10"/>
  <c r="U65" i="10"/>
  <c r="V65" i="10" s="1"/>
  <c r="P65" i="10"/>
  <c r="L65" i="10"/>
  <c r="H65" i="10"/>
  <c r="K79" i="10" s="1"/>
  <c r="N79" i="10" s="1"/>
  <c r="U64" i="10"/>
  <c r="V64" i="10" s="1"/>
  <c r="R64" i="10"/>
  <c r="P64" i="10"/>
  <c r="Q64" i="10" s="1"/>
  <c r="L64" i="10"/>
  <c r="H64" i="10"/>
  <c r="AE60" i="11" s="1"/>
  <c r="C64" i="10"/>
  <c r="U63" i="10"/>
  <c r="V63" i="10" s="1"/>
  <c r="P63" i="10"/>
  <c r="R63" i="10" s="1"/>
  <c r="L63" i="10"/>
  <c r="H63" i="10"/>
  <c r="P62" i="10"/>
  <c r="R62" i="10" s="1"/>
  <c r="L62" i="10"/>
  <c r="A9" i="11" s="1"/>
  <c r="H62" i="10"/>
  <c r="P61" i="10"/>
  <c r="Q61" i="10" s="1"/>
  <c r="L61" i="10"/>
  <c r="H61" i="10"/>
  <c r="P60" i="10"/>
  <c r="Q60" i="10" s="1"/>
  <c r="L60" i="10"/>
  <c r="M60" i="10" s="1"/>
  <c r="U60" i="10" s="1"/>
  <c r="V60" i="10" s="1"/>
  <c r="H60" i="10"/>
  <c r="P59" i="10"/>
  <c r="R59" i="10" s="1"/>
  <c r="L59" i="10"/>
  <c r="H59" i="10"/>
  <c r="L58" i="10"/>
  <c r="H58" i="10"/>
  <c r="H57" i="10"/>
  <c r="AH7" i="11" s="1"/>
  <c r="M56" i="10"/>
  <c r="U56" i="10" s="1"/>
  <c r="V56" i="10" s="1"/>
  <c r="L56" i="10"/>
  <c r="H56" i="10"/>
  <c r="AH6" i="11" s="1"/>
  <c r="U55" i="10"/>
  <c r="V55" i="10" s="1"/>
  <c r="L55" i="10"/>
  <c r="H55" i="10"/>
  <c r="AH5" i="11" s="1"/>
  <c r="M54" i="10"/>
  <c r="L54" i="10"/>
  <c r="U54" i="10" s="1"/>
  <c r="V54" i="10" s="1"/>
  <c r="H54" i="10"/>
  <c r="L53" i="10"/>
  <c r="U53" i="10" s="1"/>
  <c r="V53" i="10" s="1"/>
  <c r="H53" i="10"/>
  <c r="O52" i="10"/>
  <c r="L52" i="10"/>
  <c r="U52" i="10" s="1"/>
  <c r="V52" i="10" s="1"/>
  <c r="H52" i="10"/>
  <c r="AE79" i="11" s="1"/>
  <c r="P51" i="10"/>
  <c r="O51" i="10" s="1"/>
  <c r="U70" i="10" s="1"/>
  <c r="V70" i="10" s="1"/>
  <c r="L51" i="10"/>
  <c r="U51" i="10" s="1"/>
  <c r="V51" i="10" s="1"/>
  <c r="H51" i="10"/>
  <c r="AO85" i="11" s="1"/>
  <c r="N50" i="10"/>
  <c r="L50" i="10"/>
  <c r="U50" i="10" s="1"/>
  <c r="V50" i="10" s="1"/>
  <c r="H50" i="10"/>
  <c r="AO84" i="11" s="1"/>
  <c r="N49" i="10"/>
  <c r="H49" i="10"/>
  <c r="AN83" i="11" s="1"/>
  <c r="O48" i="10"/>
  <c r="N48" i="10"/>
  <c r="L48" i="10"/>
  <c r="L49" i="10" s="1"/>
  <c r="H48" i="10"/>
  <c r="A48" i="10"/>
  <c r="O47" i="10"/>
  <c r="N47" i="10"/>
  <c r="L47" i="10"/>
  <c r="U47" i="10" s="1"/>
  <c r="V47" i="10" s="1"/>
  <c r="H47" i="10"/>
  <c r="AE87" i="11" s="1"/>
  <c r="B47" i="10"/>
  <c r="V84" i="11" s="1"/>
  <c r="A47" i="10"/>
  <c r="U46" i="10"/>
  <c r="V46" i="10" s="1"/>
  <c r="N46" i="10"/>
  <c r="L46" i="10"/>
  <c r="H46" i="10"/>
  <c r="A46" i="10"/>
  <c r="AL45" i="10"/>
  <c r="AK45" i="10"/>
  <c r="AJ45" i="10"/>
  <c r="AI45" i="10"/>
  <c r="AH45" i="10"/>
  <c r="AB45" i="10"/>
  <c r="AM45" i="10" s="1"/>
  <c r="O45" i="10"/>
  <c r="N45" i="10"/>
  <c r="L45" i="10"/>
  <c r="U45" i="10" s="1"/>
  <c r="V45" i="10" s="1"/>
  <c r="H45" i="10"/>
  <c r="AF57" i="11" s="1"/>
  <c r="A45" i="10"/>
  <c r="AL44" i="10"/>
  <c r="AK44" i="10"/>
  <c r="AJ44" i="10"/>
  <c r="AI44" i="10"/>
  <c r="AH44" i="10"/>
  <c r="AB44" i="10"/>
  <c r="AM44" i="10" s="1"/>
  <c r="O44" i="10"/>
  <c r="N44" i="10"/>
  <c r="H44" i="10"/>
  <c r="AN56" i="11" s="1"/>
  <c r="B44" i="10"/>
  <c r="X71" i="11" s="1"/>
  <c r="A44" i="10"/>
  <c r="AL43" i="10"/>
  <c r="AK43" i="10"/>
  <c r="AJ43" i="10"/>
  <c r="AI43" i="10"/>
  <c r="AH43" i="10"/>
  <c r="AB43" i="10"/>
  <c r="AM43" i="10" s="1"/>
  <c r="O43" i="10"/>
  <c r="N43" i="10"/>
  <c r="L43" i="10"/>
  <c r="U43" i="10" s="1"/>
  <c r="V43" i="10" s="1"/>
  <c r="H43" i="10"/>
  <c r="AF56" i="11" s="1"/>
  <c r="A43" i="10"/>
  <c r="AM42" i="10"/>
  <c r="AL42" i="10"/>
  <c r="AK42" i="10"/>
  <c r="AJ42" i="10"/>
  <c r="AI42" i="10"/>
  <c r="AB42" i="10"/>
  <c r="U42" i="10"/>
  <c r="V42" i="10" s="1"/>
  <c r="O42" i="10"/>
  <c r="N42" i="10"/>
  <c r="L42" i="10"/>
  <c r="H42" i="10"/>
  <c r="AE52" i="11" s="1"/>
  <c r="A42" i="10"/>
  <c r="AM41" i="10"/>
  <c r="AL41" i="10"/>
  <c r="AK41" i="10"/>
  <c r="AJ41" i="10"/>
  <c r="AI41" i="10"/>
  <c r="AB41" i="10"/>
  <c r="S41" i="10"/>
  <c r="O41" i="10"/>
  <c r="N41" i="10"/>
  <c r="L41" i="10"/>
  <c r="U41" i="10" s="1"/>
  <c r="V41" i="10" s="1"/>
  <c r="H41" i="10"/>
  <c r="A41" i="10"/>
  <c r="AM40" i="10"/>
  <c r="AL40" i="10"/>
  <c r="AK40" i="10"/>
  <c r="AJ40" i="10"/>
  <c r="AI40" i="10"/>
  <c r="AB40" i="10"/>
  <c r="H40" i="10"/>
  <c r="AF46" i="11" s="1"/>
  <c r="AL39" i="10"/>
  <c r="AK39" i="10"/>
  <c r="AJ39" i="10"/>
  <c r="AI39" i="10"/>
  <c r="AB39" i="10"/>
  <c r="AM39" i="10" s="1"/>
  <c r="H39" i="10"/>
  <c r="AF45" i="11" s="1"/>
  <c r="AL38" i="10"/>
  <c r="AK38" i="10"/>
  <c r="AJ38" i="10"/>
  <c r="AI38" i="10"/>
  <c r="AB38" i="10"/>
  <c r="AM38" i="10" s="1"/>
  <c r="H38" i="10"/>
  <c r="AM37" i="10"/>
  <c r="AL37" i="10"/>
  <c r="AK37" i="10"/>
  <c r="AJ37" i="10"/>
  <c r="AI37" i="10"/>
  <c r="AB37" i="10"/>
  <c r="H37" i="10"/>
  <c r="AL36" i="10"/>
  <c r="AK36" i="10"/>
  <c r="AJ36" i="10"/>
  <c r="AI36" i="10"/>
  <c r="AB36" i="10"/>
  <c r="AM36" i="10" s="1"/>
  <c r="H36" i="10"/>
  <c r="AF43" i="11" s="1"/>
  <c r="AL35" i="10"/>
  <c r="AK35" i="10"/>
  <c r="AJ35" i="10"/>
  <c r="AI35" i="10"/>
  <c r="AB35" i="10"/>
  <c r="AM35" i="10" s="1"/>
  <c r="H35" i="10"/>
  <c r="AE42" i="11" s="1"/>
  <c r="AL34" i="10"/>
  <c r="AK34" i="10"/>
  <c r="AJ34" i="10"/>
  <c r="AI34" i="10"/>
  <c r="AH34" i="10"/>
  <c r="AB34" i="10"/>
  <c r="AM34" i="10" s="1"/>
  <c r="H34" i="10"/>
  <c r="Z46" i="11" s="1"/>
  <c r="AL33" i="10"/>
  <c r="AK33" i="10"/>
  <c r="AJ33" i="10"/>
  <c r="AI33" i="10"/>
  <c r="AB33" i="10"/>
  <c r="AM33" i="10" s="1"/>
  <c r="H33" i="10"/>
  <c r="P44" i="11" s="1"/>
  <c r="AL32" i="10"/>
  <c r="AK32" i="10"/>
  <c r="AJ32" i="10"/>
  <c r="AI32" i="10"/>
  <c r="AB32" i="10"/>
  <c r="AM32" i="10" s="1"/>
  <c r="H32" i="10"/>
  <c r="H49" i="11" s="1"/>
  <c r="AM31" i="10"/>
  <c r="AL31" i="10"/>
  <c r="AK31" i="10"/>
  <c r="AJ31" i="10"/>
  <c r="AI31" i="10"/>
  <c r="H31" i="10"/>
  <c r="N40" i="11" s="1"/>
  <c r="AM30" i="10"/>
  <c r="AL30" i="10"/>
  <c r="AK30" i="10"/>
  <c r="AJ30" i="10"/>
  <c r="AI30" i="10"/>
  <c r="H30" i="10"/>
  <c r="F40" i="11" s="1"/>
  <c r="C30" i="10"/>
  <c r="AM29" i="10"/>
  <c r="AL29" i="10"/>
  <c r="AK29" i="10"/>
  <c r="AJ29" i="10"/>
  <c r="AI29" i="10"/>
  <c r="H29" i="10"/>
  <c r="AF40" i="11" s="1"/>
  <c r="C29" i="10"/>
  <c r="AM28" i="10"/>
  <c r="AL28" i="10"/>
  <c r="AK28" i="10"/>
  <c r="AJ28" i="10"/>
  <c r="AI28" i="10"/>
  <c r="H28" i="10"/>
  <c r="AO37" i="11" s="1"/>
  <c r="C28" i="10"/>
  <c r="AM27" i="10"/>
  <c r="AL27" i="10"/>
  <c r="AK27" i="10"/>
  <c r="AJ27" i="10"/>
  <c r="AI27" i="10"/>
  <c r="H27" i="10"/>
  <c r="AO36" i="11" s="1"/>
  <c r="AL26" i="10"/>
  <c r="AK26" i="10"/>
  <c r="AJ26" i="10"/>
  <c r="AI26" i="10"/>
  <c r="AH26" i="10"/>
  <c r="AB26" i="10"/>
  <c r="AM26" i="10" s="1"/>
  <c r="H26" i="10"/>
  <c r="AO35" i="11" s="1"/>
  <c r="AM25" i="10"/>
  <c r="AL25" i="10"/>
  <c r="AK25" i="10"/>
  <c r="AJ25" i="10"/>
  <c r="AI25" i="10"/>
  <c r="H25" i="10"/>
  <c r="AO33" i="11" s="1"/>
  <c r="C25" i="10"/>
  <c r="AM24" i="10"/>
  <c r="AL24" i="10"/>
  <c r="AK24" i="10"/>
  <c r="AJ24" i="10"/>
  <c r="AI24" i="10"/>
  <c r="H24" i="10"/>
  <c r="C24" i="10"/>
  <c r="AM23" i="10"/>
  <c r="AL23" i="10"/>
  <c r="AK23" i="10"/>
  <c r="AJ23" i="10"/>
  <c r="AI23" i="10"/>
  <c r="H23" i="10"/>
  <c r="C23" i="10"/>
  <c r="AM22" i="10"/>
  <c r="AL22" i="10"/>
  <c r="AK22" i="10"/>
  <c r="AJ22" i="10"/>
  <c r="AI22" i="10"/>
  <c r="H22" i="10"/>
  <c r="AF39" i="11" s="1"/>
  <c r="C22" i="10"/>
  <c r="AM21" i="10"/>
  <c r="AL21" i="10"/>
  <c r="AK21" i="10"/>
  <c r="AJ21" i="10"/>
  <c r="AI21" i="10"/>
  <c r="H21" i="10"/>
  <c r="AO38" i="11" s="1"/>
  <c r="C21" i="10"/>
  <c r="AM20" i="10"/>
  <c r="AL20" i="10"/>
  <c r="AK20" i="10"/>
  <c r="AJ20" i="10"/>
  <c r="AI20" i="10"/>
  <c r="H20" i="10"/>
  <c r="AF38" i="11" s="1"/>
  <c r="C20" i="10"/>
  <c r="AM19" i="10"/>
  <c r="AL19" i="10"/>
  <c r="AK19" i="10"/>
  <c r="AJ19" i="10"/>
  <c r="AI19" i="10"/>
  <c r="H19" i="10"/>
  <c r="AF37" i="11" s="1"/>
  <c r="C19" i="10"/>
  <c r="AM18" i="10"/>
  <c r="AL18" i="10"/>
  <c r="AK18" i="10"/>
  <c r="AJ18" i="10"/>
  <c r="AI18" i="10"/>
  <c r="AH18" i="10"/>
  <c r="H18" i="10"/>
  <c r="AF36" i="11" s="1"/>
  <c r="C18" i="10"/>
  <c r="AM17" i="10"/>
  <c r="AL17" i="10"/>
  <c r="AK17" i="10"/>
  <c r="AJ17" i="10"/>
  <c r="AI17" i="10"/>
  <c r="H17" i="10"/>
  <c r="AF35" i="11" s="1"/>
  <c r="C17" i="10"/>
  <c r="AM16" i="10"/>
  <c r="AL16" i="10"/>
  <c r="AK16" i="10"/>
  <c r="AJ16" i="10"/>
  <c r="AI16" i="10"/>
  <c r="H16" i="10"/>
  <c r="AF34" i="11" s="1"/>
  <c r="C16" i="10"/>
  <c r="AM15" i="10"/>
  <c r="AL15" i="10"/>
  <c r="AK15" i="10"/>
  <c r="AJ15" i="10"/>
  <c r="AI15" i="10"/>
  <c r="H15" i="10"/>
  <c r="AF33" i="11" s="1"/>
  <c r="AM14" i="10"/>
  <c r="AL14" i="10"/>
  <c r="AK14" i="10"/>
  <c r="AJ14" i="10"/>
  <c r="AI14" i="10"/>
  <c r="H14" i="10"/>
  <c r="F34" i="11" s="1"/>
  <c r="AM13" i="10"/>
  <c r="AL13" i="10"/>
  <c r="AK13" i="10"/>
  <c r="AJ13" i="10"/>
  <c r="AI13" i="10"/>
  <c r="H13" i="10"/>
  <c r="F33" i="11" s="1"/>
  <c r="AM12" i="10"/>
  <c r="AL12" i="10"/>
  <c r="AK12" i="10"/>
  <c r="AJ12" i="10"/>
  <c r="AI12" i="10"/>
  <c r="I12" i="10"/>
  <c r="I133" i="10" s="1"/>
  <c r="H12" i="10"/>
  <c r="AM11" i="10"/>
  <c r="AL11" i="10"/>
  <c r="AK11" i="10"/>
  <c r="AJ11" i="10"/>
  <c r="AI11" i="10"/>
  <c r="H11" i="10"/>
  <c r="AN6" i="11" s="1"/>
  <c r="AM10" i="10"/>
  <c r="AL10" i="10"/>
  <c r="AK10" i="10"/>
  <c r="AJ10" i="10"/>
  <c r="AI10" i="10"/>
  <c r="AH10" i="10"/>
  <c r="H10" i="10"/>
  <c r="AN5" i="11" s="1"/>
  <c r="AM9" i="10"/>
  <c r="AL9" i="10"/>
  <c r="AK9" i="10"/>
  <c r="AJ9" i="10"/>
  <c r="AI9" i="10"/>
  <c r="H9" i="10"/>
  <c r="AM8" i="10"/>
  <c r="AL8" i="10"/>
  <c r="AK8" i="10"/>
  <c r="AJ8" i="10"/>
  <c r="AI8" i="10"/>
  <c r="H8" i="10"/>
  <c r="S7" i="11" s="1"/>
  <c r="AM7" i="10"/>
  <c r="AL7" i="10"/>
  <c r="AK7" i="10"/>
  <c r="AJ7" i="10"/>
  <c r="AI7" i="10"/>
  <c r="H7" i="10"/>
  <c r="S6" i="11" s="1"/>
  <c r="AM6" i="10"/>
  <c r="AL6" i="10"/>
  <c r="AK6" i="10"/>
  <c r="AJ6" i="10"/>
  <c r="AI6" i="10"/>
  <c r="H6" i="10"/>
  <c r="F7" i="11" s="1"/>
  <c r="AM5" i="10"/>
  <c r="AL5" i="10"/>
  <c r="AK5" i="10"/>
  <c r="AJ5" i="10"/>
  <c r="AI5" i="10"/>
  <c r="H5" i="10"/>
  <c r="F6" i="11" s="1"/>
  <c r="AM4" i="10"/>
  <c r="AL4" i="10"/>
  <c r="AK4" i="10"/>
  <c r="AJ4" i="10"/>
  <c r="AI4" i="10"/>
  <c r="H4" i="10"/>
  <c r="E5" i="11" s="1"/>
  <c r="AM3" i="10"/>
  <c r="AL3" i="10"/>
  <c r="AK3" i="10"/>
  <c r="AJ3" i="10"/>
  <c r="AI3" i="10"/>
  <c r="H3" i="10"/>
  <c r="H2" i="10"/>
  <c r="AX3" i="11" s="1"/>
  <c r="AL1" i="10"/>
  <c r="AO53" i="11" s="1"/>
  <c r="AK1" i="10"/>
  <c r="AK53" i="11" s="1"/>
  <c r="AJ1" i="10"/>
  <c r="AH53" i="11" s="1"/>
  <c r="E116" i="9"/>
  <c r="E102" i="9"/>
  <c r="O95" i="9"/>
  <c r="H95" i="9"/>
  <c r="V90" i="9"/>
  <c r="AS86" i="9"/>
  <c r="AO86" i="9"/>
  <c r="AO84" i="9"/>
  <c r="O84" i="9"/>
  <c r="H84" i="9"/>
  <c r="AE78" i="9"/>
  <c r="AE77" i="9"/>
  <c r="R71" i="9"/>
  <c r="L71" i="9"/>
  <c r="F71" i="9"/>
  <c r="Q59" i="9"/>
  <c r="AF56" i="9"/>
  <c r="AO53" i="9"/>
  <c r="AF48" i="9"/>
  <c r="AF45" i="9"/>
  <c r="AX43" i="9"/>
  <c r="AW42" i="9"/>
  <c r="AW41" i="9"/>
  <c r="O50" i="8" s="1"/>
  <c r="AW40" i="9"/>
  <c r="AW39" i="9"/>
  <c r="AW38" i="9"/>
  <c r="O47" i="8" s="1"/>
  <c r="AM38" i="9"/>
  <c r="AW37" i="9"/>
  <c r="AW36" i="9"/>
  <c r="O45" i="8" s="1"/>
  <c r="AO36" i="9"/>
  <c r="AW35" i="9"/>
  <c r="AF35" i="9"/>
  <c r="AW34" i="9"/>
  <c r="AW43" i="9" s="1"/>
  <c r="AY43" i="9" s="1"/>
  <c r="AW33" i="9"/>
  <c r="AW30" i="9"/>
  <c r="A28" i="9"/>
  <c r="AP14" i="9"/>
  <c r="AL14" i="9"/>
  <c r="AH14" i="9"/>
  <c r="AD14" i="9"/>
  <c r="Z14" i="9"/>
  <c r="V14" i="9"/>
  <c r="R14" i="9"/>
  <c r="N14" i="9"/>
  <c r="J14" i="9"/>
  <c r="F14" i="9"/>
  <c r="AR13" i="9"/>
  <c r="AN13" i="9"/>
  <c r="AJ13" i="9"/>
  <c r="AF13" i="9"/>
  <c r="AB13" i="9"/>
  <c r="X13" i="9"/>
  <c r="T13" i="9"/>
  <c r="P13" i="9"/>
  <c r="L13" i="9"/>
  <c r="H13" i="9"/>
  <c r="E13" i="9"/>
  <c r="AR12" i="9"/>
  <c r="AN12" i="9"/>
  <c r="AJ12" i="9"/>
  <c r="AF12" i="9"/>
  <c r="AB12" i="9"/>
  <c r="X12" i="9"/>
  <c r="T12" i="9"/>
  <c r="P12" i="9"/>
  <c r="L12" i="9"/>
  <c r="H12" i="9"/>
  <c r="C11" i="9"/>
  <c r="U58" i="8" s="1"/>
  <c r="V58" i="8" s="1"/>
  <c r="F7" i="9"/>
  <c r="BL5" i="9"/>
  <c r="BK5" i="9"/>
  <c r="BJ5" i="9"/>
  <c r="BF5" i="9"/>
  <c r="BB3" i="9"/>
  <c r="AX3" i="9"/>
  <c r="BB2" i="9"/>
  <c r="N40" i="5" s="1"/>
  <c r="H209" i="8"/>
  <c r="H208" i="8"/>
  <c r="H207" i="8"/>
  <c r="H206" i="8"/>
  <c r="H205" i="8"/>
  <c r="H204" i="8"/>
  <c r="H203" i="8"/>
  <c r="H202" i="8"/>
  <c r="H201" i="8"/>
  <c r="H200" i="8"/>
  <c r="H199" i="8"/>
  <c r="H198" i="8"/>
  <c r="H197" i="8"/>
  <c r="H196" i="8"/>
  <c r="H195" i="8"/>
  <c r="AX10" i="9" s="1"/>
  <c r="H194" i="8"/>
  <c r="AX9" i="9" s="1"/>
  <c r="H193" i="8"/>
  <c r="AX7" i="9" s="1"/>
  <c r="H192" i="8"/>
  <c r="H191" i="8"/>
  <c r="H190" i="8"/>
  <c r="H189" i="8"/>
  <c r="H188" i="8"/>
  <c r="H187" i="8"/>
  <c r="H186" i="8"/>
  <c r="H185" i="8"/>
  <c r="BG4" i="9" s="1"/>
  <c r="H184" i="8"/>
  <c r="BE4" i="9" s="1"/>
  <c r="H183" i="8"/>
  <c r="BE3" i="9" s="1"/>
  <c r="H182" i="8"/>
  <c r="H181" i="8"/>
  <c r="AE96" i="9" s="1"/>
  <c r="H180" i="8"/>
  <c r="H179" i="8"/>
  <c r="H178" i="8"/>
  <c r="J178" i="8" s="1"/>
  <c r="H177" i="8"/>
  <c r="J177" i="8" s="1"/>
  <c r="H176" i="8"/>
  <c r="AF47" i="9" s="1"/>
  <c r="H175" i="8"/>
  <c r="J175" i="8" s="1"/>
  <c r="J174" i="8"/>
  <c r="H174" i="8"/>
  <c r="H173" i="8"/>
  <c r="H172" i="8"/>
  <c r="H171" i="8"/>
  <c r="H170" i="8"/>
  <c r="H169" i="8"/>
  <c r="H168" i="8"/>
  <c r="H167" i="8"/>
  <c r="H166" i="8"/>
  <c r="H165" i="8"/>
  <c r="H164" i="8"/>
  <c r="H163" i="8"/>
  <c r="H162" i="8"/>
  <c r="H161" i="8"/>
  <c r="K82" i="8" s="1"/>
  <c r="H160" i="8"/>
  <c r="H159" i="8"/>
  <c r="J134" i="8" s="1"/>
  <c r="H158" i="8"/>
  <c r="H157" i="8"/>
  <c r="AX22" i="9" s="1"/>
  <c r="H156" i="8"/>
  <c r="H155" i="8"/>
  <c r="H154" i="8"/>
  <c r="M137" i="8" s="1"/>
  <c r="H153" i="8"/>
  <c r="J153" i="8" s="1"/>
  <c r="H152" i="8"/>
  <c r="J152" i="8" s="1"/>
  <c r="H151" i="8"/>
  <c r="J151" i="8" s="1"/>
  <c r="H150" i="8"/>
  <c r="AW46" i="9" s="1"/>
  <c r="H149" i="8"/>
  <c r="R114" i="9" s="1"/>
  <c r="H148" i="8"/>
  <c r="H147" i="8"/>
  <c r="J147" i="8" s="1"/>
  <c r="J146" i="8"/>
  <c r="C82" i="8" s="1"/>
  <c r="H146" i="8"/>
  <c r="H145" i="8"/>
  <c r="H144" i="8"/>
  <c r="J144" i="8" s="1"/>
  <c r="H143" i="8"/>
  <c r="J143" i="8" s="1"/>
  <c r="R112" i="9" s="1"/>
  <c r="H142" i="8"/>
  <c r="E110" i="9" s="1"/>
  <c r="H141" i="8"/>
  <c r="E108" i="9" s="1"/>
  <c r="H140" i="8"/>
  <c r="E106" i="9" s="1"/>
  <c r="H139" i="8"/>
  <c r="E104" i="9" s="1"/>
  <c r="M138" i="8"/>
  <c r="H138" i="8"/>
  <c r="H137" i="8"/>
  <c r="M136" i="8"/>
  <c r="J136" i="8"/>
  <c r="H136" i="8"/>
  <c r="M135" i="8"/>
  <c r="J135" i="8"/>
  <c r="H135" i="8"/>
  <c r="M134" i="8"/>
  <c r="H134" i="8"/>
  <c r="K42" i="5" s="1"/>
  <c r="M133" i="8"/>
  <c r="H133" i="8"/>
  <c r="M132" i="8"/>
  <c r="H132" i="8"/>
  <c r="M131" i="8"/>
  <c r="H131" i="8"/>
  <c r="AX14" i="9" s="1"/>
  <c r="M130" i="8"/>
  <c r="H130" i="8"/>
  <c r="S5" i="9" s="1"/>
  <c r="M129" i="8"/>
  <c r="H129" i="8"/>
  <c r="M128" i="8"/>
  <c r="H128" i="8"/>
  <c r="M127" i="8"/>
  <c r="H127" i="8"/>
  <c r="M126" i="8"/>
  <c r="H126" i="8"/>
  <c r="M125" i="8"/>
  <c r="H125" i="8"/>
  <c r="AO34" i="9" s="1"/>
  <c r="M124" i="8"/>
  <c r="H124" i="8"/>
  <c r="F20" i="9" s="1"/>
  <c r="M123" i="8"/>
  <c r="H123" i="8"/>
  <c r="B78" i="8" s="1"/>
  <c r="M122" i="8"/>
  <c r="H122" i="8"/>
  <c r="M121" i="8"/>
  <c r="H121" i="8"/>
  <c r="B75" i="8" s="1"/>
  <c r="M120" i="8"/>
  <c r="H120" i="8"/>
  <c r="B74" i="8" s="1"/>
  <c r="M119" i="8"/>
  <c r="H119" i="8"/>
  <c r="Z91" i="9" s="1"/>
  <c r="M118" i="8"/>
  <c r="H118" i="8"/>
  <c r="Z87" i="9" s="1"/>
  <c r="M117" i="8"/>
  <c r="H117" i="8"/>
  <c r="V96" i="9" s="1"/>
  <c r="M116" i="8"/>
  <c r="H116" i="8"/>
  <c r="M115" i="8"/>
  <c r="H115" i="8"/>
  <c r="B72" i="8" s="1"/>
  <c r="M114" i="8"/>
  <c r="H114" i="8"/>
  <c r="B71" i="8" s="1"/>
  <c r="M113" i="8"/>
  <c r="H113" i="8"/>
  <c r="B69" i="8" s="1"/>
  <c r="M112" i="8"/>
  <c r="H112" i="8"/>
  <c r="B68" i="8" s="1"/>
  <c r="M111" i="8"/>
  <c r="H111" i="8"/>
  <c r="L60" i="9" s="1"/>
  <c r="M110" i="8"/>
  <c r="H110" i="8"/>
  <c r="F60" i="9" s="1"/>
  <c r="M109" i="8"/>
  <c r="H109" i="8"/>
  <c r="M108" i="8"/>
  <c r="H108" i="8"/>
  <c r="M107" i="8"/>
  <c r="H107" i="8"/>
  <c r="M106" i="8"/>
  <c r="H106" i="8"/>
  <c r="M105" i="8"/>
  <c r="H105" i="8"/>
  <c r="M104" i="8"/>
  <c r="H104" i="8"/>
  <c r="M103" i="8"/>
  <c r="M102" i="8"/>
  <c r="H102" i="8"/>
  <c r="AE90" i="9" s="1"/>
  <c r="M101" i="8"/>
  <c r="H101" i="8"/>
  <c r="M100" i="8"/>
  <c r="H100" i="8"/>
  <c r="M99" i="8"/>
  <c r="H99" i="8"/>
  <c r="M98" i="8"/>
  <c r="H98" i="8"/>
  <c r="M97" i="8"/>
  <c r="H97" i="8"/>
  <c r="M96" i="8"/>
  <c r="H96" i="8"/>
  <c r="J96" i="8" s="1"/>
  <c r="M95" i="8"/>
  <c r="J95" i="8"/>
  <c r="H95" i="8"/>
  <c r="M94" i="8"/>
  <c r="H94" i="8"/>
  <c r="AE55" i="9" s="1"/>
  <c r="M93" i="8"/>
  <c r="H93" i="8"/>
  <c r="J93" i="8" s="1"/>
  <c r="C93" i="8"/>
  <c r="M92" i="8"/>
  <c r="H92" i="8"/>
  <c r="J92" i="8" s="1"/>
  <c r="C92" i="8"/>
  <c r="M91" i="8"/>
  <c r="H91" i="8"/>
  <c r="C91" i="8"/>
  <c r="M90" i="8"/>
  <c r="H90" i="8"/>
  <c r="AE88" i="9" s="1"/>
  <c r="C90" i="8"/>
  <c r="M89" i="8"/>
  <c r="H89" i="8"/>
  <c r="J89" i="8" s="1"/>
  <c r="C89" i="8"/>
  <c r="M88" i="8"/>
  <c r="H88" i="8"/>
  <c r="J88" i="8" s="1"/>
  <c r="C88" i="8"/>
  <c r="M87" i="8"/>
  <c r="H87" i="8"/>
  <c r="AE83" i="9" s="1"/>
  <c r="J86" i="8"/>
  <c r="H86" i="8"/>
  <c r="H85" i="8"/>
  <c r="J85" i="8" s="1"/>
  <c r="H84" i="8"/>
  <c r="AE80" i="9" s="1"/>
  <c r="C84" i="8"/>
  <c r="H83" i="8"/>
  <c r="H82" i="8"/>
  <c r="H81" i="8"/>
  <c r="J81" i="8" s="1"/>
  <c r="B81" i="8"/>
  <c r="H80" i="8"/>
  <c r="U79" i="8"/>
  <c r="V79" i="8" s="1"/>
  <c r="H79" i="8"/>
  <c r="J79" i="8" s="1"/>
  <c r="U78" i="8"/>
  <c r="V78" i="8" s="1"/>
  <c r="H78" i="8"/>
  <c r="J78" i="8" s="1"/>
  <c r="H77" i="8"/>
  <c r="B77" i="8"/>
  <c r="U76" i="8"/>
  <c r="V76" i="8" s="1"/>
  <c r="L76" i="8"/>
  <c r="H76" i="8"/>
  <c r="L75" i="8"/>
  <c r="U75" i="8" s="1"/>
  <c r="V75" i="8" s="1"/>
  <c r="H75" i="8"/>
  <c r="AG75" i="9" s="1"/>
  <c r="L74" i="8"/>
  <c r="U74" i="8" s="1"/>
  <c r="V74" i="8" s="1"/>
  <c r="H74" i="8"/>
  <c r="AM76" i="9" s="1"/>
  <c r="H73" i="8"/>
  <c r="J73" i="8" s="1"/>
  <c r="H72" i="8"/>
  <c r="M71" i="8"/>
  <c r="U71" i="8" s="1"/>
  <c r="V71" i="8" s="1"/>
  <c r="L71" i="8"/>
  <c r="H71" i="8"/>
  <c r="AF74" i="9" s="1"/>
  <c r="H70" i="8"/>
  <c r="AE73" i="9" s="1"/>
  <c r="U69" i="8"/>
  <c r="V69" i="8" s="1"/>
  <c r="R69" i="8"/>
  <c r="L69" i="8"/>
  <c r="H69" i="8"/>
  <c r="J69" i="8" s="1"/>
  <c r="U68" i="8"/>
  <c r="V68" i="8" s="1"/>
  <c r="W68" i="8" s="1"/>
  <c r="P68" i="8"/>
  <c r="L68" i="8"/>
  <c r="H68" i="8"/>
  <c r="J68" i="8" s="1"/>
  <c r="V67" i="8"/>
  <c r="U67" i="8"/>
  <c r="P67" i="8"/>
  <c r="R67" i="8" s="1"/>
  <c r="L67" i="8"/>
  <c r="H67" i="8"/>
  <c r="K80" i="8" s="1"/>
  <c r="N80" i="8" s="1"/>
  <c r="P66" i="8"/>
  <c r="M66" i="8"/>
  <c r="U66" i="8" s="1"/>
  <c r="V66" i="8" s="1"/>
  <c r="L66" i="8"/>
  <c r="H66" i="8"/>
  <c r="K81" i="8" s="1"/>
  <c r="U65" i="8"/>
  <c r="V65" i="8" s="1"/>
  <c r="P65" i="8"/>
  <c r="L65" i="8"/>
  <c r="H65" i="8"/>
  <c r="K79" i="8" s="1"/>
  <c r="N79" i="8" s="1"/>
  <c r="U64" i="8"/>
  <c r="V64" i="8" s="1"/>
  <c r="R64" i="8"/>
  <c r="P64" i="8"/>
  <c r="Q64" i="8" s="1"/>
  <c r="L64" i="8"/>
  <c r="H64" i="8"/>
  <c r="AE60" i="9" s="1"/>
  <c r="C64" i="8"/>
  <c r="U63" i="8"/>
  <c r="V63" i="8" s="1"/>
  <c r="R63" i="8"/>
  <c r="P63" i="8"/>
  <c r="Q63" i="8" s="1"/>
  <c r="L63" i="8"/>
  <c r="H63" i="8"/>
  <c r="R62" i="8"/>
  <c r="P62" i="8"/>
  <c r="Q62" i="8" s="1"/>
  <c r="L62" i="8"/>
  <c r="A9" i="9" s="1"/>
  <c r="H62" i="8"/>
  <c r="P61" i="8"/>
  <c r="L61" i="8"/>
  <c r="H61" i="8"/>
  <c r="R60" i="8"/>
  <c r="P60" i="8"/>
  <c r="Q60" i="8" s="1"/>
  <c r="L60" i="8"/>
  <c r="M60" i="8" s="1"/>
  <c r="U60" i="8" s="1"/>
  <c r="V60" i="8" s="1"/>
  <c r="H60" i="8"/>
  <c r="R59" i="8"/>
  <c r="P59" i="8"/>
  <c r="Q59" i="8" s="1"/>
  <c r="L59" i="8"/>
  <c r="H59" i="8"/>
  <c r="L58" i="8"/>
  <c r="M62" i="8" s="1"/>
  <c r="U62" i="8" s="1"/>
  <c r="V62" i="8" s="1"/>
  <c r="H58" i="8"/>
  <c r="H57" i="8"/>
  <c r="AH7" i="9" s="1"/>
  <c r="L56" i="8"/>
  <c r="M56" i="8" s="1"/>
  <c r="U56" i="8" s="1"/>
  <c r="V56" i="8" s="1"/>
  <c r="H56" i="8"/>
  <c r="AH6" i="9" s="1"/>
  <c r="C44" i="5" s="1"/>
  <c r="L55" i="8"/>
  <c r="U55" i="8" s="1"/>
  <c r="V55" i="8" s="1"/>
  <c r="H55" i="8"/>
  <c r="AH5" i="9" s="1"/>
  <c r="C42" i="5" s="1"/>
  <c r="M54" i="8"/>
  <c r="L54" i="8"/>
  <c r="U54" i="8" s="1"/>
  <c r="V54" i="8" s="1"/>
  <c r="H54" i="8"/>
  <c r="L53" i="8"/>
  <c r="U53" i="8" s="1"/>
  <c r="V53" i="8" s="1"/>
  <c r="H53" i="8"/>
  <c r="O52" i="8"/>
  <c r="L52" i="8"/>
  <c r="U52" i="8" s="1"/>
  <c r="V52" i="8" s="1"/>
  <c r="H52" i="8"/>
  <c r="AE79" i="9" s="1"/>
  <c r="U51" i="8"/>
  <c r="V51" i="8" s="1"/>
  <c r="P51" i="8"/>
  <c r="O51" i="8" s="1"/>
  <c r="L70" i="8" s="1"/>
  <c r="L51" i="8"/>
  <c r="H51" i="8"/>
  <c r="AO85" i="9" s="1"/>
  <c r="V50" i="8"/>
  <c r="N50" i="8"/>
  <c r="L50" i="8"/>
  <c r="U50" i="8" s="1"/>
  <c r="H50" i="8"/>
  <c r="U49" i="8"/>
  <c r="V49" i="8" s="1"/>
  <c r="O49" i="8"/>
  <c r="N49" i="8"/>
  <c r="H49" i="8"/>
  <c r="AN83" i="9" s="1"/>
  <c r="O48" i="8"/>
  <c r="N48" i="8"/>
  <c r="L48" i="8"/>
  <c r="L49" i="8" s="1"/>
  <c r="M48" i="8" s="1"/>
  <c r="H48" i="8"/>
  <c r="A48" i="8"/>
  <c r="U47" i="8"/>
  <c r="V47" i="8" s="1"/>
  <c r="N47" i="8"/>
  <c r="L47" i="8"/>
  <c r="H47" i="8"/>
  <c r="AE87" i="9" s="1"/>
  <c r="B47" i="8"/>
  <c r="V84" i="9" s="1"/>
  <c r="A47" i="8"/>
  <c r="U46" i="8"/>
  <c r="V46" i="8" s="1"/>
  <c r="O46" i="8"/>
  <c r="N46" i="8"/>
  <c r="L46" i="8"/>
  <c r="H46" i="8"/>
  <c r="A46" i="8"/>
  <c r="AL45" i="8"/>
  <c r="AK45" i="8"/>
  <c r="AJ45" i="8"/>
  <c r="AI45" i="8"/>
  <c r="V45" i="8"/>
  <c r="N45" i="8"/>
  <c r="L45" i="8"/>
  <c r="U45" i="8" s="1"/>
  <c r="H45" i="8"/>
  <c r="AF57" i="9" s="1"/>
  <c r="A45" i="8"/>
  <c r="AL44" i="8"/>
  <c r="AK44" i="8"/>
  <c r="AJ44" i="8"/>
  <c r="AI44" i="8"/>
  <c r="AH44" i="8"/>
  <c r="O44" i="8"/>
  <c r="N44" i="8"/>
  <c r="H44" i="8"/>
  <c r="AN56" i="9" s="1"/>
  <c r="B44" i="8"/>
  <c r="X71" i="9" s="1"/>
  <c r="A44" i="8"/>
  <c r="AL43" i="8"/>
  <c r="AK43" i="8"/>
  <c r="AJ43" i="8"/>
  <c r="AI43" i="8"/>
  <c r="AH43" i="8"/>
  <c r="AB43" i="8"/>
  <c r="AM43" i="8" s="1"/>
  <c r="N43" i="8"/>
  <c r="L43" i="8"/>
  <c r="U43" i="8" s="1"/>
  <c r="V43" i="8" s="1"/>
  <c r="H43" i="8"/>
  <c r="A43" i="8"/>
  <c r="AL42" i="8"/>
  <c r="AK42" i="8"/>
  <c r="AJ42" i="8"/>
  <c r="AI42" i="8"/>
  <c r="U42" i="8"/>
  <c r="V42" i="8" s="1"/>
  <c r="O42" i="8"/>
  <c r="N42" i="8"/>
  <c r="L42" i="8"/>
  <c r="H42" i="8"/>
  <c r="AE52" i="9" s="1"/>
  <c r="A42" i="8"/>
  <c r="AL41" i="8"/>
  <c r="AK41" i="8"/>
  <c r="AJ41" i="8"/>
  <c r="AI41" i="8"/>
  <c r="S41" i="8"/>
  <c r="O41" i="8"/>
  <c r="N41" i="8"/>
  <c r="L41" i="8"/>
  <c r="U41" i="8" s="1"/>
  <c r="V41" i="8" s="1"/>
  <c r="H41" i="8"/>
  <c r="A41" i="8"/>
  <c r="AL40" i="8"/>
  <c r="AK40" i="8"/>
  <c r="AJ40" i="8"/>
  <c r="AI40" i="8"/>
  <c r="AB40" i="8"/>
  <c r="AM40" i="8" s="1"/>
  <c r="H40" i="8"/>
  <c r="AF46" i="9" s="1"/>
  <c r="AL39" i="8"/>
  <c r="AK39" i="8"/>
  <c r="AJ39" i="8"/>
  <c r="AI39" i="8"/>
  <c r="H39" i="8"/>
  <c r="AL38" i="8"/>
  <c r="AK38" i="8"/>
  <c r="AJ38" i="8"/>
  <c r="AI38" i="8"/>
  <c r="H38" i="8"/>
  <c r="AL37" i="8"/>
  <c r="AK37" i="8"/>
  <c r="AJ37" i="8"/>
  <c r="AI37" i="8"/>
  <c r="H37" i="8"/>
  <c r="AL36" i="8"/>
  <c r="AK36" i="8"/>
  <c r="AJ36" i="8"/>
  <c r="AI36" i="8"/>
  <c r="H36" i="8"/>
  <c r="AF43" i="9" s="1"/>
  <c r="AL35" i="8"/>
  <c r="AK35" i="8"/>
  <c r="AJ35" i="8"/>
  <c r="AI35" i="8"/>
  <c r="AB35" i="8"/>
  <c r="AM35" i="8" s="1"/>
  <c r="H35" i="8"/>
  <c r="AE42" i="9" s="1"/>
  <c r="AL34" i="8"/>
  <c r="AK34" i="8"/>
  <c r="AJ34" i="8"/>
  <c r="AI34" i="8"/>
  <c r="H34" i="8"/>
  <c r="Z46" i="9" s="1"/>
  <c r="AL33" i="8"/>
  <c r="AK33" i="8"/>
  <c r="AJ33" i="8"/>
  <c r="AI33" i="8"/>
  <c r="H33" i="8"/>
  <c r="P44" i="9" s="1"/>
  <c r="AL32" i="8"/>
  <c r="AK32" i="8"/>
  <c r="AJ32" i="8"/>
  <c r="AI32" i="8"/>
  <c r="H32" i="8"/>
  <c r="H49" i="9" s="1"/>
  <c r="AM31" i="8"/>
  <c r="AL31" i="8"/>
  <c r="AK31" i="8"/>
  <c r="AJ31" i="8"/>
  <c r="AI31" i="8"/>
  <c r="H31" i="8"/>
  <c r="N40" i="9" s="1"/>
  <c r="AM30" i="8"/>
  <c r="AL30" i="8"/>
  <c r="AK30" i="8"/>
  <c r="AJ30" i="8"/>
  <c r="AI30" i="8"/>
  <c r="H30" i="8"/>
  <c r="F40" i="9" s="1"/>
  <c r="C30" i="8"/>
  <c r="AM29" i="8"/>
  <c r="AL29" i="8"/>
  <c r="AK29" i="8"/>
  <c r="AJ29" i="8"/>
  <c r="AI29" i="8"/>
  <c r="H29" i="8"/>
  <c r="AF40" i="9" s="1"/>
  <c r="C29" i="8"/>
  <c r="AM28" i="8"/>
  <c r="AL28" i="8"/>
  <c r="AK28" i="8"/>
  <c r="AJ28" i="8"/>
  <c r="AI28" i="8"/>
  <c r="H28" i="8"/>
  <c r="AO37" i="9" s="1"/>
  <c r="C28" i="8"/>
  <c r="AM27" i="8"/>
  <c r="AL27" i="8"/>
  <c r="AK27" i="8"/>
  <c r="AJ27" i="8"/>
  <c r="AI27" i="8"/>
  <c r="H27" i="8"/>
  <c r="AL26" i="8"/>
  <c r="AK26" i="8"/>
  <c r="AJ26" i="8"/>
  <c r="AI26" i="8"/>
  <c r="H26" i="8"/>
  <c r="AO35" i="9" s="1"/>
  <c r="AM25" i="8"/>
  <c r="AL25" i="8"/>
  <c r="AK25" i="8"/>
  <c r="AJ25" i="8"/>
  <c r="AI25" i="8"/>
  <c r="H25" i="8"/>
  <c r="AO33" i="9" s="1"/>
  <c r="C25" i="8"/>
  <c r="AM24" i="8"/>
  <c r="AL24" i="8"/>
  <c r="AK24" i="8"/>
  <c r="AJ24" i="8"/>
  <c r="AI24" i="8"/>
  <c r="H24" i="8"/>
  <c r="C24" i="8"/>
  <c r="AM23" i="8"/>
  <c r="AL23" i="8"/>
  <c r="AK23" i="8"/>
  <c r="AJ23" i="8"/>
  <c r="AI23" i="8"/>
  <c r="H23" i="8"/>
  <c r="C23" i="8"/>
  <c r="AM22" i="8"/>
  <c r="AL22" i="8"/>
  <c r="AK22" i="8"/>
  <c r="AJ22" i="8"/>
  <c r="AI22" i="8"/>
  <c r="H22" i="8"/>
  <c r="AF39" i="9" s="1"/>
  <c r="C22" i="8"/>
  <c r="AM21" i="8"/>
  <c r="AL21" i="8"/>
  <c r="AK21" i="8"/>
  <c r="AJ21" i="8"/>
  <c r="AI21" i="8"/>
  <c r="H21" i="8"/>
  <c r="AO38" i="9" s="1"/>
  <c r="C21" i="8"/>
  <c r="AM20" i="8"/>
  <c r="AL20" i="8"/>
  <c r="AK20" i="8"/>
  <c r="AJ20" i="8"/>
  <c r="AI20" i="8"/>
  <c r="H20" i="8"/>
  <c r="AF38" i="9" s="1"/>
  <c r="C20" i="8"/>
  <c r="AM19" i="8"/>
  <c r="AL19" i="8"/>
  <c r="AK19" i="8"/>
  <c r="AJ19" i="8"/>
  <c r="AI19" i="8"/>
  <c r="H19" i="8"/>
  <c r="AF37" i="9" s="1"/>
  <c r="C19" i="8"/>
  <c r="AM18" i="8"/>
  <c r="AL18" i="8"/>
  <c r="AK18" i="8"/>
  <c r="AJ18" i="8"/>
  <c r="AI18" i="8"/>
  <c r="H18" i="8"/>
  <c r="AF36" i="9" s="1"/>
  <c r="C18" i="8"/>
  <c r="AM17" i="8"/>
  <c r="AL17" i="8"/>
  <c r="AK17" i="8"/>
  <c r="AJ17" i="8"/>
  <c r="AI17" i="8"/>
  <c r="H17" i="8"/>
  <c r="C17" i="8"/>
  <c r="AM16" i="8"/>
  <c r="AL16" i="8"/>
  <c r="AK16" i="8"/>
  <c r="AJ16" i="8"/>
  <c r="AI16" i="8"/>
  <c r="H16" i="8"/>
  <c r="AF34" i="9" s="1"/>
  <c r="C16" i="8"/>
  <c r="AM15" i="8"/>
  <c r="AL15" i="8"/>
  <c r="AK15" i="8"/>
  <c r="AJ15" i="8"/>
  <c r="AI15" i="8"/>
  <c r="H15" i="8"/>
  <c r="AF33" i="9" s="1"/>
  <c r="AM14" i="8"/>
  <c r="AL14" i="8"/>
  <c r="AK14" i="8"/>
  <c r="AJ14" i="8"/>
  <c r="AI14" i="8"/>
  <c r="H14" i="8"/>
  <c r="F34" i="9" s="1"/>
  <c r="AM13" i="8"/>
  <c r="AL13" i="8"/>
  <c r="AK13" i="8"/>
  <c r="AJ13" i="8"/>
  <c r="AI13" i="8"/>
  <c r="H13" i="8"/>
  <c r="F33" i="9" s="1"/>
  <c r="AM12" i="8"/>
  <c r="AL12" i="8"/>
  <c r="AK12" i="8"/>
  <c r="AJ12" i="8"/>
  <c r="AI12" i="8"/>
  <c r="I12" i="8"/>
  <c r="L44" i="8" s="1"/>
  <c r="U44" i="8" s="1"/>
  <c r="V44" i="8" s="1"/>
  <c r="H12" i="8"/>
  <c r="AM11" i="8"/>
  <c r="AL11" i="8"/>
  <c r="AK11" i="8"/>
  <c r="AJ11" i="8"/>
  <c r="AI11" i="8"/>
  <c r="H11" i="8"/>
  <c r="AN6" i="9" s="1"/>
  <c r="AM10" i="8"/>
  <c r="AL10" i="8"/>
  <c r="AK10" i="8"/>
  <c r="AJ10" i="8"/>
  <c r="AI10" i="8"/>
  <c r="H10" i="8"/>
  <c r="AN5" i="9" s="1"/>
  <c r="AM9" i="8"/>
  <c r="AL9" i="8"/>
  <c r="AK9" i="8"/>
  <c r="AJ9" i="8"/>
  <c r="AI9" i="8"/>
  <c r="H9" i="8"/>
  <c r="AM8" i="8"/>
  <c r="AL8" i="8"/>
  <c r="AK8" i="8"/>
  <c r="AJ8" i="8"/>
  <c r="AI8" i="8"/>
  <c r="H8" i="8"/>
  <c r="S7" i="9" s="1"/>
  <c r="AM7" i="8"/>
  <c r="AL7" i="8"/>
  <c r="AK7" i="8"/>
  <c r="AJ7" i="8"/>
  <c r="AI7" i="8"/>
  <c r="H7" i="8"/>
  <c r="S6" i="9" s="1"/>
  <c r="AM6" i="8"/>
  <c r="AL6" i="8"/>
  <c r="AK6" i="8"/>
  <c r="AJ6" i="8"/>
  <c r="AI6" i="8"/>
  <c r="H6" i="8"/>
  <c r="AM5" i="8"/>
  <c r="AL5" i="8"/>
  <c r="AK5" i="8"/>
  <c r="AJ5" i="8"/>
  <c r="AI5" i="8"/>
  <c r="H5" i="8"/>
  <c r="F6" i="9" s="1"/>
  <c r="AM4" i="8"/>
  <c r="AL4" i="8"/>
  <c r="AK4" i="8"/>
  <c r="AJ4" i="8"/>
  <c r="AI4" i="8"/>
  <c r="H4" i="8"/>
  <c r="E5" i="9" s="1"/>
  <c r="AM3" i="8"/>
  <c r="AL3" i="8"/>
  <c r="AK3" i="8"/>
  <c r="AJ3" i="8"/>
  <c r="AI3" i="8"/>
  <c r="H3" i="8"/>
  <c r="H2" i="8"/>
  <c r="AL1" i="8"/>
  <c r="AK1" i="8"/>
  <c r="AK53" i="9" s="1"/>
  <c r="AJ1" i="8"/>
  <c r="AH53" i="9" s="1"/>
  <c r="E116" i="7"/>
  <c r="O95" i="7"/>
  <c r="H95" i="7"/>
  <c r="AS86" i="7"/>
  <c r="AO86" i="7"/>
  <c r="O84" i="7"/>
  <c r="H84" i="7"/>
  <c r="R71" i="7"/>
  <c r="L71" i="7"/>
  <c r="F71" i="7"/>
  <c r="Q59" i="7"/>
  <c r="AX43" i="7"/>
  <c r="AW42" i="7"/>
  <c r="AW41" i="7"/>
  <c r="O50" i="6" s="1"/>
  <c r="AW40" i="7"/>
  <c r="O49" i="6" s="1"/>
  <c r="AW39" i="7"/>
  <c r="O48" i="6" s="1"/>
  <c r="AW38" i="7"/>
  <c r="AM38" i="7"/>
  <c r="M31" i="5" s="1"/>
  <c r="AW37" i="7"/>
  <c r="AW36" i="7"/>
  <c r="O45" i="6" s="1"/>
  <c r="AW35" i="7"/>
  <c r="AW34" i="7"/>
  <c r="AW33" i="7"/>
  <c r="O42" i="6" s="1"/>
  <c r="AW30" i="7"/>
  <c r="A28" i="7"/>
  <c r="AP14" i="7"/>
  <c r="AL14" i="7"/>
  <c r="AH14" i="7"/>
  <c r="AD14" i="7"/>
  <c r="Z14" i="7"/>
  <c r="V14" i="7"/>
  <c r="R14" i="7"/>
  <c r="N14" i="7"/>
  <c r="J14" i="7"/>
  <c r="F14" i="7"/>
  <c r="AR13" i="7"/>
  <c r="AN13" i="7"/>
  <c r="AJ13" i="7"/>
  <c r="AF13" i="7"/>
  <c r="AB13" i="7"/>
  <c r="X13" i="7"/>
  <c r="T13" i="7"/>
  <c r="P13" i="7"/>
  <c r="L13" i="7"/>
  <c r="H13" i="7"/>
  <c r="E13" i="7"/>
  <c r="AR12" i="7"/>
  <c r="AN12" i="7"/>
  <c r="AJ12" i="7"/>
  <c r="AF12" i="7"/>
  <c r="AB12" i="7"/>
  <c r="X12" i="7"/>
  <c r="T12" i="7"/>
  <c r="P12" i="7"/>
  <c r="L12" i="7"/>
  <c r="H12" i="7"/>
  <c r="C11" i="7"/>
  <c r="BL5" i="7"/>
  <c r="BK5" i="7"/>
  <c r="BE9" i="7" s="1"/>
  <c r="BJ5" i="7"/>
  <c r="BF5" i="7"/>
  <c r="BB3" i="7"/>
  <c r="BB2" i="7"/>
  <c r="N24" i="5" s="1"/>
  <c r="H209" i="6"/>
  <c r="H208" i="6"/>
  <c r="H207" i="6"/>
  <c r="H206" i="6"/>
  <c r="H205" i="6"/>
  <c r="H204" i="6"/>
  <c r="H203" i="6"/>
  <c r="H202" i="6"/>
  <c r="H201" i="6"/>
  <c r="H200" i="6"/>
  <c r="H199" i="6"/>
  <c r="H198" i="6"/>
  <c r="H197" i="6"/>
  <c r="H196" i="6"/>
  <c r="H195" i="6"/>
  <c r="AX10" i="7" s="1"/>
  <c r="H194" i="6"/>
  <c r="AX9" i="7" s="1"/>
  <c r="H193" i="6"/>
  <c r="AX7" i="7" s="1"/>
  <c r="H192" i="6"/>
  <c r="H191" i="6"/>
  <c r="H190" i="6"/>
  <c r="H189" i="6"/>
  <c r="H188" i="6"/>
  <c r="H187" i="6"/>
  <c r="H186" i="6"/>
  <c r="H185" i="6"/>
  <c r="BG4" i="7" s="1"/>
  <c r="H184" i="6"/>
  <c r="BE4" i="7" s="1"/>
  <c r="H183" i="6"/>
  <c r="BE3" i="7" s="1"/>
  <c r="H182" i="6"/>
  <c r="H181" i="6"/>
  <c r="AE96" i="7" s="1"/>
  <c r="H180" i="6"/>
  <c r="H179" i="6"/>
  <c r="H178" i="6"/>
  <c r="J178" i="6" s="1"/>
  <c r="H177" i="6"/>
  <c r="J177" i="6" s="1"/>
  <c r="H176" i="6"/>
  <c r="AF47" i="7" s="1"/>
  <c r="H175" i="6"/>
  <c r="J175" i="6" s="1"/>
  <c r="H174" i="6"/>
  <c r="J174" i="6" s="1"/>
  <c r="H173" i="6"/>
  <c r="H172" i="6"/>
  <c r="H171" i="6"/>
  <c r="H170" i="6"/>
  <c r="H169" i="6"/>
  <c r="H168" i="6"/>
  <c r="H167" i="6"/>
  <c r="H166" i="6"/>
  <c r="H165" i="6"/>
  <c r="H164" i="6"/>
  <c r="H163" i="6"/>
  <c r="H162" i="6"/>
  <c r="H161" i="6"/>
  <c r="K82" i="6" s="1"/>
  <c r="H160" i="6"/>
  <c r="H159" i="6"/>
  <c r="J134" i="6" s="1"/>
  <c r="H158" i="6"/>
  <c r="H157" i="6"/>
  <c r="AX22" i="7" s="1"/>
  <c r="H156" i="6"/>
  <c r="H155" i="6"/>
  <c r="H154" i="6"/>
  <c r="H153" i="6"/>
  <c r="J153" i="6" s="1"/>
  <c r="H152" i="6"/>
  <c r="J152" i="6" s="1"/>
  <c r="H151" i="6"/>
  <c r="J151" i="6" s="1"/>
  <c r="H150" i="6"/>
  <c r="AW46" i="7" s="1"/>
  <c r="H149" i="6"/>
  <c r="R114" i="7" s="1"/>
  <c r="H148" i="6"/>
  <c r="H147" i="6"/>
  <c r="J147" i="6" s="1"/>
  <c r="H146" i="6"/>
  <c r="J146" i="6" s="1"/>
  <c r="H145" i="6"/>
  <c r="H144" i="6"/>
  <c r="J144" i="6" s="1"/>
  <c r="H143" i="6"/>
  <c r="J143" i="6" s="1"/>
  <c r="R112" i="7" s="1"/>
  <c r="H142" i="6"/>
  <c r="E110" i="7" s="1"/>
  <c r="H141" i="6"/>
  <c r="E108" i="7" s="1"/>
  <c r="H140" i="6"/>
  <c r="E106" i="7" s="1"/>
  <c r="H139" i="6"/>
  <c r="E104" i="7" s="1"/>
  <c r="M138" i="6"/>
  <c r="H138" i="6"/>
  <c r="E102" i="7" s="1"/>
  <c r="H137" i="6"/>
  <c r="H136" i="6"/>
  <c r="J136" i="6" s="1"/>
  <c r="H135" i="6"/>
  <c r="J135" i="6" s="1"/>
  <c r="H134" i="6"/>
  <c r="AE32" i="7" s="1"/>
  <c r="H133" i="6"/>
  <c r="H132" i="6"/>
  <c r="H131" i="6"/>
  <c r="AX14" i="7" s="1"/>
  <c r="C30" i="5" s="1"/>
  <c r="H130" i="6"/>
  <c r="S5" i="7" s="1"/>
  <c r="H129" i="6"/>
  <c r="H128" i="6"/>
  <c r="H127" i="6"/>
  <c r="H126" i="6"/>
  <c r="H125" i="6"/>
  <c r="AO34" i="7" s="1"/>
  <c r="H124" i="6"/>
  <c r="F20" i="7" s="1"/>
  <c r="H123" i="6"/>
  <c r="B78" i="6" s="1"/>
  <c r="H122" i="6"/>
  <c r="B77" i="6" s="1"/>
  <c r="H121" i="6"/>
  <c r="B75" i="6" s="1"/>
  <c r="H120" i="6"/>
  <c r="H119" i="6"/>
  <c r="Z91" i="7" s="1"/>
  <c r="H118" i="6"/>
  <c r="Z87" i="7" s="1"/>
  <c r="H117" i="6"/>
  <c r="V96" i="7" s="1"/>
  <c r="H116" i="6"/>
  <c r="V90" i="7" s="1"/>
  <c r="H115" i="6"/>
  <c r="B72" i="6" s="1"/>
  <c r="H114" i="6"/>
  <c r="B71" i="6" s="1"/>
  <c r="H113" i="6"/>
  <c r="B69" i="6" s="1"/>
  <c r="H112" i="6"/>
  <c r="B68" i="6" s="1"/>
  <c r="H111" i="6"/>
  <c r="L60" i="7" s="1"/>
  <c r="H110" i="6"/>
  <c r="F60" i="7" s="1"/>
  <c r="H109" i="6"/>
  <c r="H108" i="6"/>
  <c r="H107" i="6"/>
  <c r="H106" i="6"/>
  <c r="H105" i="6"/>
  <c r="H104" i="6"/>
  <c r="H102" i="6"/>
  <c r="AE90" i="7" s="1"/>
  <c r="H101" i="6"/>
  <c r="M100" i="6"/>
  <c r="H100" i="6"/>
  <c r="H99" i="6"/>
  <c r="H98" i="6"/>
  <c r="H97" i="6"/>
  <c r="H96" i="6"/>
  <c r="AW95" i="7" s="1"/>
  <c r="H95" i="6"/>
  <c r="J95" i="6" s="1"/>
  <c r="H94" i="6"/>
  <c r="AE55" i="7" s="1"/>
  <c r="H93" i="6"/>
  <c r="J93" i="6" s="1"/>
  <c r="C93" i="6"/>
  <c r="H92" i="6"/>
  <c r="J92" i="6" s="1"/>
  <c r="C92" i="6"/>
  <c r="H91" i="6"/>
  <c r="AF48" i="7" s="1"/>
  <c r="C91" i="6"/>
  <c r="M90" i="6"/>
  <c r="H90" i="6"/>
  <c r="AE88" i="7" s="1"/>
  <c r="C90" i="6"/>
  <c r="H89" i="6"/>
  <c r="J89" i="6" s="1"/>
  <c r="C89" i="6"/>
  <c r="C95" i="6" s="1"/>
  <c r="L72" i="6" s="1"/>
  <c r="U72" i="6" s="1"/>
  <c r="V72" i="6" s="1"/>
  <c r="H88" i="6"/>
  <c r="J88" i="6" s="1"/>
  <c r="C88" i="6"/>
  <c r="H87" i="6"/>
  <c r="AE83" i="7" s="1"/>
  <c r="H86" i="6"/>
  <c r="J86" i="6" s="1"/>
  <c r="H85" i="6"/>
  <c r="J85" i="6" s="1"/>
  <c r="H84" i="6"/>
  <c r="AE80" i="7" s="1"/>
  <c r="H83" i="6"/>
  <c r="H82" i="6"/>
  <c r="H81" i="6"/>
  <c r="J81" i="6" s="1"/>
  <c r="B81" i="6"/>
  <c r="H80" i="6"/>
  <c r="J80" i="6" s="1"/>
  <c r="V79" i="6"/>
  <c r="U79" i="6"/>
  <c r="H79" i="6"/>
  <c r="J79" i="6" s="1"/>
  <c r="U78" i="6"/>
  <c r="V78" i="6" s="1"/>
  <c r="H78" i="6"/>
  <c r="J78" i="6" s="1"/>
  <c r="H77" i="6"/>
  <c r="AE78" i="7" s="1"/>
  <c r="L76" i="6"/>
  <c r="U76" i="6" s="1"/>
  <c r="V76" i="6" s="1"/>
  <c r="H76" i="6"/>
  <c r="AE77" i="7" s="1"/>
  <c r="L75" i="6"/>
  <c r="U75" i="6" s="1"/>
  <c r="V75" i="6" s="1"/>
  <c r="H75" i="6"/>
  <c r="AG75" i="7" s="1"/>
  <c r="L74" i="6"/>
  <c r="U74" i="6" s="1"/>
  <c r="V74" i="6" s="1"/>
  <c r="H74" i="6"/>
  <c r="AM76" i="7" s="1"/>
  <c r="B74" i="6"/>
  <c r="H73" i="6"/>
  <c r="AM75" i="7" s="1"/>
  <c r="H72" i="6"/>
  <c r="M71" i="6"/>
  <c r="U71" i="6" s="1"/>
  <c r="V71" i="6" s="1"/>
  <c r="L71" i="6"/>
  <c r="H71" i="6"/>
  <c r="AF74" i="7" s="1"/>
  <c r="H70" i="6"/>
  <c r="AE73" i="7" s="1"/>
  <c r="U69" i="6"/>
  <c r="V69" i="6" s="1"/>
  <c r="R69" i="6"/>
  <c r="U67" i="6" s="1"/>
  <c r="V67" i="6" s="1"/>
  <c r="L69" i="6"/>
  <c r="H69" i="6"/>
  <c r="J69" i="6" s="1"/>
  <c r="V68" i="6"/>
  <c r="U68" i="6"/>
  <c r="P68" i="6"/>
  <c r="Q68" i="6" s="1"/>
  <c r="L68" i="6"/>
  <c r="H68" i="6"/>
  <c r="J68" i="6" s="1"/>
  <c r="P67" i="6"/>
  <c r="R67" i="6" s="1"/>
  <c r="L67" i="6"/>
  <c r="H67" i="6"/>
  <c r="K80" i="6" s="1"/>
  <c r="N80" i="6" s="1"/>
  <c r="P66" i="6"/>
  <c r="Q66" i="6" s="1"/>
  <c r="L66" i="6"/>
  <c r="M66" i="6" s="1"/>
  <c r="U66" i="6" s="1"/>
  <c r="V66" i="6" s="1"/>
  <c r="H66" i="6"/>
  <c r="K81" i="6" s="1"/>
  <c r="U65" i="6"/>
  <c r="V65" i="6" s="1"/>
  <c r="P65" i="6"/>
  <c r="Q65" i="6" s="1"/>
  <c r="L65" i="6"/>
  <c r="H65" i="6"/>
  <c r="K79" i="6" s="1"/>
  <c r="N79" i="6" s="1"/>
  <c r="U64" i="6"/>
  <c r="V64" i="6" s="1"/>
  <c r="P64" i="6"/>
  <c r="R64" i="6" s="1"/>
  <c r="L64" i="6"/>
  <c r="H64" i="6"/>
  <c r="AE60" i="7" s="1"/>
  <c r="C64" i="6"/>
  <c r="U63" i="6"/>
  <c r="V63" i="6" s="1"/>
  <c r="P63" i="6"/>
  <c r="R63" i="6" s="1"/>
  <c r="L63" i="6"/>
  <c r="H63" i="6"/>
  <c r="P62" i="6"/>
  <c r="R62" i="6" s="1"/>
  <c r="L62" i="6"/>
  <c r="A9" i="7" s="1"/>
  <c r="H62" i="6"/>
  <c r="P61" i="6"/>
  <c r="Q61" i="6" s="1"/>
  <c r="L61" i="6"/>
  <c r="H61" i="6"/>
  <c r="P60" i="6"/>
  <c r="R60" i="6" s="1"/>
  <c r="L60" i="6"/>
  <c r="M60" i="6" s="1"/>
  <c r="U60" i="6" s="1"/>
  <c r="V60" i="6" s="1"/>
  <c r="H60" i="6"/>
  <c r="R59" i="6"/>
  <c r="P59" i="6"/>
  <c r="Q59" i="6" s="1"/>
  <c r="L59" i="6"/>
  <c r="H59" i="6"/>
  <c r="L58" i="6"/>
  <c r="H58" i="6"/>
  <c r="H57" i="6"/>
  <c r="AH7" i="7" s="1"/>
  <c r="L56" i="6"/>
  <c r="M56" i="6" s="1"/>
  <c r="U56" i="6" s="1"/>
  <c r="V56" i="6" s="1"/>
  <c r="H56" i="6"/>
  <c r="AH6" i="7" s="1"/>
  <c r="U55" i="6"/>
  <c r="V55" i="6" s="1"/>
  <c r="L55" i="6"/>
  <c r="H55" i="6"/>
  <c r="AH5" i="7" s="1"/>
  <c r="C26" i="5" s="1"/>
  <c r="M54" i="6"/>
  <c r="L54" i="6" s="1"/>
  <c r="U54" i="6" s="1"/>
  <c r="V54" i="6" s="1"/>
  <c r="H54" i="6"/>
  <c r="AB41" i="6" s="1"/>
  <c r="AM41" i="6" s="1"/>
  <c r="L53" i="6"/>
  <c r="U53" i="6" s="1"/>
  <c r="V53" i="6" s="1"/>
  <c r="H53" i="6"/>
  <c r="O52" i="6"/>
  <c r="L52" i="6"/>
  <c r="U52" i="6" s="1"/>
  <c r="V52" i="6" s="1"/>
  <c r="H52" i="6"/>
  <c r="AE79" i="7" s="1"/>
  <c r="L51" i="6"/>
  <c r="U51" i="6" s="1"/>
  <c r="V51" i="6" s="1"/>
  <c r="H51" i="6"/>
  <c r="AO85" i="7" s="1"/>
  <c r="N50" i="6"/>
  <c r="L50" i="6"/>
  <c r="U50" i="6" s="1"/>
  <c r="V50" i="6" s="1"/>
  <c r="H50" i="6"/>
  <c r="AO84" i="7" s="1"/>
  <c r="N49" i="6"/>
  <c r="H49" i="6"/>
  <c r="AN83" i="7" s="1"/>
  <c r="N48" i="6"/>
  <c r="L48" i="6"/>
  <c r="L49" i="6" s="1"/>
  <c r="H48" i="6"/>
  <c r="A48" i="6"/>
  <c r="O47" i="6"/>
  <c r="N47" i="6"/>
  <c r="L47" i="6"/>
  <c r="U47" i="6" s="1"/>
  <c r="V47" i="6" s="1"/>
  <c r="H47" i="6"/>
  <c r="AE87" i="7" s="1"/>
  <c r="B47" i="6"/>
  <c r="V84" i="7" s="1"/>
  <c r="A47" i="6"/>
  <c r="O46" i="6"/>
  <c r="N46" i="6"/>
  <c r="L46" i="6"/>
  <c r="U46" i="6" s="1"/>
  <c r="V46" i="6" s="1"/>
  <c r="H46" i="6"/>
  <c r="A46" i="6"/>
  <c r="AL45" i="6"/>
  <c r="AK45" i="6"/>
  <c r="AJ45" i="6"/>
  <c r="AI45" i="6"/>
  <c r="N45" i="6"/>
  <c r="L45" i="6"/>
  <c r="U45" i="6" s="1"/>
  <c r="V45" i="6" s="1"/>
  <c r="H45" i="6"/>
  <c r="AF57" i="7" s="1"/>
  <c r="A45" i="6"/>
  <c r="AL44" i="6"/>
  <c r="AK44" i="6"/>
  <c r="AJ44" i="6"/>
  <c r="AI44" i="6"/>
  <c r="O44" i="6"/>
  <c r="N44" i="6"/>
  <c r="H44" i="6"/>
  <c r="AN56" i="7" s="1"/>
  <c r="B44" i="6"/>
  <c r="X71" i="7" s="1"/>
  <c r="A44" i="6"/>
  <c r="AL43" i="6"/>
  <c r="AK43" i="6"/>
  <c r="AJ43" i="6"/>
  <c r="AI43" i="6"/>
  <c r="U43" i="6"/>
  <c r="V43" i="6" s="1"/>
  <c r="O43" i="6"/>
  <c r="N43" i="6"/>
  <c r="L43" i="6"/>
  <c r="H43" i="6"/>
  <c r="AF56" i="7" s="1"/>
  <c r="A43" i="6"/>
  <c r="AL42" i="6"/>
  <c r="AK42" i="6"/>
  <c r="AJ42" i="6"/>
  <c r="AI42" i="6"/>
  <c r="N42" i="6"/>
  <c r="L42" i="6"/>
  <c r="U42" i="6" s="1"/>
  <c r="V42" i="6" s="1"/>
  <c r="H42" i="6"/>
  <c r="AE52" i="7" s="1"/>
  <c r="A42" i="6"/>
  <c r="AL41" i="6"/>
  <c r="AK41" i="6"/>
  <c r="AJ41" i="6"/>
  <c r="AI41" i="6"/>
  <c r="S41" i="6"/>
  <c r="O41" i="6"/>
  <c r="N41" i="6"/>
  <c r="L41" i="6"/>
  <c r="U41" i="6" s="1"/>
  <c r="V41" i="6" s="1"/>
  <c r="H41" i="6"/>
  <c r="A41" i="6"/>
  <c r="AL40" i="6"/>
  <c r="AK40" i="6"/>
  <c r="AJ40" i="6"/>
  <c r="AI40" i="6"/>
  <c r="H40" i="6"/>
  <c r="AF46" i="7" s="1"/>
  <c r="AL39" i="6"/>
  <c r="AK39" i="6"/>
  <c r="AJ39" i="6"/>
  <c r="AI39" i="6"/>
  <c r="H39" i="6"/>
  <c r="AF45" i="7" s="1"/>
  <c r="AL38" i="6"/>
  <c r="AK38" i="6"/>
  <c r="AJ38" i="6"/>
  <c r="AI38" i="6"/>
  <c r="H38" i="6"/>
  <c r="AL37" i="6"/>
  <c r="AK37" i="6"/>
  <c r="AJ37" i="6"/>
  <c r="AI37" i="6"/>
  <c r="H37" i="6"/>
  <c r="AL36" i="6"/>
  <c r="AK36" i="6"/>
  <c r="AJ36" i="6"/>
  <c r="AI36" i="6"/>
  <c r="H36" i="6"/>
  <c r="AF43" i="7" s="1"/>
  <c r="AL35" i="6"/>
  <c r="AK35" i="6"/>
  <c r="AJ35" i="6"/>
  <c r="AI35" i="6"/>
  <c r="H35" i="6"/>
  <c r="AE42" i="7" s="1"/>
  <c r="AL34" i="6"/>
  <c r="AK34" i="6"/>
  <c r="AJ34" i="6"/>
  <c r="AI34" i="6"/>
  <c r="AB34" i="6"/>
  <c r="AM34" i="6" s="1"/>
  <c r="H34" i="6"/>
  <c r="Z46" i="7" s="1"/>
  <c r="AL33" i="6"/>
  <c r="AK33" i="6"/>
  <c r="AJ33" i="6"/>
  <c r="AI33" i="6"/>
  <c r="H33" i="6"/>
  <c r="P44" i="7" s="1"/>
  <c r="AL32" i="6"/>
  <c r="AK32" i="6"/>
  <c r="AJ32" i="6"/>
  <c r="AI32" i="6"/>
  <c r="H32" i="6"/>
  <c r="H49" i="7" s="1"/>
  <c r="AM31" i="6"/>
  <c r="AL31" i="6"/>
  <c r="AK31" i="6"/>
  <c r="AJ31" i="6"/>
  <c r="AI31" i="6"/>
  <c r="H31" i="6"/>
  <c r="N40" i="7" s="1"/>
  <c r="AM30" i="6"/>
  <c r="AL30" i="6"/>
  <c r="AK30" i="6"/>
  <c r="AJ30" i="6"/>
  <c r="AI30" i="6"/>
  <c r="H30" i="6"/>
  <c r="F40" i="7" s="1"/>
  <c r="C30" i="6"/>
  <c r="AM29" i="6"/>
  <c r="AL29" i="6"/>
  <c r="AK29" i="6"/>
  <c r="AJ29" i="6"/>
  <c r="AI29" i="6"/>
  <c r="H29" i="6"/>
  <c r="AF40" i="7" s="1"/>
  <c r="C29" i="6"/>
  <c r="AM28" i="6"/>
  <c r="AL28" i="6"/>
  <c r="AK28" i="6"/>
  <c r="AJ28" i="6"/>
  <c r="AI28" i="6"/>
  <c r="H28" i="6"/>
  <c r="AO37" i="7" s="1"/>
  <c r="C28" i="6"/>
  <c r="AM27" i="6"/>
  <c r="AL27" i="6"/>
  <c r="AK27" i="6"/>
  <c r="AJ27" i="6"/>
  <c r="AI27" i="6"/>
  <c r="H27" i="6"/>
  <c r="AO36" i="7" s="1"/>
  <c r="AL26" i="6"/>
  <c r="AK26" i="6"/>
  <c r="AJ26" i="6"/>
  <c r="AI26" i="6"/>
  <c r="H26" i="6"/>
  <c r="AO35" i="7" s="1"/>
  <c r="AM25" i="6"/>
  <c r="AL25" i="6"/>
  <c r="AK25" i="6"/>
  <c r="AJ25" i="6"/>
  <c r="AI25" i="6"/>
  <c r="H25" i="6"/>
  <c r="AO33" i="7" s="1"/>
  <c r="C25" i="6"/>
  <c r="AM24" i="6"/>
  <c r="AL24" i="6"/>
  <c r="AK24" i="6"/>
  <c r="AJ24" i="6"/>
  <c r="AI24" i="6"/>
  <c r="H24" i="6"/>
  <c r="C24" i="6"/>
  <c r="AM23" i="6"/>
  <c r="AL23" i="6"/>
  <c r="AK23" i="6"/>
  <c r="AJ23" i="6"/>
  <c r="AI23" i="6"/>
  <c r="H23" i="6"/>
  <c r="C23" i="6"/>
  <c r="AM22" i="6"/>
  <c r="AL22" i="6"/>
  <c r="AK22" i="6"/>
  <c r="AJ22" i="6"/>
  <c r="AI22" i="6"/>
  <c r="H22" i="6"/>
  <c r="AF39" i="7" s="1"/>
  <c r="C22" i="6"/>
  <c r="AM21" i="6"/>
  <c r="AL21" i="6"/>
  <c r="AK21" i="6"/>
  <c r="AJ21" i="6"/>
  <c r="AI21" i="6"/>
  <c r="H21" i="6"/>
  <c r="AO38" i="7" s="1"/>
  <c r="C21" i="6"/>
  <c r="AM20" i="6"/>
  <c r="AL20" i="6"/>
  <c r="AK20" i="6"/>
  <c r="AJ20" i="6"/>
  <c r="AI20" i="6"/>
  <c r="H20" i="6"/>
  <c r="AF38" i="7" s="1"/>
  <c r="C20" i="6"/>
  <c r="AM19" i="6"/>
  <c r="AL19" i="6"/>
  <c r="AK19" i="6"/>
  <c r="AJ19" i="6"/>
  <c r="AI19" i="6"/>
  <c r="H19" i="6"/>
  <c r="AF37" i="7" s="1"/>
  <c r="C19" i="6"/>
  <c r="AM18" i="6"/>
  <c r="AL18" i="6"/>
  <c r="AK18" i="6"/>
  <c r="AJ18" i="6"/>
  <c r="AI18" i="6"/>
  <c r="H18" i="6"/>
  <c r="AF36" i="7" s="1"/>
  <c r="C18" i="6"/>
  <c r="AM17" i="6"/>
  <c r="AL17" i="6"/>
  <c r="AK17" i="6"/>
  <c r="AJ17" i="6"/>
  <c r="AI17" i="6"/>
  <c r="H17" i="6"/>
  <c r="AF35" i="7" s="1"/>
  <c r="C17" i="6"/>
  <c r="AM16" i="6"/>
  <c r="AL16" i="6"/>
  <c r="AK16" i="6"/>
  <c r="AJ16" i="6"/>
  <c r="AI16" i="6"/>
  <c r="H16" i="6"/>
  <c r="AF34" i="7" s="1"/>
  <c r="C16" i="6"/>
  <c r="AM15" i="6"/>
  <c r="AL15" i="6"/>
  <c r="AK15" i="6"/>
  <c r="AJ15" i="6"/>
  <c r="AI15" i="6"/>
  <c r="H15" i="6"/>
  <c r="AF33" i="7" s="1"/>
  <c r="AM14" i="6"/>
  <c r="AL14" i="6"/>
  <c r="AK14" i="6"/>
  <c r="AJ14" i="6"/>
  <c r="AI14" i="6"/>
  <c r="H14" i="6"/>
  <c r="F34" i="7" s="1"/>
  <c r="AM13" i="6"/>
  <c r="AL13" i="6"/>
  <c r="AK13" i="6"/>
  <c r="AJ13" i="6"/>
  <c r="AI13" i="6"/>
  <c r="H13" i="6"/>
  <c r="F33" i="7" s="1"/>
  <c r="AM12" i="6"/>
  <c r="AL12" i="6"/>
  <c r="AK12" i="6"/>
  <c r="AJ12" i="6"/>
  <c r="AI12" i="6"/>
  <c r="I12" i="6"/>
  <c r="I133" i="6" s="1"/>
  <c r="H12" i="6"/>
  <c r="AM11" i="6"/>
  <c r="AL11" i="6"/>
  <c r="AK11" i="6"/>
  <c r="AJ11" i="6"/>
  <c r="AI11" i="6"/>
  <c r="H11" i="6"/>
  <c r="AN6" i="7" s="1"/>
  <c r="AM10" i="6"/>
  <c r="AL10" i="6"/>
  <c r="AK10" i="6"/>
  <c r="AJ10" i="6"/>
  <c r="AI10" i="6"/>
  <c r="H10" i="6"/>
  <c r="AN5" i="7" s="1"/>
  <c r="AM9" i="6"/>
  <c r="AL9" i="6"/>
  <c r="AK9" i="6"/>
  <c r="AJ9" i="6"/>
  <c r="AI9" i="6"/>
  <c r="H9" i="6"/>
  <c r="AM8" i="6"/>
  <c r="AL8" i="6"/>
  <c r="AK8" i="6"/>
  <c r="AJ8" i="6"/>
  <c r="AI8" i="6"/>
  <c r="H8" i="6"/>
  <c r="S7" i="7" s="1"/>
  <c r="AM7" i="6"/>
  <c r="AL7" i="6"/>
  <c r="AK7" i="6"/>
  <c r="AJ7" i="6"/>
  <c r="AI7" i="6"/>
  <c r="H7" i="6"/>
  <c r="S6" i="7" s="1"/>
  <c r="AM6" i="6"/>
  <c r="AL6" i="6"/>
  <c r="AK6" i="6"/>
  <c r="AJ6" i="6"/>
  <c r="AI6" i="6"/>
  <c r="H6" i="6"/>
  <c r="F7" i="7" s="1"/>
  <c r="AM5" i="6"/>
  <c r="AL5" i="6"/>
  <c r="AK5" i="6"/>
  <c r="AJ5" i="6"/>
  <c r="AI5" i="6"/>
  <c r="H5" i="6"/>
  <c r="F6" i="7" s="1"/>
  <c r="AM4" i="6"/>
  <c r="AL4" i="6"/>
  <c r="AK4" i="6"/>
  <c r="AJ4" i="6"/>
  <c r="AI4" i="6"/>
  <c r="H4" i="6"/>
  <c r="E5" i="7" s="1"/>
  <c r="AM3" i="6"/>
  <c r="AL3" i="6"/>
  <c r="AK3" i="6"/>
  <c r="AJ3" i="6"/>
  <c r="AI3" i="6"/>
  <c r="H3" i="6"/>
  <c r="H2" i="6"/>
  <c r="AX3" i="7" s="1"/>
  <c r="AL1" i="6"/>
  <c r="AO53" i="7" s="1"/>
  <c r="AK1" i="6"/>
  <c r="AK53" i="7" s="1"/>
  <c r="AJ1" i="6"/>
  <c r="AH53" i="7" s="1"/>
  <c r="M137" i="6" l="1"/>
  <c r="M124" i="6"/>
  <c r="M108" i="6"/>
  <c r="M98" i="6"/>
  <c r="Q65" i="10"/>
  <c r="R65" i="10"/>
  <c r="M137" i="10"/>
  <c r="M136" i="10"/>
  <c r="M126" i="10"/>
  <c r="M118" i="10"/>
  <c r="M110" i="10"/>
  <c r="M101" i="10"/>
  <c r="O42" i="12"/>
  <c r="P51" i="12"/>
  <c r="O51" i="12" s="1"/>
  <c r="L70" i="12" s="1"/>
  <c r="A50" i="6"/>
  <c r="L73" i="6" s="1"/>
  <c r="U73" i="6" s="1"/>
  <c r="V73" i="6" s="1"/>
  <c r="Q60" i="6"/>
  <c r="Q64" i="6"/>
  <c r="R66" i="6"/>
  <c r="Q67" i="6"/>
  <c r="W78" i="6"/>
  <c r="M118" i="6"/>
  <c r="M132" i="6"/>
  <c r="W78" i="8"/>
  <c r="J80" i="8"/>
  <c r="J77" i="8"/>
  <c r="Q63" i="10"/>
  <c r="C82" i="10"/>
  <c r="C84" i="10"/>
  <c r="M93" i="10"/>
  <c r="M99" i="10"/>
  <c r="M106" i="10"/>
  <c r="M112" i="10"/>
  <c r="M132" i="10"/>
  <c r="P51" i="6"/>
  <c r="O51" i="6" s="1"/>
  <c r="R61" i="6"/>
  <c r="Q62" i="6"/>
  <c r="Q63" i="6"/>
  <c r="R68" i="6"/>
  <c r="M116" i="6"/>
  <c r="M126" i="6"/>
  <c r="AW43" i="7"/>
  <c r="AY43" i="7" s="1"/>
  <c r="O43" i="8"/>
  <c r="C83" i="8"/>
  <c r="AE32" i="9"/>
  <c r="M62" i="10"/>
  <c r="U62" i="10" s="1"/>
  <c r="V62" i="10" s="1"/>
  <c r="R68" i="10"/>
  <c r="M92" i="10"/>
  <c r="M97" i="10"/>
  <c r="M104" i="10"/>
  <c r="M124" i="10"/>
  <c r="M130" i="10"/>
  <c r="M138" i="10"/>
  <c r="AH34" i="12"/>
  <c r="AB41" i="12"/>
  <c r="AM41" i="12" s="1"/>
  <c r="L77" i="12"/>
  <c r="U77" i="12" s="1"/>
  <c r="V77" i="12" s="1"/>
  <c r="K74" i="5"/>
  <c r="AB39" i="6"/>
  <c r="AM39" i="6" s="1"/>
  <c r="U58" i="6"/>
  <c r="V58" i="6" s="1"/>
  <c r="R65" i="6"/>
  <c r="M96" i="6"/>
  <c r="M102" i="6"/>
  <c r="M110" i="6"/>
  <c r="AB45" i="8"/>
  <c r="AM45" i="8" s="1"/>
  <c r="AB39" i="8"/>
  <c r="AM39" i="8" s="1"/>
  <c r="AB36" i="8"/>
  <c r="AM36" i="8" s="1"/>
  <c r="AB34" i="8"/>
  <c r="AM34" i="8" s="1"/>
  <c r="AH10" i="8"/>
  <c r="L77" i="8"/>
  <c r="U77" i="8" s="1"/>
  <c r="V77" i="8" s="1"/>
  <c r="F21" i="9"/>
  <c r="AM75" i="9"/>
  <c r="AW95" i="9"/>
  <c r="U58" i="10"/>
  <c r="V58" i="10" s="1"/>
  <c r="Q59" i="10"/>
  <c r="R60" i="10"/>
  <c r="M66" i="10"/>
  <c r="U66" i="10" s="1"/>
  <c r="V66" i="10" s="1"/>
  <c r="C95" i="10"/>
  <c r="L72" i="10" s="1"/>
  <c r="U72" i="10" s="1"/>
  <c r="V72" i="10" s="1"/>
  <c r="M91" i="10"/>
  <c r="M116" i="10"/>
  <c r="M122" i="10"/>
  <c r="M128" i="10"/>
  <c r="M133" i="10"/>
  <c r="BE9" i="11"/>
  <c r="AH18" i="12"/>
  <c r="AB26" i="12"/>
  <c r="AM26" i="12" s="1"/>
  <c r="AH54" i="13" s="1"/>
  <c r="AB33" i="12"/>
  <c r="AM33" i="12" s="1"/>
  <c r="AB40" i="12"/>
  <c r="AM40" i="12" s="1"/>
  <c r="M49" i="12"/>
  <c r="U48" i="12" s="1"/>
  <c r="V48" i="12" s="1"/>
  <c r="C95" i="8"/>
  <c r="L72" i="8" s="1"/>
  <c r="U72" i="8" s="1"/>
  <c r="V72" i="8" s="1"/>
  <c r="R112" i="11"/>
  <c r="AH34" i="6"/>
  <c r="AB37" i="6"/>
  <c r="AM37" i="6" s="1"/>
  <c r="AB43" i="6"/>
  <c r="AM43" i="6" s="1"/>
  <c r="AB45" i="6"/>
  <c r="AM45" i="6" s="1"/>
  <c r="AB40" i="6"/>
  <c r="AM40" i="6" s="1"/>
  <c r="AB42" i="6"/>
  <c r="AM42" i="6" s="1"/>
  <c r="J73" i="6"/>
  <c r="AH26" i="6"/>
  <c r="AB44" i="6"/>
  <c r="AM44" i="6" s="1"/>
  <c r="J77" i="6"/>
  <c r="J96" i="6"/>
  <c r="C82" i="6"/>
  <c r="C84" i="6"/>
  <c r="C83" i="6"/>
  <c r="AH10" i="6"/>
  <c r="AB33" i="6"/>
  <c r="AM33" i="6" s="1"/>
  <c r="AB36" i="6"/>
  <c r="AM36" i="6" s="1"/>
  <c r="AH43" i="6"/>
  <c r="AH44" i="6"/>
  <c r="AH45" i="6"/>
  <c r="L77" i="6"/>
  <c r="U77" i="6" s="1"/>
  <c r="V77" i="6" s="1"/>
  <c r="M106" i="6"/>
  <c r="M114" i="6"/>
  <c r="M122" i="6"/>
  <c r="M130" i="6"/>
  <c r="M136" i="6"/>
  <c r="AH18" i="6"/>
  <c r="AB26" i="6"/>
  <c r="AM26" i="6" s="1"/>
  <c r="AH54" i="7" s="1"/>
  <c r="AB32" i="6"/>
  <c r="AM32" i="6" s="1"/>
  <c r="AB35" i="6"/>
  <c r="AM35" i="6" s="1"/>
  <c r="AB38" i="6"/>
  <c r="AM38" i="6" s="1"/>
  <c r="M91" i="6"/>
  <c r="M92" i="6"/>
  <c r="M93" i="6"/>
  <c r="M97" i="6"/>
  <c r="M99" i="6"/>
  <c r="M101" i="6"/>
  <c r="M104" i="6"/>
  <c r="F21" i="7"/>
  <c r="M112" i="6"/>
  <c r="M120" i="6"/>
  <c r="M128" i="6"/>
  <c r="M133" i="6"/>
  <c r="M135" i="6"/>
  <c r="AW43" i="13"/>
  <c r="AY43" i="13" s="1"/>
  <c r="R60" i="12"/>
  <c r="R64" i="12"/>
  <c r="J74" i="12"/>
  <c r="J80" i="12"/>
  <c r="AB44" i="12"/>
  <c r="AM44" i="12" s="1"/>
  <c r="AB42" i="12"/>
  <c r="AM42" i="12" s="1"/>
  <c r="AB37" i="12"/>
  <c r="AM37" i="12" s="1"/>
  <c r="AB32" i="12"/>
  <c r="AM32" i="12" s="1"/>
  <c r="AH26" i="12"/>
  <c r="R59" i="12"/>
  <c r="M62" i="12"/>
  <c r="U62" i="12" s="1"/>
  <c r="V62" i="12" s="1"/>
  <c r="R63" i="12"/>
  <c r="Q66" i="12"/>
  <c r="C84" i="12"/>
  <c r="C83" i="12"/>
  <c r="BE9" i="13"/>
  <c r="AH10" i="12"/>
  <c r="AM53" i="13"/>
  <c r="AB35" i="12"/>
  <c r="AM35" i="12" s="1"/>
  <c r="AB38" i="12"/>
  <c r="AM38" i="12" s="1"/>
  <c r="L44" i="12"/>
  <c r="Q61" i="12"/>
  <c r="Q65" i="12"/>
  <c r="U70" i="12"/>
  <c r="V70" i="12" s="1"/>
  <c r="C95" i="12"/>
  <c r="L72" i="12" s="1"/>
  <c r="U72" i="12" s="1"/>
  <c r="V72" i="12" s="1"/>
  <c r="AQ76" i="13"/>
  <c r="AQ74" i="13"/>
  <c r="AP53" i="13"/>
  <c r="AM75" i="13"/>
  <c r="M48" i="10"/>
  <c r="M49" i="10" s="1"/>
  <c r="U48" i="10" s="1"/>
  <c r="V48" i="10" s="1"/>
  <c r="L70" i="10"/>
  <c r="A50" i="10"/>
  <c r="L73" i="10" s="1"/>
  <c r="U73" i="10" s="1"/>
  <c r="V73" i="10" s="1"/>
  <c r="L44" i="10"/>
  <c r="R61" i="10"/>
  <c r="Q62" i="10"/>
  <c r="R67" i="10"/>
  <c r="Q67" i="10"/>
  <c r="W68" i="10"/>
  <c r="AM76" i="11"/>
  <c r="J74" i="10"/>
  <c r="J77" i="10"/>
  <c r="J88" i="10"/>
  <c r="L77" i="10"/>
  <c r="U77" i="10" s="1"/>
  <c r="V77" i="10" s="1"/>
  <c r="J96" i="10"/>
  <c r="M59" i="10"/>
  <c r="U59" i="10" s="1"/>
  <c r="V59" i="10" s="1"/>
  <c r="W78" i="10"/>
  <c r="AM53" i="11"/>
  <c r="AH54" i="11"/>
  <c r="AP53" i="11"/>
  <c r="AI53" i="11"/>
  <c r="M90" i="10"/>
  <c r="M96" i="10"/>
  <c r="M98" i="10"/>
  <c r="M100" i="10"/>
  <c r="M102" i="10"/>
  <c r="M135" i="10"/>
  <c r="AM74" i="11"/>
  <c r="AQ75" i="11"/>
  <c r="M87" i="10"/>
  <c r="M88" i="10"/>
  <c r="M89" i="10"/>
  <c r="M94" i="10"/>
  <c r="M95" i="10"/>
  <c r="M103" i="10"/>
  <c r="M105" i="10"/>
  <c r="M107" i="10"/>
  <c r="M109" i="10"/>
  <c r="M111" i="10"/>
  <c r="M113" i="10"/>
  <c r="M115" i="10"/>
  <c r="M117" i="10"/>
  <c r="M119" i="10"/>
  <c r="M121" i="10"/>
  <c r="M123" i="10"/>
  <c r="M125" i="10"/>
  <c r="M127" i="10"/>
  <c r="M129" i="10"/>
  <c r="M131" i="10"/>
  <c r="M134" i="10"/>
  <c r="AQ74" i="11"/>
  <c r="M59" i="8"/>
  <c r="U59" i="8" s="1"/>
  <c r="V59" i="8" s="1"/>
  <c r="R61" i="8"/>
  <c r="Q61" i="8"/>
  <c r="AM53" i="9"/>
  <c r="AP53" i="9"/>
  <c r="AI53" i="9"/>
  <c r="M49" i="8"/>
  <c r="U48" i="8" s="1"/>
  <c r="V48" i="8" s="1"/>
  <c r="R66" i="8"/>
  <c r="Q66" i="8"/>
  <c r="R68" i="8"/>
  <c r="Q68" i="8"/>
  <c r="A50" i="8"/>
  <c r="L73" i="8" s="1"/>
  <c r="U73" i="8" s="1"/>
  <c r="V73" i="8" s="1"/>
  <c r="AM74" i="9"/>
  <c r="J72" i="8"/>
  <c r="J74" i="8"/>
  <c r="AQ76" i="9"/>
  <c r="AQ75" i="9"/>
  <c r="AQ74" i="9"/>
  <c r="AB44" i="8"/>
  <c r="AM44" i="8" s="1"/>
  <c r="AB42" i="8"/>
  <c r="AM42" i="8" s="1"/>
  <c r="AB37" i="8"/>
  <c r="AM37" i="8" s="1"/>
  <c r="AB32" i="8"/>
  <c r="AM32" i="8" s="1"/>
  <c r="AH26" i="8"/>
  <c r="AH45" i="8"/>
  <c r="AB38" i="8"/>
  <c r="AM38" i="8" s="1"/>
  <c r="AH34" i="8"/>
  <c r="AB26" i="8"/>
  <c r="AM26" i="8" s="1"/>
  <c r="AH54" i="9" s="1"/>
  <c r="AB41" i="8"/>
  <c r="AM41" i="8" s="1"/>
  <c r="AB33" i="8"/>
  <c r="AM33" i="8" s="1"/>
  <c r="AH18" i="8"/>
  <c r="R65" i="8"/>
  <c r="Q65" i="8"/>
  <c r="Q67" i="8"/>
  <c r="U70" i="8"/>
  <c r="V70" i="8" s="1"/>
  <c r="BE9" i="9"/>
  <c r="I133" i="8"/>
  <c r="M48" i="6"/>
  <c r="M49" i="6" s="1"/>
  <c r="U48" i="6" s="1"/>
  <c r="V48" i="6" s="1"/>
  <c r="L70" i="6"/>
  <c r="U70" i="6"/>
  <c r="V70" i="6" s="1"/>
  <c r="L44" i="6"/>
  <c r="M62" i="6"/>
  <c r="U62" i="6" s="1"/>
  <c r="V62" i="6" s="1"/>
  <c r="M59" i="6"/>
  <c r="U59" i="6" s="1"/>
  <c r="V59" i="6" s="1"/>
  <c r="J74" i="6"/>
  <c r="W68" i="6"/>
  <c r="AM53" i="7"/>
  <c r="AP53" i="7"/>
  <c r="AI53" i="7"/>
  <c r="J72" i="6"/>
  <c r="AM74" i="7"/>
  <c r="AQ76" i="7"/>
  <c r="AQ74" i="7"/>
  <c r="AQ75" i="7"/>
  <c r="M87" i="6"/>
  <c r="M88" i="6"/>
  <c r="M89" i="6"/>
  <c r="M94" i="6"/>
  <c r="M95" i="6"/>
  <c r="M103" i="6"/>
  <c r="M105" i="6"/>
  <c r="M107" i="6"/>
  <c r="M109" i="6"/>
  <c r="M111" i="6"/>
  <c r="M113" i="6"/>
  <c r="M115" i="6"/>
  <c r="M117" i="6"/>
  <c r="M119" i="6"/>
  <c r="M121" i="6"/>
  <c r="M123" i="6"/>
  <c r="M125" i="6"/>
  <c r="M127" i="6"/>
  <c r="M129" i="6"/>
  <c r="M131" i="6"/>
  <c r="M134" i="6"/>
  <c r="U79" i="1"/>
  <c r="V79" i="1" s="1"/>
  <c r="U78" i="1"/>
  <c r="V78" i="1" s="1"/>
  <c r="B9" i="4"/>
  <c r="B8" i="4"/>
  <c r="B7" i="4"/>
  <c r="H198" i="1"/>
  <c r="H199" i="1"/>
  <c r="H200" i="1"/>
  <c r="H201" i="1"/>
  <c r="H202" i="1"/>
  <c r="H203" i="1"/>
  <c r="H204" i="1"/>
  <c r="H205" i="1"/>
  <c r="H206" i="1"/>
  <c r="H207" i="1"/>
  <c r="H208" i="1"/>
  <c r="H209" i="1"/>
  <c r="V83" i="8" l="1"/>
  <c r="U83" i="8" s="1"/>
  <c r="AX19" i="9" s="1"/>
  <c r="E40" i="5" s="1"/>
  <c r="U49" i="12"/>
  <c r="V49" i="12" s="1"/>
  <c r="U44" i="12"/>
  <c r="V44" i="12" s="1"/>
  <c r="V83" i="12" s="1"/>
  <c r="U83" i="12" s="1"/>
  <c r="AX19" i="13" s="1"/>
  <c r="E72" i="5" s="1"/>
  <c r="U44" i="10"/>
  <c r="V44" i="10" s="1"/>
  <c r="U49" i="10"/>
  <c r="V49" i="10" s="1"/>
  <c r="U44" i="6"/>
  <c r="V44" i="6" s="1"/>
  <c r="U49" i="6"/>
  <c r="V49" i="6" s="1"/>
  <c r="W78" i="1"/>
  <c r="A43" i="1"/>
  <c r="U65" i="1"/>
  <c r="V65" i="1" s="1"/>
  <c r="B42" i="4"/>
  <c r="BL5" i="2"/>
  <c r="BK5" i="2"/>
  <c r="BJ5" i="2"/>
  <c r="BF5" i="2"/>
  <c r="U68" i="1"/>
  <c r="V68" i="1" s="1"/>
  <c r="H182" i="1"/>
  <c r="H183" i="1"/>
  <c r="BE3" i="2"/>
  <c r="H184" i="1"/>
  <c r="BE4" i="2" s="1"/>
  <c r="H185" i="1"/>
  <c r="BG4" i="2"/>
  <c r="H186" i="1"/>
  <c r="C42" i="4" s="1"/>
  <c r="H187" i="1"/>
  <c r="C43" i="4"/>
  <c r="H188" i="1"/>
  <c r="H189" i="1"/>
  <c r="H190" i="1"/>
  <c r="H191" i="1"/>
  <c r="H192" i="1"/>
  <c r="H193" i="1"/>
  <c r="AX7" i="2" s="1"/>
  <c r="H194" i="1"/>
  <c r="AX9" i="2" s="1"/>
  <c r="H195" i="1"/>
  <c r="AX10" i="2" s="1"/>
  <c r="H196" i="1"/>
  <c r="H197" i="1"/>
  <c r="BE9" i="2"/>
  <c r="J86" i="5"/>
  <c r="J85" i="5"/>
  <c r="J84" i="5"/>
  <c r="J83" i="5"/>
  <c r="J82" i="5"/>
  <c r="J81" i="5"/>
  <c r="J80" i="5"/>
  <c r="J78" i="5"/>
  <c r="J77" i="5"/>
  <c r="J76" i="5"/>
  <c r="J75" i="5"/>
  <c r="J70" i="5"/>
  <c r="J69" i="5"/>
  <c r="J68" i="5"/>
  <c r="J67" i="5"/>
  <c r="J66" i="5"/>
  <c r="J65" i="5"/>
  <c r="J64" i="5"/>
  <c r="J62" i="5"/>
  <c r="J61" i="5"/>
  <c r="J60" i="5"/>
  <c r="J59" i="5"/>
  <c r="J54" i="5"/>
  <c r="J53" i="5"/>
  <c r="J52" i="5"/>
  <c r="J51" i="5"/>
  <c r="J50" i="5"/>
  <c r="J49" i="5"/>
  <c r="J48" i="5"/>
  <c r="J46" i="5"/>
  <c r="J45" i="5"/>
  <c r="J44" i="5"/>
  <c r="J43" i="5"/>
  <c r="J38" i="5"/>
  <c r="J37" i="5"/>
  <c r="J36" i="5"/>
  <c r="J35" i="5"/>
  <c r="J34" i="5"/>
  <c r="J33" i="5"/>
  <c r="J32" i="5"/>
  <c r="J30" i="5"/>
  <c r="J29" i="5"/>
  <c r="J28" i="5"/>
  <c r="J27" i="5"/>
  <c r="M3" i="5"/>
  <c r="N88" i="5"/>
  <c r="B47" i="1"/>
  <c r="B44" i="1"/>
  <c r="K22" i="5"/>
  <c r="J22" i="5" s="1"/>
  <c r="K21" i="5"/>
  <c r="J21" i="5" s="1"/>
  <c r="K20" i="5"/>
  <c r="J20" i="5" s="1"/>
  <c r="K19" i="5"/>
  <c r="J19" i="5" s="1"/>
  <c r="K18" i="5"/>
  <c r="J18" i="5" s="1"/>
  <c r="K17" i="5"/>
  <c r="J17" i="5" s="1"/>
  <c r="K16" i="5"/>
  <c r="J16" i="5" s="1"/>
  <c r="K14" i="5"/>
  <c r="J14" i="5" s="1"/>
  <c r="K13" i="5"/>
  <c r="J13" i="5" s="1"/>
  <c r="K12" i="5"/>
  <c r="J12" i="5" s="1"/>
  <c r="K11" i="5"/>
  <c r="J11" i="5" s="1"/>
  <c r="E10" i="5"/>
  <c r="E14" i="5"/>
  <c r="E12" i="5"/>
  <c r="L66" i="1"/>
  <c r="P68" i="1"/>
  <c r="Q68" i="1" s="1"/>
  <c r="R68" i="1"/>
  <c r="P67" i="1"/>
  <c r="R67" i="1"/>
  <c r="P66" i="1"/>
  <c r="R66" i="1"/>
  <c r="P65" i="1"/>
  <c r="Q65" i="1" s="1"/>
  <c r="P64" i="1"/>
  <c r="Q64" i="1" s="1"/>
  <c r="R64" i="1"/>
  <c r="P63" i="1"/>
  <c r="R63" i="1" s="1"/>
  <c r="P62" i="1"/>
  <c r="R62" i="1" s="1"/>
  <c r="Q62" i="1"/>
  <c r="P61" i="1"/>
  <c r="Q61" i="1" s="1"/>
  <c r="P60" i="1"/>
  <c r="Q60" i="1" s="1"/>
  <c r="R60" i="1"/>
  <c r="P59" i="1"/>
  <c r="R59" i="1" s="1"/>
  <c r="C25" i="1"/>
  <c r="C24" i="1"/>
  <c r="C23" i="1"/>
  <c r="C22" i="1"/>
  <c r="C21" i="1"/>
  <c r="C20" i="1"/>
  <c r="C19" i="1"/>
  <c r="C18" i="1"/>
  <c r="C17" i="1"/>
  <c r="C16" i="1"/>
  <c r="R61" i="1"/>
  <c r="R65" i="1"/>
  <c r="Q66" i="1"/>
  <c r="Q59" i="1"/>
  <c r="Q63" i="1"/>
  <c r="Q67" i="1"/>
  <c r="R69" i="1"/>
  <c r="U67" i="1" s="1"/>
  <c r="V67" i="1" s="1"/>
  <c r="BB2" i="2"/>
  <c r="L52" i="1"/>
  <c r="U52" i="1" s="1"/>
  <c r="V52" i="1" s="1"/>
  <c r="M54" i="1"/>
  <c r="L54" i="1" s="1"/>
  <c r="U54" i="1" s="1"/>
  <c r="V54" i="1" s="1"/>
  <c r="L68" i="1"/>
  <c r="L67" i="1"/>
  <c r="AP14" i="2"/>
  <c r="AL14" i="2"/>
  <c r="AH14" i="2"/>
  <c r="AD14" i="2"/>
  <c r="Z14" i="2"/>
  <c r="V14" i="2"/>
  <c r="R14" i="2"/>
  <c r="N14" i="2"/>
  <c r="J14" i="2"/>
  <c r="F14" i="2"/>
  <c r="H181" i="1"/>
  <c r="AE96" i="2" s="1"/>
  <c r="H180" i="1"/>
  <c r="AQ74" i="2" s="1"/>
  <c r="H179" i="1"/>
  <c r="C5" i="5" s="1"/>
  <c r="H178" i="1"/>
  <c r="J178" i="1" s="1"/>
  <c r="H177" i="1"/>
  <c r="J177" i="1" s="1"/>
  <c r="H176" i="1"/>
  <c r="AF47" i="2" s="1"/>
  <c r="H175" i="1"/>
  <c r="J175" i="1" s="1"/>
  <c r="H174" i="1"/>
  <c r="J174" i="1" s="1"/>
  <c r="H173" i="1"/>
  <c r="C31" i="4" s="1"/>
  <c r="H172" i="1"/>
  <c r="C30" i="4" s="1"/>
  <c r="H171" i="1"/>
  <c r="C26" i="4" s="1"/>
  <c r="H170" i="1"/>
  <c r="C25" i="4" s="1"/>
  <c r="H169" i="1"/>
  <c r="C21" i="4" s="1"/>
  <c r="H168" i="1"/>
  <c r="C20" i="4" s="1"/>
  <c r="L56" i="1"/>
  <c r="M56" i="1" s="1"/>
  <c r="U56" i="1" s="1"/>
  <c r="V56" i="1" s="1"/>
  <c r="AI36" i="1"/>
  <c r="AJ36" i="1"/>
  <c r="AK36" i="1"/>
  <c r="AL36" i="1"/>
  <c r="AI37" i="1"/>
  <c r="AJ37" i="1"/>
  <c r="AK37" i="1"/>
  <c r="AL37" i="1"/>
  <c r="AI38" i="1"/>
  <c r="AJ38" i="1"/>
  <c r="AK38" i="1"/>
  <c r="AL38" i="1"/>
  <c r="AI39" i="1"/>
  <c r="AJ39" i="1"/>
  <c r="AK39" i="1"/>
  <c r="AL39" i="1"/>
  <c r="AI40" i="1"/>
  <c r="AJ40" i="1"/>
  <c r="AK40" i="1"/>
  <c r="AL40" i="1"/>
  <c r="AI41" i="1"/>
  <c r="AJ41" i="1"/>
  <c r="AK41" i="1"/>
  <c r="AL41" i="1"/>
  <c r="AI42" i="1"/>
  <c r="AJ42" i="1"/>
  <c r="AK42" i="1"/>
  <c r="AL42" i="1"/>
  <c r="AI43" i="1"/>
  <c r="AJ43" i="1"/>
  <c r="AK43" i="1"/>
  <c r="AL43" i="1"/>
  <c r="AI44" i="1"/>
  <c r="AJ44" i="1"/>
  <c r="AK44" i="1"/>
  <c r="AL44" i="1"/>
  <c r="AI45" i="1"/>
  <c r="AJ45" i="1"/>
  <c r="AK45" i="1"/>
  <c r="AL45" i="1"/>
  <c r="L53" i="1"/>
  <c r="L51" i="1"/>
  <c r="U51" i="1" s="1"/>
  <c r="V51" i="1" s="1"/>
  <c r="I12" i="1"/>
  <c r="L55" i="1"/>
  <c r="U55" i="1" s="1"/>
  <c r="V55" i="1" s="1"/>
  <c r="U64" i="1"/>
  <c r="V64" i="1" s="1"/>
  <c r="U63" i="1"/>
  <c r="V63" i="1" s="1"/>
  <c r="H158" i="1"/>
  <c r="H159" i="1"/>
  <c r="J134" i="1" s="1"/>
  <c r="H160" i="1"/>
  <c r="Q59" i="2"/>
  <c r="H161" i="1"/>
  <c r="K82" i="1" s="1"/>
  <c r="H162" i="1"/>
  <c r="H163" i="1"/>
  <c r="H164" i="1"/>
  <c r="H165" i="1"/>
  <c r="C12" i="4" s="1"/>
  <c r="H166" i="1"/>
  <c r="C15" i="4" s="1"/>
  <c r="H167" i="1"/>
  <c r="C16" i="4" s="1"/>
  <c r="H155" i="1"/>
  <c r="H156" i="1"/>
  <c r="L76" i="1"/>
  <c r="U76" i="1"/>
  <c r="V76" i="1" s="1"/>
  <c r="L75" i="1"/>
  <c r="U75" i="1" s="1"/>
  <c r="V75" i="1" s="1"/>
  <c r="L74" i="1"/>
  <c r="U74" i="1"/>
  <c r="V74" i="1" s="1"/>
  <c r="A48" i="1"/>
  <c r="A47" i="1"/>
  <c r="A46" i="1"/>
  <c r="A45" i="1"/>
  <c r="A44" i="1"/>
  <c r="A41" i="1"/>
  <c r="A50" i="1" s="1"/>
  <c r="L73" i="1" s="1"/>
  <c r="U73" i="1" s="1"/>
  <c r="V73" i="1" s="1"/>
  <c r="A42" i="1"/>
  <c r="L43" i="1"/>
  <c r="U43" i="1" s="1"/>
  <c r="V43" i="1" s="1"/>
  <c r="L42" i="1"/>
  <c r="U42" i="1" s="1"/>
  <c r="V42" i="1" s="1"/>
  <c r="L45" i="1"/>
  <c r="U45" i="1"/>
  <c r="V45" i="1" s="1"/>
  <c r="L71" i="1"/>
  <c r="M71" i="1" s="1"/>
  <c r="U71" i="1" s="1"/>
  <c r="V71" i="1" s="1"/>
  <c r="AI26" i="1"/>
  <c r="AJ26" i="1"/>
  <c r="AK26" i="1"/>
  <c r="AL26" i="1"/>
  <c r="AI27" i="1"/>
  <c r="AJ27" i="1"/>
  <c r="AK27" i="1"/>
  <c r="AL27" i="1"/>
  <c r="AI28" i="1"/>
  <c r="AJ28" i="1"/>
  <c r="AK28" i="1"/>
  <c r="AL28" i="1"/>
  <c r="AI29" i="1"/>
  <c r="AJ29" i="1"/>
  <c r="AK29" i="1"/>
  <c r="AL29" i="1"/>
  <c r="AI30" i="1"/>
  <c r="AJ30" i="1"/>
  <c r="AK30" i="1"/>
  <c r="AL30" i="1"/>
  <c r="AI31" i="1"/>
  <c r="AJ31" i="1"/>
  <c r="AK31" i="1"/>
  <c r="AL31" i="1"/>
  <c r="AI32" i="1"/>
  <c r="AJ32" i="1"/>
  <c r="AK32" i="1"/>
  <c r="AL32" i="1"/>
  <c r="AI33" i="1"/>
  <c r="AJ33" i="1"/>
  <c r="AK33" i="1"/>
  <c r="AL33" i="1"/>
  <c r="AI34" i="1"/>
  <c r="AJ34" i="1"/>
  <c r="AK34" i="1"/>
  <c r="AL34" i="1"/>
  <c r="AI35" i="1"/>
  <c r="AJ35" i="1"/>
  <c r="AK35" i="1"/>
  <c r="AL35" i="1"/>
  <c r="C93" i="1"/>
  <c r="C92" i="1"/>
  <c r="C91" i="1"/>
  <c r="C90" i="1"/>
  <c r="C89" i="1"/>
  <c r="C88" i="1"/>
  <c r="C95" i="1" s="1"/>
  <c r="L72" i="1" s="1"/>
  <c r="U72" i="1" s="1"/>
  <c r="V72" i="1" s="1"/>
  <c r="B81" i="1"/>
  <c r="AM25" i="1"/>
  <c r="AL25" i="1"/>
  <c r="AK25" i="1"/>
  <c r="AJ25" i="1"/>
  <c r="AI25" i="1"/>
  <c r="AM24" i="1"/>
  <c r="AL24" i="1"/>
  <c r="AK24" i="1"/>
  <c r="AJ24" i="1"/>
  <c r="AI24" i="1"/>
  <c r="AL23" i="1"/>
  <c r="AK23" i="1"/>
  <c r="AJ23" i="1"/>
  <c r="AI23" i="1"/>
  <c r="AL22" i="1"/>
  <c r="AK22" i="1"/>
  <c r="AJ22" i="1"/>
  <c r="AI22" i="1"/>
  <c r="AM21" i="1"/>
  <c r="AL21" i="1"/>
  <c r="AK21" i="1"/>
  <c r="AJ21" i="1"/>
  <c r="AI21" i="1"/>
  <c r="AM20" i="1"/>
  <c r="AL20" i="1"/>
  <c r="AK20" i="1"/>
  <c r="AJ20" i="1"/>
  <c r="AI20" i="1"/>
  <c r="AL19" i="1"/>
  <c r="AK19" i="1"/>
  <c r="AJ19" i="1"/>
  <c r="AI19" i="1"/>
  <c r="AL18" i="1"/>
  <c r="AK18" i="1"/>
  <c r="AJ18" i="1"/>
  <c r="AI18" i="1"/>
  <c r="AL17" i="1"/>
  <c r="AK17" i="1"/>
  <c r="AJ17" i="1"/>
  <c r="AI17" i="1"/>
  <c r="AL16" i="1"/>
  <c r="AK16" i="1"/>
  <c r="AJ16" i="1"/>
  <c r="AI16" i="1"/>
  <c r="AL15" i="1"/>
  <c r="AK15" i="1"/>
  <c r="AJ15" i="1"/>
  <c r="AI15" i="1"/>
  <c r="AL14" i="1"/>
  <c r="AK14" i="1"/>
  <c r="AJ14" i="1"/>
  <c r="AI14" i="1"/>
  <c r="AL13" i="1"/>
  <c r="AK13" i="1"/>
  <c r="AJ13" i="1"/>
  <c r="AI13" i="1"/>
  <c r="AM12" i="1"/>
  <c r="AL12" i="1"/>
  <c r="AK12" i="1"/>
  <c r="AJ12" i="1"/>
  <c r="AI12" i="1"/>
  <c r="AL11" i="1"/>
  <c r="AK11" i="1"/>
  <c r="AJ11" i="1"/>
  <c r="AI11" i="1"/>
  <c r="AL10" i="1"/>
  <c r="AK10" i="1"/>
  <c r="AJ10" i="1"/>
  <c r="AI10" i="1"/>
  <c r="AL9" i="1"/>
  <c r="AK9" i="1"/>
  <c r="AJ9" i="1"/>
  <c r="AI9" i="1"/>
  <c r="AM8" i="1"/>
  <c r="AL8" i="1"/>
  <c r="AK8" i="1"/>
  <c r="AJ8" i="1"/>
  <c r="AI8" i="1"/>
  <c r="AM7" i="1"/>
  <c r="AL7" i="1"/>
  <c r="AK7" i="1"/>
  <c r="AJ7" i="1"/>
  <c r="AI7" i="1"/>
  <c r="AM6" i="1"/>
  <c r="AL6" i="1"/>
  <c r="AK6" i="1"/>
  <c r="AJ6" i="1"/>
  <c r="AI6" i="1"/>
  <c r="AM5" i="1"/>
  <c r="AL5" i="1"/>
  <c r="AK5" i="1"/>
  <c r="AJ5" i="1"/>
  <c r="AI5" i="1"/>
  <c r="AM4" i="1"/>
  <c r="AL4" i="1"/>
  <c r="AK4" i="1"/>
  <c r="AJ4" i="1"/>
  <c r="AI4" i="1"/>
  <c r="AM3" i="1"/>
  <c r="AL3" i="1"/>
  <c r="AK3" i="1"/>
  <c r="AJ3" i="1"/>
  <c r="AI3" i="1"/>
  <c r="AL1" i="1"/>
  <c r="AO53" i="2" s="1"/>
  <c r="AK1" i="1"/>
  <c r="AK53" i="2"/>
  <c r="AJ1" i="1"/>
  <c r="AH53" i="2" s="1"/>
  <c r="AX43" i="2"/>
  <c r="AW42" i="2"/>
  <c r="AW41" i="2"/>
  <c r="O50" i="1" s="1"/>
  <c r="AW40" i="2"/>
  <c r="O49" i="1" s="1"/>
  <c r="AW39" i="2"/>
  <c r="O48" i="1" s="1"/>
  <c r="AW38" i="2"/>
  <c r="O47" i="1" s="1"/>
  <c r="AW37" i="2"/>
  <c r="O46" i="1" s="1"/>
  <c r="AW36" i="2"/>
  <c r="O45" i="1" s="1"/>
  <c r="AW35" i="2"/>
  <c r="O44" i="1" s="1"/>
  <c r="AW34" i="2"/>
  <c r="O43" i="1" s="1"/>
  <c r="AW33" i="2"/>
  <c r="P51" i="1" s="1"/>
  <c r="L47" i="1"/>
  <c r="U47" i="1"/>
  <c r="V47" i="1" s="1"/>
  <c r="O41" i="1"/>
  <c r="N50" i="1"/>
  <c r="N49" i="1"/>
  <c r="N48" i="1"/>
  <c r="N47" i="1"/>
  <c r="N46" i="1"/>
  <c r="N45" i="1"/>
  <c r="N44" i="1"/>
  <c r="N43" i="1"/>
  <c r="N42" i="1"/>
  <c r="N41" i="1"/>
  <c r="C11" i="2"/>
  <c r="AI53" i="2"/>
  <c r="AM53" i="2"/>
  <c r="AP53" i="2"/>
  <c r="O52" i="1"/>
  <c r="L69" i="1"/>
  <c r="U53" i="1"/>
  <c r="V53" i="1" s="1"/>
  <c r="C64" i="1"/>
  <c r="I133" i="1"/>
  <c r="H134" i="1"/>
  <c r="H135" i="1"/>
  <c r="J135" i="1" s="1"/>
  <c r="H136" i="1"/>
  <c r="J136" i="1" s="1"/>
  <c r="H137" i="1"/>
  <c r="AW30" i="2"/>
  <c r="H138" i="1"/>
  <c r="E102" i="2" s="1"/>
  <c r="H139" i="1"/>
  <c r="E104" i="2" s="1"/>
  <c r="H140" i="1"/>
  <c r="E106" i="2" s="1"/>
  <c r="H141" i="1"/>
  <c r="E108" i="2" s="1"/>
  <c r="H142" i="1"/>
  <c r="E110" i="2" s="1"/>
  <c r="H143" i="1"/>
  <c r="J143" i="1" s="1"/>
  <c r="H144" i="1"/>
  <c r="J144" i="1" s="1"/>
  <c r="H145" i="1"/>
  <c r="H146" i="1"/>
  <c r="J146" i="1" s="1"/>
  <c r="H147" i="1"/>
  <c r="J147" i="1"/>
  <c r="H148" i="1"/>
  <c r="H149" i="1"/>
  <c r="R114" i="2" s="1"/>
  <c r="H150" i="1"/>
  <c r="AW46" i="2" s="1"/>
  <c r="H151" i="1"/>
  <c r="J151" i="1" s="1"/>
  <c r="H152" i="1"/>
  <c r="J152" i="1" s="1"/>
  <c r="H153" i="1"/>
  <c r="J153" i="1" s="1"/>
  <c r="H154" i="1"/>
  <c r="M87" i="1" s="1"/>
  <c r="H157" i="1"/>
  <c r="AX22" i="2" s="1"/>
  <c r="E37" i="4"/>
  <c r="M95" i="1"/>
  <c r="M111" i="1"/>
  <c r="M127" i="1"/>
  <c r="M104" i="1"/>
  <c r="M120" i="1"/>
  <c r="M136" i="1"/>
  <c r="M125" i="1"/>
  <c r="M97" i="1"/>
  <c r="M113" i="1"/>
  <c r="M90" i="1"/>
  <c r="M106" i="1"/>
  <c r="M122" i="1"/>
  <c r="M108" i="1"/>
  <c r="M109" i="1"/>
  <c r="M91" i="1"/>
  <c r="M123" i="1"/>
  <c r="M94" i="1"/>
  <c r="M110" i="1"/>
  <c r="M132" i="1"/>
  <c r="M117" i="1"/>
  <c r="S41" i="1"/>
  <c r="L63" i="1"/>
  <c r="L65" i="1"/>
  <c r="L62" i="1"/>
  <c r="A9" i="2" s="1"/>
  <c r="L64" i="1"/>
  <c r="H132" i="1"/>
  <c r="L61" i="1"/>
  <c r="L60" i="1"/>
  <c r="M60" i="1" s="1"/>
  <c r="U60" i="1" s="1"/>
  <c r="V60" i="1" s="1"/>
  <c r="L59" i="1"/>
  <c r="L58" i="1"/>
  <c r="H126" i="1"/>
  <c r="C7" i="4" s="1"/>
  <c r="H127" i="1"/>
  <c r="C8" i="4" s="1"/>
  <c r="H128" i="1"/>
  <c r="C9" i="4" s="1"/>
  <c r="H129" i="1"/>
  <c r="C4" i="4" s="1"/>
  <c r="H130" i="1"/>
  <c r="S5" i="2"/>
  <c r="H131" i="1"/>
  <c r="AX14" i="2" s="1"/>
  <c r="H133" i="1"/>
  <c r="L50" i="1"/>
  <c r="U50" i="1" s="1"/>
  <c r="V50" i="1" s="1"/>
  <c r="L48" i="1"/>
  <c r="L49" i="1" s="1"/>
  <c r="L46" i="1"/>
  <c r="U46" i="1"/>
  <c r="V46" i="1"/>
  <c r="L44" i="1"/>
  <c r="U49" i="1" s="1"/>
  <c r="V49" i="1" s="1"/>
  <c r="L41" i="1"/>
  <c r="U41" i="1"/>
  <c r="V41" i="1" s="1"/>
  <c r="H2" i="1"/>
  <c r="AX3" i="2" s="1"/>
  <c r="H66" i="1"/>
  <c r="K81" i="1"/>
  <c r="H124" i="1"/>
  <c r="F20" i="2" s="1"/>
  <c r="H125" i="1"/>
  <c r="AO34" i="2" s="1"/>
  <c r="O95" i="2"/>
  <c r="H95" i="2"/>
  <c r="V84" i="2"/>
  <c r="H84" i="2"/>
  <c r="X71" i="2"/>
  <c r="R71" i="2"/>
  <c r="L71" i="2"/>
  <c r="F71" i="2"/>
  <c r="O84" i="2"/>
  <c r="H117" i="1"/>
  <c r="V96" i="2" s="1"/>
  <c r="H118" i="1"/>
  <c r="Z87" i="2"/>
  <c r="H119" i="1"/>
  <c r="Z91" i="2" s="1"/>
  <c r="H120" i="1"/>
  <c r="B74" i="1"/>
  <c r="H121" i="1"/>
  <c r="B75" i="1"/>
  <c r="H122" i="1"/>
  <c r="B77" i="1"/>
  <c r="H123" i="1"/>
  <c r="B78" i="1"/>
  <c r="H114" i="1"/>
  <c r="B71" i="1"/>
  <c r="H115" i="1"/>
  <c r="B72" i="1"/>
  <c r="H116" i="1"/>
  <c r="V90" i="2"/>
  <c r="H113" i="1"/>
  <c r="B69" i="1"/>
  <c r="H112" i="1"/>
  <c r="B68" i="1"/>
  <c r="H91" i="1"/>
  <c r="AF48" i="2"/>
  <c r="H92" i="1"/>
  <c r="J92" i="1"/>
  <c r="H93" i="1"/>
  <c r="J93" i="1"/>
  <c r="H94" i="1"/>
  <c r="AE55" i="2"/>
  <c r="H95" i="1"/>
  <c r="J95" i="1" s="1"/>
  <c r="H96" i="1"/>
  <c r="J96" i="1" s="1"/>
  <c r="H97" i="1"/>
  <c r="H98" i="1"/>
  <c r="H99" i="1"/>
  <c r="H100" i="1"/>
  <c r="H101" i="1"/>
  <c r="H102" i="1"/>
  <c r="E116" i="2"/>
  <c r="H104" i="1"/>
  <c r="H105" i="1"/>
  <c r="H106" i="1"/>
  <c r="H107" i="1"/>
  <c r="F21" i="2" s="1"/>
  <c r="H108" i="1"/>
  <c r="H109" i="1"/>
  <c r="H110" i="1"/>
  <c r="F60" i="2" s="1"/>
  <c r="H111" i="1"/>
  <c r="L60" i="2" s="1"/>
  <c r="H90" i="1"/>
  <c r="AE88" i="2" s="1"/>
  <c r="H89" i="1"/>
  <c r="J89" i="1" s="1"/>
  <c r="U69" i="1"/>
  <c r="V69" i="1"/>
  <c r="AS86" i="2"/>
  <c r="AO86" i="2"/>
  <c r="H82" i="1"/>
  <c r="C30" i="1"/>
  <c r="C29" i="1"/>
  <c r="C28" i="1"/>
  <c r="AN13" i="2"/>
  <c r="AJ13" i="2"/>
  <c r="AF13" i="2"/>
  <c r="AB13" i="2"/>
  <c r="X13" i="2"/>
  <c r="T13" i="2"/>
  <c r="P13" i="2"/>
  <c r="L13" i="2"/>
  <c r="H13" i="2"/>
  <c r="AM38" i="2"/>
  <c r="AR12" i="2"/>
  <c r="AN12" i="2"/>
  <c r="AJ12" i="2"/>
  <c r="AF12" i="2"/>
  <c r="AB12" i="2"/>
  <c r="X12" i="2"/>
  <c r="P12" i="2"/>
  <c r="L12" i="2"/>
  <c r="T12" i="2"/>
  <c r="H12" i="2"/>
  <c r="H7" i="1"/>
  <c r="S6" i="2"/>
  <c r="H8" i="1"/>
  <c r="S7" i="2"/>
  <c r="H9" i="1"/>
  <c r="H10" i="1"/>
  <c r="AN5" i="2" s="1"/>
  <c r="H11" i="1"/>
  <c r="AN6" i="2" s="1"/>
  <c r="H12" i="1"/>
  <c r="H13" i="1"/>
  <c r="F33" i="2"/>
  <c r="H14" i="1"/>
  <c r="F34" i="2"/>
  <c r="H15" i="1"/>
  <c r="AF33" i="2"/>
  <c r="H16" i="1"/>
  <c r="AF34" i="2" s="1"/>
  <c r="H17" i="1"/>
  <c r="AF35" i="2" s="1"/>
  <c r="H18" i="1"/>
  <c r="H19" i="1"/>
  <c r="AF37" i="2" s="1"/>
  <c r="H20" i="1"/>
  <c r="H21" i="1"/>
  <c r="AO38" i="2" s="1"/>
  <c r="H22" i="1"/>
  <c r="AF39" i="2" s="1"/>
  <c r="H23" i="1"/>
  <c r="H24" i="1"/>
  <c r="H25" i="1"/>
  <c r="AO33" i="2" s="1"/>
  <c r="H26" i="1"/>
  <c r="H27" i="1"/>
  <c r="AO36" i="2" s="1"/>
  <c r="H28" i="1"/>
  <c r="AO37" i="2" s="1"/>
  <c r="H29" i="1"/>
  <c r="AF40" i="2" s="1"/>
  <c r="H30" i="1"/>
  <c r="F40" i="2"/>
  <c r="H31" i="1"/>
  <c r="N40" i="2"/>
  <c r="H32" i="1"/>
  <c r="H49" i="2"/>
  <c r="H33" i="1"/>
  <c r="P44" i="2"/>
  <c r="H34" i="1"/>
  <c r="Z46" i="2"/>
  <c r="H35" i="1"/>
  <c r="AE42" i="2"/>
  <c r="H36" i="1"/>
  <c r="AF43" i="2"/>
  <c r="H37" i="1"/>
  <c r="H38" i="1"/>
  <c r="H39" i="1"/>
  <c r="AF45" i="2"/>
  <c r="H40" i="1"/>
  <c r="AF46" i="2"/>
  <c r="H41" i="1"/>
  <c r="H42" i="1"/>
  <c r="AE52" i="2" s="1"/>
  <c r="H43" i="1"/>
  <c r="AF56" i="2" s="1"/>
  <c r="H44" i="1"/>
  <c r="AN56" i="2" s="1"/>
  <c r="H45" i="1"/>
  <c r="AF57" i="2" s="1"/>
  <c r="H46" i="1"/>
  <c r="H47" i="1"/>
  <c r="AE87" i="2"/>
  <c r="H48" i="1"/>
  <c r="H49" i="1"/>
  <c r="AN83" i="2" s="1"/>
  <c r="H50" i="1"/>
  <c r="AO84" i="2" s="1"/>
  <c r="H51" i="1"/>
  <c r="AO85" i="2" s="1"/>
  <c r="H52" i="1"/>
  <c r="AE79" i="2" s="1"/>
  <c r="H53" i="1"/>
  <c r="H54" i="1"/>
  <c r="AH45" i="1" s="1"/>
  <c r="H55" i="1"/>
  <c r="AH5" i="2" s="1"/>
  <c r="H56" i="1"/>
  <c r="AH6" i="2" s="1"/>
  <c r="H57" i="1"/>
  <c r="AH7" i="2" s="1"/>
  <c r="H58" i="1"/>
  <c r="A28" i="2"/>
  <c r="H59" i="1"/>
  <c r="H60" i="1"/>
  <c r="AR13" i="2"/>
  <c r="H61" i="1"/>
  <c r="H62" i="1"/>
  <c r="H63" i="1"/>
  <c r="H64" i="1"/>
  <c r="AE60" i="2" s="1"/>
  <c r="H65" i="1"/>
  <c r="K79" i="1" s="1"/>
  <c r="N79" i="1" s="1"/>
  <c r="H67" i="1"/>
  <c r="K80" i="1"/>
  <c r="N80" i="1" s="1"/>
  <c r="H68" i="1"/>
  <c r="J68" i="1" s="1"/>
  <c r="H69" i="1"/>
  <c r="J69" i="1" s="1"/>
  <c r="H70" i="1"/>
  <c r="AE73" i="2" s="1"/>
  <c r="H71" i="1"/>
  <c r="AF74" i="2" s="1"/>
  <c r="H72" i="1"/>
  <c r="AM74" i="2" s="1"/>
  <c r="H73" i="1"/>
  <c r="AM75" i="2" s="1"/>
  <c r="H74" i="1"/>
  <c r="AM76" i="2" s="1"/>
  <c r="H75" i="1"/>
  <c r="AG75" i="2" s="1"/>
  <c r="H76" i="1"/>
  <c r="AE77" i="2" s="1"/>
  <c r="H77" i="1"/>
  <c r="AE78" i="2" s="1"/>
  <c r="H78" i="1"/>
  <c r="J78" i="1" s="1"/>
  <c r="H79" i="1"/>
  <c r="J79" i="1" s="1"/>
  <c r="H80" i="1"/>
  <c r="J80" i="1" s="1"/>
  <c r="H81" i="1"/>
  <c r="J81" i="1" s="1"/>
  <c r="H83" i="1"/>
  <c r="H84" i="1"/>
  <c r="AE80" i="2"/>
  <c r="H85" i="1"/>
  <c r="J85" i="1" s="1"/>
  <c r="H86" i="1"/>
  <c r="J86" i="1"/>
  <c r="H87" i="1"/>
  <c r="AE83" i="2" s="1"/>
  <c r="H88" i="1"/>
  <c r="AE90" i="2"/>
  <c r="H3" i="1"/>
  <c r="H4" i="1"/>
  <c r="E5" i="2" s="1"/>
  <c r="H6" i="1"/>
  <c r="F7" i="2" s="1"/>
  <c r="H5" i="1"/>
  <c r="F6" i="2" s="1"/>
  <c r="J63" i="5"/>
  <c r="J47" i="5"/>
  <c r="J79" i="5"/>
  <c r="J31" i="5"/>
  <c r="K15" i="5"/>
  <c r="J15" i="5" s="1"/>
  <c r="AO35" i="2"/>
  <c r="AF36" i="2"/>
  <c r="J73" i="1"/>
  <c r="BB3" i="2"/>
  <c r="AF38" i="2"/>
  <c r="J72" i="1"/>
  <c r="J74" i="1"/>
  <c r="AB38" i="1"/>
  <c r="AM38" i="1"/>
  <c r="AH26" i="1"/>
  <c r="AH44" i="1"/>
  <c r="AB41" i="1"/>
  <c r="AM41" i="1"/>
  <c r="AM10" i="1"/>
  <c r="AB43" i="1"/>
  <c r="AM43" i="1" s="1"/>
  <c r="AB40" i="1"/>
  <c r="AM40" i="1" s="1"/>
  <c r="AB44" i="1"/>
  <c r="AM44" i="1" s="1"/>
  <c r="AB26" i="1"/>
  <c r="AM26" i="1" s="1"/>
  <c r="AH54" i="2" s="1"/>
  <c r="AB32" i="1"/>
  <c r="AM32" i="1" s="1"/>
  <c r="J88" i="1"/>
  <c r="AM31" i="1"/>
  <c r="AM30" i="1"/>
  <c r="AM28" i="1"/>
  <c r="AM29" i="1"/>
  <c r="AB35" i="1"/>
  <c r="AM35" i="1" s="1"/>
  <c r="AM27" i="1"/>
  <c r="AM22" i="1"/>
  <c r="AM9" i="1"/>
  <c r="AM13" i="1"/>
  <c r="AM15" i="1"/>
  <c r="AM19" i="1"/>
  <c r="AM16" i="1"/>
  <c r="AM23" i="1"/>
  <c r="AM17" i="1"/>
  <c r="AM14" i="1"/>
  <c r="E13" i="2"/>
  <c r="AM18" i="1"/>
  <c r="AM11" i="1"/>
  <c r="C82" i="1" l="1"/>
  <c r="C83" i="1"/>
  <c r="AB33" i="1"/>
  <c r="AM33" i="1" s="1"/>
  <c r="AB42" i="1"/>
  <c r="AM42" i="1" s="1"/>
  <c r="AB36" i="1"/>
  <c r="AM36" i="1" s="1"/>
  <c r="AH10" i="1"/>
  <c r="AH18" i="1"/>
  <c r="AH34" i="1"/>
  <c r="AB34" i="1"/>
  <c r="AM34" i="1" s="1"/>
  <c r="AB39" i="1"/>
  <c r="AM39" i="1" s="1"/>
  <c r="AH43" i="1"/>
  <c r="AB45" i="1"/>
  <c r="AM45" i="1" s="1"/>
  <c r="AB37" i="1"/>
  <c r="AM37" i="1" s="1"/>
  <c r="M59" i="1"/>
  <c r="U59" i="1" s="1"/>
  <c r="V59" i="1" s="1"/>
  <c r="M126" i="1"/>
  <c r="M107" i="1"/>
  <c r="M138" i="1"/>
  <c r="M129" i="1"/>
  <c r="M116" i="1"/>
  <c r="M88" i="1"/>
  <c r="E35" i="4"/>
  <c r="R112" i="2"/>
  <c r="AQ76" i="2"/>
  <c r="AQ75" i="2"/>
  <c r="E33" i="4"/>
  <c r="J77" i="1"/>
  <c r="C10" i="5"/>
  <c r="C84" i="1"/>
  <c r="M101" i="1"/>
  <c r="M118" i="1"/>
  <c r="M131" i="1"/>
  <c r="M99" i="1"/>
  <c r="M124" i="1"/>
  <c r="M130" i="1"/>
  <c r="M98" i="1"/>
  <c r="M121" i="1"/>
  <c r="M89" i="1"/>
  <c r="M100" i="1"/>
  <c r="M112" i="1"/>
  <c r="M135" i="1"/>
  <c r="M103" i="1"/>
  <c r="AW95" i="2"/>
  <c r="AE32" i="2"/>
  <c r="L77" i="1"/>
  <c r="U77" i="1" s="1"/>
  <c r="V77" i="1" s="1"/>
  <c r="M134" i="1"/>
  <c r="M102" i="1"/>
  <c r="M115" i="1"/>
  <c r="M133" i="1"/>
  <c r="M92" i="1"/>
  <c r="M114" i="1"/>
  <c r="M137" i="1"/>
  <c r="M105" i="1"/>
  <c r="M93" i="1"/>
  <c r="M128" i="1"/>
  <c r="M96" i="1"/>
  <c r="M119" i="1"/>
  <c r="K10" i="5"/>
  <c r="V83" i="10"/>
  <c r="U83" i="10" s="1"/>
  <c r="AX19" i="11" s="1"/>
  <c r="E56" i="5" s="1"/>
  <c r="V83" i="6"/>
  <c r="U83" i="6" s="1"/>
  <c r="AX19" i="7" s="1"/>
  <c r="E24" i="5" s="1"/>
  <c r="U44" i="1"/>
  <c r="V44" i="1" s="1"/>
  <c r="M62" i="1"/>
  <c r="U62" i="1" s="1"/>
  <c r="V62" i="1" s="1"/>
  <c r="U58" i="1"/>
  <c r="V58" i="1" s="1"/>
  <c r="O51" i="1"/>
  <c r="U70" i="1" s="1"/>
  <c r="V70" i="1" s="1"/>
  <c r="M48" i="1"/>
  <c r="M49" i="1" s="1"/>
  <c r="U48" i="1" s="1"/>
  <c r="V48" i="1" s="1"/>
  <c r="N8" i="5"/>
  <c r="M66" i="1"/>
  <c r="U66" i="1" s="1"/>
  <c r="V66" i="1" s="1"/>
  <c r="W68" i="1"/>
  <c r="M15" i="5"/>
  <c r="AW43" i="2"/>
  <c r="AY43" i="2" s="1"/>
  <c r="O42" i="1"/>
  <c r="C14" i="5"/>
  <c r="C12" i="5"/>
  <c r="L70" i="1" l="1"/>
  <c r="V83" i="1"/>
  <c r="U83" i="1" s="1"/>
  <c r="AX19" i="2" s="1"/>
  <c r="E8"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W68" authorId="0" shapeId="0" xr:uid="{A064C6A7-5BFC-4984-9B17-4848C841927B}">
      <text>
        <r>
          <rPr>
            <b/>
            <sz val="9"/>
            <color indexed="81"/>
            <rFont val="Segoe UI"/>
            <family val="2"/>
          </rPr>
          <t>Maurin Müller:</t>
        </r>
        <r>
          <rPr>
            <sz val="9"/>
            <color indexed="81"/>
            <rFont val="Segoe UI"/>
            <family val="2"/>
          </rPr>
          <t xml:space="preserve">
Summe für Kontrolle gesamtes Beratungsfeld</t>
        </r>
      </text>
    </comment>
    <comment ref="L72" authorId="0" shapeId="0" xr:uid="{00000000-0006-0000-0200-000001000000}">
      <text>
        <r>
          <rPr>
            <b/>
            <sz val="9"/>
            <color indexed="81"/>
            <rFont val="Segoe UI"/>
            <family val="2"/>
          </rPr>
          <t>Maurin Müller:</t>
        </r>
        <r>
          <rPr>
            <sz val="9"/>
            <color indexed="81"/>
            <rFont val="Segoe UI"/>
            <family val="2"/>
          </rPr>
          <t xml:space="preserve">
siehe Zelle C95</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4A973717-0D1F-4BC9-B13B-02E72AF3C370}">
      <text>
        <r>
          <rPr>
            <b/>
            <sz val="9"/>
            <color indexed="81"/>
            <rFont val="Segoe UI"/>
            <family val="2"/>
          </rPr>
          <t xml:space="preserve">BHF = </t>
        </r>
        <r>
          <rPr>
            <sz val="9"/>
            <color indexed="81"/>
            <rFont val="Segoe UI"/>
            <family val="2"/>
          </rPr>
          <t>pocket door / calandage / stazione</t>
        </r>
      </text>
    </comment>
    <comment ref="F16" authorId="0" shapeId="0" xr:uid="{45C72E14-25A8-415B-847E-9A74A20BD4FD}">
      <text>
        <r>
          <rPr>
            <b/>
            <sz val="9"/>
            <color indexed="81"/>
            <rFont val="Segoe UI"/>
            <family val="2"/>
          </rPr>
          <t xml:space="preserve">M = </t>
        </r>
        <r>
          <rPr>
            <sz val="9"/>
            <color indexed="81"/>
            <rFont val="Segoe UI"/>
            <family val="2"/>
          </rPr>
          <t xml:space="preserve">manuell
           manually
           manuelle
           manuale
</t>
        </r>
        <r>
          <rPr>
            <b/>
            <sz val="9"/>
            <color indexed="81"/>
            <rFont val="Segoe UI"/>
            <family val="2"/>
          </rPr>
          <t xml:space="preserve">E = </t>
        </r>
        <r>
          <rPr>
            <sz val="9"/>
            <color indexed="81"/>
            <rFont val="Segoe UI"/>
            <family val="2"/>
          </rPr>
          <t xml:space="preserve">elektrisch
           electrically
           électrique
           elettrico
</t>
        </r>
      </text>
    </comment>
    <comment ref="AL39" authorId="0" shapeId="0" xr:uid="{91170F1D-B57B-4BD1-8C75-A617B50D4A01}">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FFCE2387-C0A9-4DB1-B599-76D9BEEDF2EA}">
      <text>
        <r>
          <rPr>
            <b/>
            <sz val="9"/>
            <color indexed="81"/>
            <rFont val="Segoe UI"/>
            <family val="2"/>
          </rPr>
          <t>Standard: 1050mm
RC2 = 1050mm
min: RV=200mm 
         MVv=750mm</t>
        </r>
      </text>
    </comment>
    <comment ref="AM45" authorId="0" shapeId="0" xr:uid="{FE74A9DF-0E22-44CD-9025-9F82E7005E14}">
      <text>
        <r>
          <rPr>
            <b/>
            <sz val="8"/>
            <color indexed="81"/>
            <rFont val="Arial"/>
            <family val="2"/>
          </rPr>
          <t>RAL / Tiger, matt etc.</t>
        </r>
      </text>
    </comment>
    <comment ref="AI57" authorId="0" shapeId="0" xr:uid="{2FA8717F-AF0F-47B6-BE2B-F159FC20FC5A}">
      <text>
        <r>
          <rPr>
            <b/>
            <sz val="8"/>
            <color indexed="81"/>
            <rFont val="Arial"/>
            <family val="2"/>
          </rPr>
          <t>P4A / SP10 etc.</t>
        </r>
      </text>
    </comment>
    <comment ref="AB62" authorId="0" shapeId="0" xr:uid="{B7620B1B-C572-4C65-93FF-7F9D5655F9CC}">
      <text>
        <r>
          <rPr>
            <b/>
            <sz val="9"/>
            <color indexed="81"/>
            <rFont val="Segoe UI"/>
            <family val="2"/>
          </rPr>
          <t>1 = XL</t>
        </r>
      </text>
    </comment>
    <comment ref="AN70" authorId="0" shapeId="0" xr:uid="{74F20085-A556-4EFD-986B-F88F261E1DEE}">
      <text>
        <r>
          <rPr>
            <b/>
            <sz val="8"/>
            <color indexed="81"/>
            <rFont val="Arial"/>
            <family val="2"/>
          </rPr>
          <t>Standard &amp; RC2 = 2-Punkt /
                               2-point/
                               2-points/
                               2-punti</t>
        </r>
      </text>
    </comment>
    <comment ref="AB73" authorId="0" shapeId="0" xr:uid="{CCCEE7F7-DA04-48B8-8CD9-4164FCFAF959}">
      <text>
        <r>
          <rPr>
            <b/>
            <sz val="9"/>
            <color indexed="81"/>
            <rFont val="Segoe UI"/>
            <family val="2"/>
          </rPr>
          <t>1 = XL</t>
        </r>
      </text>
    </comment>
    <comment ref="AM88" authorId="0" shapeId="0" xr:uid="{4615DFBC-3795-49BD-9CBC-B647168EAE97}">
      <text>
        <r>
          <rPr>
            <b/>
            <sz val="9"/>
            <color indexed="81"/>
            <rFont val="Segoe UI"/>
            <family val="2"/>
          </rPr>
          <t>ISO 8601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00000000-0006-0000-0300-000001000000}">
      <text>
        <r>
          <rPr>
            <b/>
            <sz val="9"/>
            <color indexed="81"/>
            <rFont val="Segoe UI"/>
            <family val="2"/>
          </rPr>
          <t xml:space="preserve">BHF = </t>
        </r>
        <r>
          <rPr>
            <sz val="9"/>
            <color indexed="81"/>
            <rFont val="Segoe UI"/>
            <family val="2"/>
          </rPr>
          <t>pocket door / calandage / stazione</t>
        </r>
      </text>
    </comment>
    <comment ref="F16" authorId="0" shapeId="0" xr:uid="{00000000-0006-0000-0300-000002000000}">
      <text>
        <r>
          <rPr>
            <b/>
            <sz val="9"/>
            <color indexed="81"/>
            <rFont val="Segoe UI"/>
            <family val="2"/>
          </rPr>
          <t xml:space="preserve">M = </t>
        </r>
        <r>
          <rPr>
            <sz val="9"/>
            <color indexed="81"/>
            <rFont val="Segoe UI"/>
            <family val="2"/>
          </rPr>
          <t xml:space="preserve">manuell
           manually
           manuelle
           manuale
</t>
        </r>
        <r>
          <rPr>
            <b/>
            <sz val="9"/>
            <color indexed="81"/>
            <rFont val="Segoe UI"/>
            <family val="2"/>
          </rPr>
          <t xml:space="preserve">E = </t>
        </r>
        <r>
          <rPr>
            <sz val="9"/>
            <color indexed="81"/>
            <rFont val="Segoe UI"/>
            <family val="2"/>
          </rPr>
          <t xml:space="preserve">elektrisch
           electrically
           électrique
           elettrico
</t>
        </r>
      </text>
    </comment>
    <comment ref="AL39" authorId="0" shapeId="0" xr:uid="{00000000-0006-0000-0300-000003000000}">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00000000-0006-0000-0300-000004000000}">
      <text>
        <r>
          <rPr>
            <b/>
            <sz val="9"/>
            <color indexed="81"/>
            <rFont val="Segoe UI"/>
            <family val="2"/>
          </rPr>
          <t>Standard: 1050mm
RC2 = 1050mm
min: RV=200mm 
         MVv=750mm</t>
        </r>
      </text>
    </comment>
    <comment ref="AM45" authorId="0" shapeId="0" xr:uid="{00000000-0006-0000-0300-000005000000}">
      <text>
        <r>
          <rPr>
            <b/>
            <sz val="8"/>
            <color indexed="81"/>
            <rFont val="Arial"/>
            <family val="2"/>
          </rPr>
          <t>RAL / Tiger, matt etc.</t>
        </r>
      </text>
    </comment>
    <comment ref="AI57" authorId="0" shapeId="0" xr:uid="{00000000-0006-0000-0300-000006000000}">
      <text>
        <r>
          <rPr>
            <b/>
            <sz val="8"/>
            <color indexed="81"/>
            <rFont val="Arial"/>
            <family val="2"/>
          </rPr>
          <t>P4A / SP10 etc.</t>
        </r>
      </text>
    </comment>
    <comment ref="AB62" authorId="0" shapeId="0" xr:uid="{00000000-0006-0000-0300-000007000000}">
      <text>
        <r>
          <rPr>
            <b/>
            <sz val="9"/>
            <color indexed="81"/>
            <rFont val="Segoe UI"/>
            <family val="2"/>
          </rPr>
          <t>1 = XL</t>
        </r>
      </text>
    </comment>
    <comment ref="AN70" authorId="0" shapeId="0" xr:uid="{00000000-0006-0000-0300-000008000000}">
      <text>
        <r>
          <rPr>
            <b/>
            <sz val="8"/>
            <color indexed="81"/>
            <rFont val="Arial"/>
            <family val="2"/>
          </rPr>
          <t>Standard &amp; RC2 = 2-Punkt /
                               2-point/
                               2-points/
                               2-punti</t>
        </r>
      </text>
    </comment>
    <comment ref="AB73" authorId="0" shapeId="0" xr:uid="{00000000-0006-0000-0300-000009000000}">
      <text>
        <r>
          <rPr>
            <b/>
            <sz val="9"/>
            <color indexed="81"/>
            <rFont val="Segoe UI"/>
            <family val="2"/>
          </rPr>
          <t>1 = XL</t>
        </r>
      </text>
    </comment>
    <comment ref="AM88" authorId="0" shapeId="0" xr:uid="{00000000-0006-0000-0300-00000A000000}">
      <text>
        <r>
          <rPr>
            <b/>
            <sz val="9"/>
            <color indexed="81"/>
            <rFont val="Segoe UI"/>
            <family val="2"/>
          </rPr>
          <t>ISO 8601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W68" authorId="0" shapeId="0" xr:uid="{1B8B092D-032D-4F11-9A56-6EEDFF3B55D4}">
      <text>
        <r>
          <rPr>
            <b/>
            <sz val="9"/>
            <color indexed="81"/>
            <rFont val="Segoe UI"/>
            <family val="2"/>
          </rPr>
          <t>Maurin Müller:</t>
        </r>
        <r>
          <rPr>
            <sz val="9"/>
            <color indexed="81"/>
            <rFont val="Segoe UI"/>
            <family val="2"/>
          </rPr>
          <t xml:space="preserve">
Summe für Kontrolle gesamtes Beratungsfeld</t>
        </r>
      </text>
    </comment>
    <comment ref="L72" authorId="0" shapeId="0" xr:uid="{4DB7C004-A16C-4D73-B56A-6DC7BF10BFB5}">
      <text>
        <r>
          <rPr>
            <b/>
            <sz val="9"/>
            <color indexed="81"/>
            <rFont val="Segoe UI"/>
            <family val="2"/>
          </rPr>
          <t>Maurin Müller:</t>
        </r>
        <r>
          <rPr>
            <sz val="9"/>
            <color indexed="81"/>
            <rFont val="Segoe UI"/>
            <family val="2"/>
          </rPr>
          <t xml:space="preserve">
siehe Zelle C95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2B0281DD-D146-4E30-B177-A1040E570513}">
      <text>
        <r>
          <rPr>
            <b/>
            <sz val="9"/>
            <color indexed="81"/>
            <rFont val="Segoe UI"/>
            <family val="2"/>
          </rPr>
          <t xml:space="preserve">BHF = </t>
        </r>
        <r>
          <rPr>
            <sz val="9"/>
            <color indexed="81"/>
            <rFont val="Segoe UI"/>
            <family val="2"/>
          </rPr>
          <t>pocket door / calandage / stazione</t>
        </r>
      </text>
    </comment>
    <comment ref="F16" authorId="0" shapeId="0" xr:uid="{4A6203FB-235E-4C32-8897-E1544171AC77}">
      <text>
        <r>
          <rPr>
            <b/>
            <sz val="9"/>
            <color indexed="81"/>
            <rFont val="Segoe UI"/>
            <family val="2"/>
          </rPr>
          <t xml:space="preserve">M = </t>
        </r>
        <r>
          <rPr>
            <sz val="9"/>
            <color indexed="81"/>
            <rFont val="Segoe UI"/>
            <family val="2"/>
          </rPr>
          <t xml:space="preserve">manuell
           manually
           manuelle
           manuale
</t>
        </r>
        <r>
          <rPr>
            <b/>
            <sz val="9"/>
            <color indexed="81"/>
            <rFont val="Segoe UI"/>
            <family val="2"/>
          </rPr>
          <t xml:space="preserve">E = </t>
        </r>
        <r>
          <rPr>
            <sz val="9"/>
            <color indexed="81"/>
            <rFont val="Segoe UI"/>
            <family val="2"/>
          </rPr>
          <t xml:space="preserve">elektrisch
           electrically
           électrique
           elettrico
</t>
        </r>
      </text>
    </comment>
    <comment ref="AL39" authorId="0" shapeId="0" xr:uid="{33D05B0E-FD84-438F-A245-D3BC31E6A1E5}">
      <text>
        <r>
          <rPr>
            <b/>
            <sz val="8"/>
            <color indexed="81"/>
            <rFont val="Arial"/>
            <family val="2"/>
          </rPr>
          <t xml:space="preserve">Schlagregen, Luftdurchlässigkeit /
water tightness, air permeability /
Ètanchéité à la pluie battante / à l'air / 
Resistenza alla pioggia battente / all'aria </t>
        </r>
      </text>
    </comment>
    <comment ref="AM45" authorId="0" shapeId="0" xr:uid="{513061C6-3CCA-41D9-98A5-A45504893840}">
      <text>
        <r>
          <rPr>
            <b/>
            <sz val="8"/>
            <color indexed="81"/>
            <rFont val="Arial"/>
            <family val="2"/>
          </rPr>
          <t>RAL / Tiger, matt etc.</t>
        </r>
      </text>
    </comment>
    <comment ref="AI57" authorId="0" shapeId="0" xr:uid="{48C36E1C-C22F-415C-8F98-646D8CE4BDB9}">
      <text>
        <r>
          <rPr>
            <b/>
            <sz val="8"/>
            <color indexed="81"/>
            <rFont val="Arial"/>
            <family val="2"/>
          </rPr>
          <t>P4A / SP10 etc.</t>
        </r>
      </text>
    </comment>
    <comment ref="AB62" authorId="0" shapeId="0" xr:uid="{F42FBFBD-8CDF-4E67-B840-B1B923CA99D6}">
      <text>
        <r>
          <rPr>
            <b/>
            <sz val="9"/>
            <color indexed="81"/>
            <rFont val="Segoe UI"/>
            <family val="2"/>
          </rPr>
          <t>1 = XL</t>
        </r>
      </text>
    </comment>
    <comment ref="AB73" authorId="0" shapeId="0" xr:uid="{8B14BBC6-6DEE-46F1-811C-3C0258CC27DA}">
      <text>
        <r>
          <rPr>
            <b/>
            <sz val="9"/>
            <color indexed="81"/>
            <rFont val="Segoe UI"/>
            <family val="2"/>
          </rPr>
          <t>1 = XL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W68" authorId="0" shapeId="0" xr:uid="{8C3C5C7B-C0E1-4BB1-B21E-474EF11DA4C7}">
      <text>
        <r>
          <rPr>
            <b/>
            <sz val="9"/>
            <color indexed="81"/>
            <rFont val="Segoe UI"/>
            <family val="2"/>
          </rPr>
          <t>Maurin Müller:</t>
        </r>
        <r>
          <rPr>
            <sz val="9"/>
            <color indexed="81"/>
            <rFont val="Segoe UI"/>
            <family val="2"/>
          </rPr>
          <t xml:space="preserve">
Summe für Kontrolle gesamtes Beratungsfeld</t>
        </r>
      </text>
    </comment>
    <comment ref="L72" authorId="0" shapeId="0" xr:uid="{89A8247E-6716-4B83-9C0B-2073414ECB83}">
      <text>
        <r>
          <rPr>
            <b/>
            <sz val="9"/>
            <color indexed="81"/>
            <rFont val="Segoe UI"/>
            <family val="2"/>
          </rPr>
          <t>Maurin Müller:</t>
        </r>
        <r>
          <rPr>
            <sz val="9"/>
            <color indexed="81"/>
            <rFont val="Segoe UI"/>
            <family val="2"/>
          </rPr>
          <t xml:space="preserve">
siehe Zelle C95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B8E3ABEE-308A-46FB-86F7-0650827156D3}">
      <text>
        <r>
          <rPr>
            <b/>
            <sz val="9"/>
            <color indexed="81"/>
            <rFont val="Segoe UI"/>
            <family val="2"/>
          </rPr>
          <t xml:space="preserve">BHF = </t>
        </r>
        <r>
          <rPr>
            <sz val="9"/>
            <color indexed="81"/>
            <rFont val="Segoe UI"/>
            <family val="2"/>
          </rPr>
          <t>pocket door / calandage / stazione</t>
        </r>
      </text>
    </comment>
    <comment ref="F16" authorId="0" shapeId="0" xr:uid="{BC4852E4-D45E-4794-A6EB-4E6A489473DF}">
      <text>
        <r>
          <rPr>
            <b/>
            <sz val="9"/>
            <color indexed="81"/>
            <rFont val="Segoe UI"/>
            <family val="2"/>
          </rPr>
          <t xml:space="preserve">M = </t>
        </r>
        <r>
          <rPr>
            <sz val="9"/>
            <color indexed="81"/>
            <rFont val="Segoe UI"/>
            <family val="2"/>
          </rPr>
          <t xml:space="preserve">manuell
           manually
           manuelle
           manuale
</t>
        </r>
        <r>
          <rPr>
            <b/>
            <sz val="9"/>
            <color indexed="81"/>
            <rFont val="Segoe UI"/>
            <family val="2"/>
          </rPr>
          <t xml:space="preserve">E = </t>
        </r>
        <r>
          <rPr>
            <sz val="9"/>
            <color indexed="81"/>
            <rFont val="Segoe UI"/>
            <family val="2"/>
          </rPr>
          <t xml:space="preserve">elektrisch
           electrically
           électrique
           elettrico
</t>
        </r>
      </text>
    </comment>
    <comment ref="AL39" authorId="0" shapeId="0" xr:uid="{D13FE490-4D0C-4D4A-9DA7-809AA008289D}">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0FDC6C6D-6BEF-44B6-B469-375BBBB52855}">
      <text>
        <r>
          <rPr>
            <b/>
            <sz val="9"/>
            <color indexed="81"/>
            <rFont val="Segoe UI"/>
            <family val="2"/>
          </rPr>
          <t>Standard: 1050mm
RC2 = 1050mm
min: RV=200mm 
         MVv=750mm</t>
        </r>
      </text>
    </comment>
    <comment ref="AM45" authorId="0" shapeId="0" xr:uid="{F4E505A7-17B6-4E2D-8806-EC8A39D39CD2}">
      <text>
        <r>
          <rPr>
            <b/>
            <sz val="8"/>
            <color indexed="81"/>
            <rFont val="Arial"/>
            <family val="2"/>
          </rPr>
          <t>RAL / Tiger, matt etc.</t>
        </r>
      </text>
    </comment>
    <comment ref="AI57" authorId="0" shapeId="0" xr:uid="{AB6BEBEB-3151-492D-9F74-DB19AF3E9946}">
      <text>
        <r>
          <rPr>
            <b/>
            <sz val="8"/>
            <color indexed="81"/>
            <rFont val="Arial"/>
            <family val="2"/>
          </rPr>
          <t>P4A / SP10 etc.</t>
        </r>
      </text>
    </comment>
    <comment ref="AB62" authorId="0" shapeId="0" xr:uid="{6361F19E-628E-495F-936E-D46641E6A7E4}">
      <text>
        <r>
          <rPr>
            <b/>
            <sz val="9"/>
            <color indexed="81"/>
            <rFont val="Segoe UI"/>
            <family val="2"/>
          </rPr>
          <t>1 = XL</t>
        </r>
      </text>
    </comment>
    <comment ref="AN70" authorId="0" shapeId="0" xr:uid="{11F9514C-2261-4275-AFAB-65A50DF6207E}">
      <text>
        <r>
          <rPr>
            <b/>
            <sz val="8"/>
            <color indexed="81"/>
            <rFont val="Arial"/>
            <family val="2"/>
          </rPr>
          <t>Standard &amp; RC2 = 2-Punkt /
                               2-point/
                               2-points/
                               2-punti</t>
        </r>
      </text>
    </comment>
    <comment ref="AB73" authorId="0" shapeId="0" xr:uid="{4D712937-3C2E-43C4-9ABF-5A6096D37D23}">
      <text>
        <r>
          <rPr>
            <b/>
            <sz val="9"/>
            <color indexed="81"/>
            <rFont val="Segoe UI"/>
            <family val="2"/>
          </rPr>
          <t>1 = XL</t>
        </r>
      </text>
    </comment>
    <comment ref="AM88" authorId="0" shapeId="0" xr:uid="{9E470A39-3824-418B-B1E0-265C5E21C3F3}">
      <text>
        <r>
          <rPr>
            <b/>
            <sz val="9"/>
            <color indexed="81"/>
            <rFont val="Segoe UI"/>
            <family val="2"/>
          </rPr>
          <t>ISO 8601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W68" authorId="0" shapeId="0" xr:uid="{DCD3491B-6FEE-4FB4-B5C6-CE28CD28DD5D}">
      <text>
        <r>
          <rPr>
            <b/>
            <sz val="9"/>
            <color indexed="81"/>
            <rFont val="Segoe UI"/>
            <family val="2"/>
          </rPr>
          <t>Maurin Müller:</t>
        </r>
        <r>
          <rPr>
            <sz val="9"/>
            <color indexed="81"/>
            <rFont val="Segoe UI"/>
            <family val="2"/>
          </rPr>
          <t xml:space="preserve">
Summe für Kontrolle gesamtes Beratungsfeld</t>
        </r>
      </text>
    </comment>
    <comment ref="L72" authorId="0" shapeId="0" xr:uid="{3CBC7FEB-CCA6-4DD6-8865-D32D55C650E7}">
      <text>
        <r>
          <rPr>
            <b/>
            <sz val="9"/>
            <color indexed="81"/>
            <rFont val="Segoe UI"/>
            <family val="2"/>
          </rPr>
          <t>Maurin Müller:</t>
        </r>
        <r>
          <rPr>
            <sz val="9"/>
            <color indexed="81"/>
            <rFont val="Segoe UI"/>
            <family val="2"/>
          </rPr>
          <t xml:space="preserve">
siehe Zelle C95</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F10" authorId="0" shapeId="0" xr:uid="{EA5A72D1-34F4-4A91-BB3C-1E9FD35089C1}">
      <text>
        <r>
          <rPr>
            <b/>
            <sz val="9"/>
            <color indexed="81"/>
            <rFont val="Segoe UI"/>
            <family val="2"/>
          </rPr>
          <t xml:space="preserve">BHF = </t>
        </r>
        <r>
          <rPr>
            <sz val="9"/>
            <color indexed="81"/>
            <rFont val="Segoe UI"/>
            <family val="2"/>
          </rPr>
          <t>pocket door / calandage / stazione</t>
        </r>
      </text>
    </comment>
    <comment ref="F16" authorId="0" shapeId="0" xr:uid="{604E76B0-D5EF-4529-B39F-3187317C84E8}">
      <text>
        <r>
          <rPr>
            <b/>
            <sz val="9"/>
            <color indexed="81"/>
            <rFont val="Segoe UI"/>
            <family val="2"/>
          </rPr>
          <t xml:space="preserve">M = </t>
        </r>
        <r>
          <rPr>
            <sz val="9"/>
            <color indexed="81"/>
            <rFont val="Segoe UI"/>
            <family val="2"/>
          </rPr>
          <t xml:space="preserve">manuell
           manually
           manuelle
           manuale
</t>
        </r>
        <r>
          <rPr>
            <b/>
            <sz val="9"/>
            <color indexed="81"/>
            <rFont val="Segoe UI"/>
            <family val="2"/>
          </rPr>
          <t xml:space="preserve">E = </t>
        </r>
        <r>
          <rPr>
            <sz val="9"/>
            <color indexed="81"/>
            <rFont val="Segoe UI"/>
            <family val="2"/>
          </rPr>
          <t xml:space="preserve">elektrisch
           electrically
           électrique
           elettrico
</t>
        </r>
      </text>
    </comment>
    <comment ref="AL39" authorId="0" shapeId="0" xr:uid="{C34F5809-149B-41B2-8C63-94280D0EA6BE}">
      <text>
        <r>
          <rPr>
            <b/>
            <sz val="8"/>
            <color indexed="81"/>
            <rFont val="Arial"/>
            <family val="2"/>
          </rPr>
          <t xml:space="preserve">Schlagregen, Luftdurchlässigkeit /
water tightness, air permeability /
Ètanchéité à la pluie battante / à l'air / 
Resistenza alla pioggia battente / all'aria </t>
        </r>
      </text>
    </comment>
    <comment ref="T45" authorId="0" shapeId="0" xr:uid="{AFC07B2E-0482-427A-A75F-499DA5379F6B}">
      <text>
        <r>
          <rPr>
            <b/>
            <sz val="9"/>
            <color indexed="81"/>
            <rFont val="Segoe UI"/>
            <family val="2"/>
          </rPr>
          <t>Standard: 1050mm
RC2 = 1050mm
min: RV=200mm 
         MVv=750mm</t>
        </r>
      </text>
    </comment>
    <comment ref="AM45" authorId="0" shapeId="0" xr:uid="{069FBE0D-540A-4188-8087-EEB0CFBD1FCC}">
      <text>
        <r>
          <rPr>
            <b/>
            <sz val="8"/>
            <color indexed="81"/>
            <rFont val="Arial"/>
            <family val="2"/>
          </rPr>
          <t>RAL / Tiger, matt etc.</t>
        </r>
      </text>
    </comment>
    <comment ref="AI57" authorId="0" shapeId="0" xr:uid="{44D4FCA8-8C85-4E57-AF1A-D3832B7313ED}">
      <text>
        <r>
          <rPr>
            <b/>
            <sz val="8"/>
            <color indexed="81"/>
            <rFont val="Arial"/>
            <family val="2"/>
          </rPr>
          <t>P4A / SP10 etc.</t>
        </r>
      </text>
    </comment>
    <comment ref="AB62" authorId="0" shapeId="0" xr:uid="{4DC0F311-440A-4616-8CCA-45FF8635071C}">
      <text>
        <r>
          <rPr>
            <b/>
            <sz val="9"/>
            <color indexed="81"/>
            <rFont val="Segoe UI"/>
            <family val="2"/>
          </rPr>
          <t>1 = XL</t>
        </r>
      </text>
    </comment>
    <comment ref="AN70" authorId="0" shapeId="0" xr:uid="{704A1435-48BA-4230-9353-BF2BFC84205F}">
      <text>
        <r>
          <rPr>
            <b/>
            <sz val="8"/>
            <color indexed="81"/>
            <rFont val="Arial"/>
            <family val="2"/>
          </rPr>
          <t>Standard &amp; RC2 = 2-Punkt /
                               2-point/
                               2-points/
                               2-punti</t>
        </r>
      </text>
    </comment>
    <comment ref="AB73" authorId="0" shapeId="0" xr:uid="{E3727953-9F14-4680-8AC7-77F117C275A4}">
      <text>
        <r>
          <rPr>
            <b/>
            <sz val="9"/>
            <color indexed="81"/>
            <rFont val="Segoe UI"/>
            <family val="2"/>
          </rPr>
          <t>1 = XL</t>
        </r>
      </text>
    </comment>
    <comment ref="AM88" authorId="0" shapeId="0" xr:uid="{A83067D3-D7DC-4E3F-AADD-88DDA971DB92}">
      <text>
        <r>
          <rPr>
            <b/>
            <sz val="9"/>
            <color indexed="81"/>
            <rFont val="Segoe UI"/>
            <family val="2"/>
          </rPr>
          <t>ISO 8601</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Maurin Müller</author>
  </authors>
  <commentList>
    <comment ref="W68" authorId="0" shapeId="0" xr:uid="{E2CCCF3E-C317-4A1C-8794-924D0EF81FD9}">
      <text>
        <r>
          <rPr>
            <b/>
            <sz val="9"/>
            <color indexed="81"/>
            <rFont val="Segoe UI"/>
            <family val="2"/>
          </rPr>
          <t>Maurin Müller:</t>
        </r>
        <r>
          <rPr>
            <sz val="9"/>
            <color indexed="81"/>
            <rFont val="Segoe UI"/>
            <family val="2"/>
          </rPr>
          <t xml:space="preserve">
Summe für Kontrolle gesamtes Beratungsfeld</t>
        </r>
      </text>
    </comment>
    <comment ref="L72" authorId="0" shapeId="0" xr:uid="{5F5A0279-BD93-43A1-BA87-6B787FE7C335}">
      <text>
        <r>
          <rPr>
            <b/>
            <sz val="9"/>
            <color indexed="81"/>
            <rFont val="Segoe UI"/>
            <family val="2"/>
          </rPr>
          <t>Maurin Müller:</t>
        </r>
        <r>
          <rPr>
            <sz val="9"/>
            <color indexed="81"/>
            <rFont val="Segoe UI"/>
            <family val="2"/>
          </rPr>
          <t xml:space="preserve">
siehe Zelle C95</t>
        </r>
      </text>
    </comment>
  </commentList>
</comments>
</file>

<file path=xl/sharedStrings.xml><?xml version="1.0" encoding="utf-8"?>
<sst xmlns="http://schemas.openxmlformats.org/spreadsheetml/2006/main" count="5565" uniqueCount="998">
  <si>
    <t>Gemäss Zeichnung Nr.:</t>
  </si>
  <si>
    <t>in accordance with drawing no.:</t>
  </si>
  <si>
    <t>Projekt-Nr.:</t>
  </si>
  <si>
    <t>Project no:</t>
  </si>
  <si>
    <t>Projet n°:</t>
  </si>
  <si>
    <t>2-gleisig</t>
  </si>
  <si>
    <t>2-track</t>
  </si>
  <si>
    <t>2-rails</t>
  </si>
  <si>
    <t>3-gleisig</t>
  </si>
  <si>
    <t>3-track</t>
  </si>
  <si>
    <t>4-gleisig</t>
  </si>
  <si>
    <t>4-track</t>
  </si>
  <si>
    <t>Teilung Achsmasse</t>
  </si>
  <si>
    <t>Axis size defined</t>
  </si>
  <si>
    <t>Division dimensions d'axe</t>
  </si>
  <si>
    <t>tous les verres de même largeur</t>
  </si>
  <si>
    <t>Standard</t>
  </si>
  <si>
    <t>Einbruchschutz RC2</t>
  </si>
  <si>
    <t>increased bulgary RC2</t>
  </si>
  <si>
    <t>Prot. Contre l'effraction RC2</t>
  </si>
  <si>
    <t>Position monitoring (P)</t>
  </si>
  <si>
    <t>Surveillance de la position (P)</t>
  </si>
  <si>
    <t>Deadbolt monitoring (R)</t>
  </si>
  <si>
    <t>Glass breakage sensor (G)</t>
  </si>
  <si>
    <t>Détecteur de bris de verre (G)</t>
  </si>
  <si>
    <t>Elektrischer Antrieb, Anzahl</t>
  </si>
  <si>
    <t>Entraînement électrique:</t>
  </si>
  <si>
    <t>Stk.</t>
  </si>
  <si>
    <t>pce.</t>
  </si>
  <si>
    <t>geforderte Klassen:</t>
  </si>
  <si>
    <t>Pool</t>
  </si>
  <si>
    <t>nach rechts</t>
  </si>
  <si>
    <t>to right</t>
  </si>
  <si>
    <t>à droite</t>
  </si>
  <si>
    <t>nach links</t>
  </si>
  <si>
    <t>to left</t>
  </si>
  <si>
    <t>à gauche</t>
  </si>
  <si>
    <t>Breite =</t>
  </si>
  <si>
    <t>Width =</t>
  </si>
  <si>
    <t>Largeur =</t>
  </si>
  <si>
    <t>Hauteur de poignée:</t>
  </si>
  <si>
    <t xml:space="preserve">Höhe = </t>
  </si>
  <si>
    <t>Height =</t>
  </si>
  <si>
    <t>Hauteur =</t>
  </si>
  <si>
    <t>Oberfläche:</t>
  </si>
  <si>
    <t>Surface:</t>
  </si>
  <si>
    <t>eloxiert (Qualanod):</t>
  </si>
  <si>
    <t>anodized (Qualanod):</t>
  </si>
  <si>
    <t>20 my (Standard)</t>
  </si>
  <si>
    <t>25 my (Pool/Meer)</t>
  </si>
  <si>
    <t>25my (Pool/near sea)</t>
  </si>
  <si>
    <t>25 my (Pool/mer)</t>
  </si>
  <si>
    <t>+Voranodisieren</t>
  </si>
  <si>
    <t>+pre-anodizing</t>
  </si>
  <si>
    <t>+pré-anodisation</t>
  </si>
  <si>
    <t>Glas-Typ: SG = "Sky-Glass"</t>
  </si>
  <si>
    <t>Glass-Type: SG = "Sky-Glass"</t>
  </si>
  <si>
    <t>Type de verre: SG = "Sky-Glass"</t>
  </si>
  <si>
    <t>Swisspacer-U schwarz</t>
  </si>
  <si>
    <t>Swisspacer-U black</t>
  </si>
  <si>
    <t>Swisspacer-U noir</t>
  </si>
  <si>
    <t>Swisspacer-U grau</t>
  </si>
  <si>
    <t>Swisspacer-U grey</t>
  </si>
  <si>
    <t>Swisspacer-U gris</t>
  </si>
  <si>
    <t>Statik:</t>
  </si>
  <si>
    <t>Statics:</t>
  </si>
  <si>
    <t>Statique:</t>
  </si>
  <si>
    <t>Windlast:</t>
  </si>
  <si>
    <t>Wind load:</t>
  </si>
  <si>
    <t>Charge de vent:</t>
  </si>
  <si>
    <t>Bemerkung:</t>
  </si>
  <si>
    <t xml:space="preserve">Notes: </t>
  </si>
  <si>
    <t>Remarques</t>
  </si>
  <si>
    <t>Zubehör:</t>
  </si>
  <si>
    <t>Accessories:</t>
  </si>
  <si>
    <t>Sun-Box</t>
  </si>
  <si>
    <t>Glastyp wählen</t>
  </si>
  <si>
    <t>choose glass-type</t>
  </si>
  <si>
    <t>Choisissez verre</t>
  </si>
  <si>
    <t>Pos:</t>
  </si>
  <si>
    <t>Item:</t>
  </si>
  <si>
    <t>Stück:</t>
  </si>
  <si>
    <t>Piece:</t>
  </si>
  <si>
    <t>Pce(s):</t>
  </si>
  <si>
    <t>Seite:</t>
  </si>
  <si>
    <t>Page:</t>
  </si>
  <si>
    <t>VSG mit P4A</t>
  </si>
  <si>
    <t>VSG with P4A</t>
  </si>
  <si>
    <t>VSG avec P4A</t>
  </si>
  <si>
    <t>Insektenschutz</t>
  </si>
  <si>
    <t>Insect Screen</t>
  </si>
  <si>
    <t>Sprache</t>
  </si>
  <si>
    <t>DEUTSCH</t>
  </si>
  <si>
    <t>ENGLISH</t>
  </si>
  <si>
    <t>FRANÇAIS</t>
  </si>
  <si>
    <t>ITALIANO</t>
  </si>
  <si>
    <t>BESTELLUNG</t>
  </si>
  <si>
    <t>ORDER</t>
  </si>
  <si>
    <t>COMMANDE</t>
  </si>
  <si>
    <t>ORDINE</t>
  </si>
  <si>
    <t>Secondo il disegno N°:</t>
  </si>
  <si>
    <t>Conformément au dessin n°:</t>
  </si>
  <si>
    <r>
      <t>Gemäss Skizze:</t>
    </r>
    <r>
      <rPr>
        <sz val="8"/>
        <color theme="1"/>
        <rFont val="Arial"/>
        <family val="2"/>
      </rPr>
      <t xml:space="preserve"> (Ansicht von Aussen)</t>
    </r>
  </si>
  <si>
    <r>
      <t xml:space="preserve">in accordance with diagram: </t>
    </r>
    <r>
      <rPr>
        <sz val="8"/>
        <color theme="1"/>
        <rFont val="Arial"/>
        <family val="2"/>
      </rPr>
      <t>(from outside)</t>
    </r>
  </si>
  <si>
    <r>
      <t xml:space="preserve">Conformément au croquis: </t>
    </r>
    <r>
      <rPr>
        <sz val="8"/>
        <color theme="1"/>
        <rFont val="Arial"/>
        <family val="2"/>
      </rPr>
      <t>(vue de l'extérieur)</t>
    </r>
  </si>
  <si>
    <t>Date de commande:</t>
  </si>
  <si>
    <t>Data d'ordine:</t>
  </si>
  <si>
    <t>Progetto N°:</t>
  </si>
  <si>
    <t>Divisioni dimensioni d'asse</t>
  </si>
  <si>
    <r>
      <rPr>
        <b/>
        <sz val="10"/>
        <color theme="1"/>
        <rFont val="Arial"/>
        <family val="2"/>
      </rPr>
      <t>All panels same width</t>
    </r>
    <r>
      <rPr>
        <sz val="10"/>
        <color theme="1"/>
        <rFont val="Arial"/>
        <family val="2"/>
      </rPr>
      <t xml:space="preserve"> (recommendation)</t>
    </r>
  </si>
  <si>
    <r>
      <rPr>
        <b/>
        <sz val="10"/>
        <color theme="1"/>
        <rFont val="Arial"/>
        <family val="2"/>
      </rPr>
      <t>alle Gläser gleiche Breite</t>
    </r>
    <r>
      <rPr>
        <sz val="10"/>
        <color theme="1"/>
        <rFont val="Arial"/>
        <family val="2"/>
      </rPr>
      <t xml:space="preserve"> (Empfehlung)</t>
    </r>
  </si>
  <si>
    <t>Speziell:</t>
  </si>
  <si>
    <t>Special:</t>
  </si>
  <si>
    <t>Spécial:</t>
  </si>
  <si>
    <t>Speciale:</t>
  </si>
  <si>
    <t>Schallschutz</t>
  </si>
  <si>
    <t>MINERGIE Modul</t>
  </si>
  <si>
    <t>MINERGIE-P Modul</t>
  </si>
  <si>
    <t>(Schlagregen, Luftdurchlässigkeit)</t>
  </si>
  <si>
    <t>(water tightness, air permeability)</t>
  </si>
  <si>
    <t>Ètanchéité à la pluie battante / à l'air)</t>
  </si>
  <si>
    <t>Monitoraggio rottura del vetro (G)</t>
  </si>
  <si>
    <t>Controllo di posizione (P)</t>
  </si>
  <si>
    <t>Controllo di chiavistello (R)</t>
  </si>
  <si>
    <t>Azionamento elettrico:</t>
  </si>
  <si>
    <t>pz.</t>
  </si>
  <si>
    <t>Larghezza =</t>
  </si>
  <si>
    <t>Altezza maniglia:</t>
  </si>
  <si>
    <t>Handle height:</t>
  </si>
  <si>
    <t>Griffhöhe:</t>
  </si>
  <si>
    <t>Altezza =</t>
  </si>
  <si>
    <t>Superficie:</t>
  </si>
  <si>
    <t>anodizzato (Qualanod):</t>
  </si>
  <si>
    <t>anodisé (Qualanod):</t>
  </si>
  <si>
    <t>20 my (standard)</t>
  </si>
  <si>
    <t>+pre-anodizzazione</t>
  </si>
  <si>
    <t>Tipo del vetro: SG = "Sky-Glass"</t>
  </si>
  <si>
    <t>Swisspacer-U nero</t>
  </si>
  <si>
    <t>Swisspacer-U grigio</t>
  </si>
  <si>
    <t>Statica:</t>
  </si>
  <si>
    <t>RC2: zwingend 1050mm</t>
  </si>
  <si>
    <t>RC2: must 1050mm</t>
  </si>
  <si>
    <t>RC2: exige 1050mm</t>
  </si>
  <si>
    <t>RC2: obbligatorio 1050mm</t>
  </si>
  <si>
    <t>min: RV=200 MVv=750</t>
  </si>
  <si>
    <t>Standard = 1050mm</t>
  </si>
  <si>
    <t>VSG con P4A</t>
  </si>
  <si>
    <t>Pz:</t>
  </si>
  <si>
    <t>Verschlussgriffe:</t>
  </si>
  <si>
    <t>ohne Verschlussraster</t>
  </si>
  <si>
    <t>2-Punkt Verriegelung</t>
  </si>
  <si>
    <t>3-Punkt Verriegelung</t>
  </si>
  <si>
    <t>mit Verschlussraster (Druckknopf)</t>
  </si>
  <si>
    <t>L=52mm</t>
  </si>
  <si>
    <t>L=82mm</t>
  </si>
  <si>
    <t>L=112mm</t>
  </si>
  <si>
    <t>Sockelbefestigung:</t>
  </si>
  <si>
    <t>Verstellschrauben M10 x</t>
  </si>
  <si>
    <t>L=70mm</t>
  </si>
  <si>
    <t>L=100mm</t>
  </si>
  <si>
    <t>ohne</t>
  </si>
  <si>
    <t>inklusive</t>
  </si>
  <si>
    <t>Rahmenzusammenbau:</t>
  </si>
  <si>
    <t>Gehrungsstoss (A)</t>
  </si>
  <si>
    <t>Logistik:</t>
  </si>
  <si>
    <t>nach Stockwerk:</t>
  </si>
  <si>
    <t>Schwarz</t>
  </si>
  <si>
    <t>Ja</t>
  </si>
  <si>
    <t>Nein</t>
  </si>
  <si>
    <t>Digitale Unterschrift:</t>
  </si>
  <si>
    <t>orders@sky-frame.ch</t>
  </si>
  <si>
    <t>Bestellung an:</t>
  </si>
  <si>
    <t xml:space="preserve">Yes </t>
  </si>
  <si>
    <t>No</t>
  </si>
  <si>
    <t>Digitale signature:</t>
  </si>
  <si>
    <t>CODE</t>
  </si>
  <si>
    <t>mm</t>
  </si>
  <si>
    <t>E6 EV1</t>
  </si>
  <si>
    <t>Ug=</t>
  </si>
  <si>
    <t>Lt=</t>
  </si>
  <si>
    <t>g=</t>
  </si>
  <si>
    <t>Bestelldatum:</t>
  </si>
  <si>
    <t>Date of order:</t>
  </si>
  <si>
    <t>Richtung</t>
  </si>
  <si>
    <t>R</t>
  </si>
  <si>
    <t>L</t>
  </si>
  <si>
    <t>F</t>
  </si>
  <si>
    <t>Zeichen</t>
  </si>
  <si>
    <t>→</t>
  </si>
  <si>
    <t>←</t>
  </si>
  <si>
    <t>+</t>
  </si>
  <si>
    <t>Rückgabewert Kontrollkästchen</t>
  </si>
  <si>
    <t>Electric drive, amount</t>
  </si>
  <si>
    <t>Pag.:</t>
  </si>
  <si>
    <t>Antriebe</t>
  </si>
  <si>
    <t>Feld 1</t>
  </si>
  <si>
    <t>Feld 2</t>
  </si>
  <si>
    <t>Feld 3</t>
  </si>
  <si>
    <t>Feld 4</t>
  </si>
  <si>
    <t>Feld 5</t>
  </si>
  <si>
    <t>Feld 6</t>
  </si>
  <si>
    <t>Feld 7</t>
  </si>
  <si>
    <t>Feld 8</t>
  </si>
  <si>
    <t>Feld 9</t>
  </si>
  <si>
    <t>Feld 10</t>
  </si>
  <si>
    <t>Alarmrückmeldung</t>
  </si>
  <si>
    <t>PÜ</t>
  </si>
  <si>
    <t>RÜ</t>
  </si>
  <si>
    <t>GÜ</t>
  </si>
  <si>
    <t>A-Ecke 90°</t>
  </si>
  <si>
    <t>I-Ecke 90°</t>
  </si>
  <si>
    <t>Drop&amp;Down / Sprachrückgabe</t>
  </si>
  <si>
    <t>A-Ecke≠90°</t>
  </si>
  <si>
    <t>I-Ecke≠90°</t>
  </si>
  <si>
    <t>Gleiszuordnung</t>
  </si>
  <si>
    <t>==============</t>
  </si>
  <si>
    <t>Profilüberprüfung</t>
  </si>
  <si>
    <t>Seitenteil R</t>
  </si>
  <si>
    <t>Seitenteil L</t>
  </si>
  <si>
    <t>KABA L</t>
  </si>
  <si>
    <t>KABA R</t>
  </si>
  <si>
    <t>E6 / 3145</t>
  </si>
  <si>
    <t>E6 / 3115</t>
  </si>
  <si>
    <t>E6 / 3165</t>
  </si>
  <si>
    <t>E6 / 3175</t>
  </si>
  <si>
    <t>E6 / 3178</t>
  </si>
  <si>
    <t>E6 / 3180</t>
  </si>
  <si>
    <t>20my</t>
  </si>
  <si>
    <t>25my</t>
  </si>
  <si>
    <t>Griff Innen</t>
  </si>
  <si>
    <t>Griff beidseitig</t>
  </si>
  <si>
    <t>Griff Innen+Z</t>
  </si>
  <si>
    <t>Griff beidseitig+Z</t>
  </si>
  <si>
    <t>Befestigung:</t>
  </si>
  <si>
    <t>Locking handles:</t>
  </si>
  <si>
    <t>non self locking (pushbutton)</t>
  </si>
  <si>
    <t>self locking</t>
  </si>
  <si>
    <t>2-point locking</t>
  </si>
  <si>
    <t>3-point locking</t>
  </si>
  <si>
    <t>Connection:</t>
  </si>
  <si>
    <t>Base connection:</t>
  </si>
  <si>
    <t>Adjusting screws M10 x</t>
  </si>
  <si>
    <t>none</t>
  </si>
  <si>
    <t>inclusive</t>
  </si>
  <si>
    <t>Sockel 75</t>
  </si>
  <si>
    <t>base 75</t>
  </si>
  <si>
    <t>Frame assembly:</t>
  </si>
  <si>
    <t>Mitre connection (A)</t>
  </si>
  <si>
    <t>Single profile (B)</t>
  </si>
  <si>
    <t>Logistics:</t>
  </si>
  <si>
    <t>Preferred delivery date:</t>
  </si>
  <si>
    <t>Wunschtermin:</t>
  </si>
  <si>
    <t>Color of rails + screw locking mechanisms:</t>
  </si>
  <si>
    <t>black</t>
  </si>
  <si>
    <t>order to:</t>
  </si>
  <si>
    <t>This order is binding and must be filled out completely. Changes will be charged as extra costs.</t>
  </si>
  <si>
    <t>Please choose:</t>
  </si>
  <si>
    <t>Bitte auswählen:</t>
  </si>
  <si>
    <t>Poignées de verrouillage:</t>
  </si>
  <si>
    <t>verrouillage à 3 points</t>
  </si>
  <si>
    <t>verrouillage à 2 points</t>
  </si>
  <si>
    <t>Fixation:</t>
  </si>
  <si>
    <t>Fixation du socle:</t>
  </si>
  <si>
    <t>Vis de réglage M10 x</t>
  </si>
  <si>
    <t>sans</t>
  </si>
  <si>
    <t>avec</t>
  </si>
  <si>
    <t>socle 75</t>
  </si>
  <si>
    <t>Assemblage du cadre:</t>
  </si>
  <si>
    <t>Raccord en onglet (A)</t>
  </si>
  <si>
    <t>Montage préparé (B)</t>
  </si>
  <si>
    <t>Date de livraison souhaitée:</t>
  </si>
  <si>
    <t>noir</t>
  </si>
  <si>
    <t>Maniglia di chiusura:</t>
  </si>
  <si>
    <t>Fissaggio:</t>
  </si>
  <si>
    <t>Vite universale (Inox):</t>
  </si>
  <si>
    <t>Fissaggio della base:</t>
  </si>
  <si>
    <t>Vite regolabile M10 x</t>
  </si>
  <si>
    <t>senza</t>
  </si>
  <si>
    <t>con</t>
  </si>
  <si>
    <t>Montaggio del telaio:</t>
  </si>
  <si>
    <t>Giunzione ad angolo (A)</t>
  </si>
  <si>
    <t>Logistica:</t>
  </si>
  <si>
    <t>nero</t>
  </si>
  <si>
    <t>Si</t>
  </si>
  <si>
    <t>Firma digitale:</t>
  </si>
  <si>
    <t>Universalschrauben (A2):</t>
  </si>
  <si>
    <t>Universal screws (Inox):</t>
  </si>
  <si>
    <t>Vis universelles (Inox),:</t>
  </si>
  <si>
    <t>Zahlen</t>
  </si>
  <si>
    <t>moustiquaire</t>
  </si>
  <si>
    <t>verrouillage manuelle (bouton-pression)</t>
  </si>
  <si>
    <t>verrouilage automatique</t>
  </si>
  <si>
    <t>Oui</t>
  </si>
  <si>
    <t>Signature numérique:</t>
  </si>
  <si>
    <t>À commander chez:</t>
  </si>
  <si>
    <t>angle éxterieur 90°</t>
  </si>
  <si>
    <t>angle éxterieur ≠90°</t>
  </si>
  <si>
    <t>à choisir:</t>
  </si>
  <si>
    <t>Standardgrundplatten:</t>
  </si>
  <si>
    <t>Standard brackets:</t>
  </si>
  <si>
    <t>Plaques de base standard:</t>
  </si>
  <si>
    <t>Montagestoss (B)</t>
  </si>
  <si>
    <t>ohne Glas-Sortierung</t>
  </si>
  <si>
    <t>sans tri de verre</t>
  </si>
  <si>
    <t>sorted by floor:</t>
  </si>
  <si>
    <t>à l'étage:</t>
  </si>
  <si>
    <t>Wetterschenkel</t>
  </si>
  <si>
    <t xml:space="preserve">Weatherboard </t>
  </si>
  <si>
    <t xml:space="preserve">Rejet d'eau </t>
  </si>
  <si>
    <t>Logistique:</t>
  </si>
  <si>
    <t>Accessoires:</t>
  </si>
  <si>
    <t>Classifications obl.:</t>
  </si>
  <si>
    <t>Req. classifications:</t>
  </si>
  <si>
    <r>
      <rPr>
        <b/>
        <sz val="10"/>
        <color theme="1"/>
        <rFont val="Arial"/>
        <family val="2"/>
      </rPr>
      <t>P</t>
    </r>
    <r>
      <rPr>
        <sz val="10"/>
        <color theme="1"/>
        <rFont val="Arial"/>
        <family val="2"/>
      </rPr>
      <t>ositionsüberwachung (P)</t>
    </r>
  </si>
  <si>
    <r>
      <rPr>
        <b/>
        <sz val="10"/>
        <color theme="1"/>
        <rFont val="Arial"/>
        <family val="2"/>
      </rPr>
      <t>R</t>
    </r>
    <r>
      <rPr>
        <sz val="10"/>
        <color theme="1"/>
        <rFont val="Arial"/>
        <family val="2"/>
      </rPr>
      <t xml:space="preserve">iegelüberwachung (R) </t>
    </r>
  </si>
  <si>
    <t xml:space="preserve">Surveillance du pêne (R) </t>
  </si>
  <si>
    <r>
      <rPr>
        <b/>
        <sz val="10"/>
        <color theme="1"/>
        <rFont val="Arial"/>
        <family val="2"/>
      </rPr>
      <t>G</t>
    </r>
    <r>
      <rPr>
        <sz val="10"/>
        <color theme="1"/>
        <rFont val="Arial"/>
        <family val="2"/>
      </rPr>
      <t>lasbruchüberwachung (G)</t>
    </r>
  </si>
  <si>
    <t>KABA (22)</t>
  </si>
  <si>
    <t>PZ / Euro (17)</t>
  </si>
  <si>
    <t>2-binari</t>
  </si>
  <si>
    <t>3-binari</t>
  </si>
  <si>
    <t>4-binari</t>
  </si>
  <si>
    <t>Prot. contro l'effrazione RC2</t>
  </si>
  <si>
    <t>(Resistenza alla pioggia battente / all'aria)</t>
  </si>
  <si>
    <t>Protezione acustica</t>
  </si>
  <si>
    <t>25 my (Pool/Mare)</t>
  </si>
  <si>
    <t>Carico del vento:</t>
  </si>
  <si>
    <t>Nota:</t>
  </si>
  <si>
    <t>Accessori</t>
  </si>
  <si>
    <t>Gocciolatoio L=</t>
  </si>
  <si>
    <t>Piastra di base standard</t>
  </si>
  <si>
    <t>Scegli vetro</t>
  </si>
  <si>
    <t>Zanzariera</t>
  </si>
  <si>
    <t>blocco manuale</t>
  </si>
  <si>
    <t>blocco automatico</t>
  </si>
  <si>
    <t>serratura a 2 punti</t>
  </si>
  <si>
    <t>serratura a 3 punti</t>
  </si>
  <si>
    <t>Data di consegna preferita:</t>
  </si>
  <si>
    <t>Ordine a:</t>
  </si>
  <si>
    <t>Angolo esterno 90°</t>
  </si>
  <si>
    <t>Angolo interno 90°</t>
  </si>
  <si>
    <t>Angolo esterno≠90°</t>
  </si>
  <si>
    <t>Angolo interno≠90°</t>
  </si>
  <si>
    <t>Prego selezionare:</t>
  </si>
  <si>
    <t>Secondo lo schizzo: (vista esterna)</t>
  </si>
  <si>
    <r>
      <t xml:space="preserve">Tutti i vetri stessa larghezza </t>
    </r>
    <r>
      <rPr>
        <sz val="10"/>
        <color theme="1"/>
        <rFont val="Arial"/>
        <family val="2"/>
      </rPr>
      <t>(consigliato)</t>
    </r>
  </si>
  <si>
    <t>Soupape compensation de pression:</t>
  </si>
  <si>
    <t>(&gt;800m)</t>
  </si>
  <si>
    <r>
      <t>Druckausgleichsventile</t>
    </r>
    <r>
      <rPr>
        <sz val="8"/>
        <color theme="1"/>
        <rFont val="Arial"/>
        <family val="2"/>
      </rPr>
      <t xml:space="preserve"> :</t>
    </r>
  </si>
  <si>
    <t>Valvola di compensazione:</t>
  </si>
  <si>
    <t>pulverbeschichtet:</t>
  </si>
  <si>
    <t>powder coated:</t>
  </si>
  <si>
    <t>revêtement par poudre:</t>
  </si>
  <si>
    <t>verniciatura a polvere:</t>
  </si>
  <si>
    <t>Farbe Laufschiene + Schraubenarretierungen:</t>
  </si>
  <si>
    <t>Colour des rails + arrêtoirs de vis enduites:</t>
  </si>
  <si>
    <t>Colore del binario + vite di bloccaggio:</t>
  </si>
  <si>
    <t>mit CFK</t>
  </si>
  <si>
    <t>with CFK</t>
  </si>
  <si>
    <t>avec CFK</t>
  </si>
  <si>
    <t>con CFK</t>
  </si>
  <si>
    <t>ohne CFK</t>
  </si>
  <si>
    <t>without CFK</t>
  </si>
  <si>
    <t>sans CFK</t>
  </si>
  <si>
    <t>senza CFK</t>
  </si>
  <si>
    <t>mit Stahl</t>
  </si>
  <si>
    <t>ohne Stahl</t>
  </si>
  <si>
    <t>with steel</t>
  </si>
  <si>
    <t>without steel</t>
  </si>
  <si>
    <t>avec acier</t>
  </si>
  <si>
    <t>sans acier</t>
  </si>
  <si>
    <t>Ganzglas-Ecke</t>
  </si>
  <si>
    <t>Ecke RC2 (WK2)</t>
  </si>
  <si>
    <t>Standard (RC2 in Anlehnung)</t>
  </si>
  <si>
    <t>fixed corner glazing</t>
  </si>
  <si>
    <t>Standard (RC2 in accordance)</t>
  </si>
  <si>
    <t>Angle vitré</t>
  </si>
  <si>
    <t>Angle RC2 (WK2)</t>
  </si>
  <si>
    <t>Standard (basé sur RC2)</t>
  </si>
  <si>
    <t>Angolo tuttovetro</t>
  </si>
  <si>
    <t>Angolo RC2 (WK2)</t>
  </si>
  <si>
    <t>Standard (sulla base RC2)</t>
  </si>
  <si>
    <t>mit AL.</t>
  </si>
  <si>
    <t>ohne AL.</t>
  </si>
  <si>
    <t>mit AL. (&gt;2.5m)</t>
  </si>
  <si>
    <t>with AL. (&gt;2.5m)</t>
  </si>
  <si>
    <t>without AL.</t>
  </si>
  <si>
    <t>with AL.</t>
  </si>
  <si>
    <t>avec AL.</t>
  </si>
  <si>
    <t>sans AL.</t>
  </si>
  <si>
    <t>avec AL. (&gt;2.5m)</t>
  </si>
  <si>
    <t>con AL.</t>
  </si>
  <si>
    <t>senza AL.</t>
  </si>
  <si>
    <t>con AL. (&gt;2.5m)</t>
  </si>
  <si>
    <t>Ecke RC2</t>
  </si>
  <si>
    <t>L'ordine è vincolante e deve essere compilato completamente. Le modifiche saranno fatturate come lavoro supplementare.</t>
  </si>
  <si>
    <t>Ecke:</t>
  </si>
  <si>
    <t>Angle:</t>
  </si>
  <si>
    <t>Angolo:</t>
  </si>
  <si>
    <t>Silber</t>
  </si>
  <si>
    <t>silver</t>
  </si>
  <si>
    <r>
      <t>argent</t>
    </r>
    <r>
      <rPr>
        <sz val="8"/>
        <color theme="1"/>
        <rFont val="Arial"/>
        <family val="2"/>
      </rPr>
      <t xml:space="preserve"> </t>
    </r>
  </si>
  <si>
    <t>argento</t>
  </si>
  <si>
    <t>con acciaio</t>
  </si>
  <si>
    <t>senza acciaio</t>
  </si>
  <si>
    <t>Verschlüsse anzeigen</t>
  </si>
  <si>
    <t>mit Verschlussraster (Zylinder)</t>
  </si>
  <si>
    <t>non self locking (cylinder)</t>
  </si>
  <si>
    <t>blocco manuale (con cilindro)</t>
  </si>
  <si>
    <t>verrouillage manuelle (cylindre)</t>
  </si>
  <si>
    <t>Wert:</t>
  </si>
  <si>
    <t>value:</t>
  </si>
  <si>
    <t>valeur:</t>
  </si>
  <si>
    <t>valore:</t>
  </si>
  <si>
    <t>■₂</t>
  </si>
  <si>
    <t>■₁</t>
  </si>
  <si>
    <t>BHF Typ 1</t>
  </si>
  <si>
    <t>BHF Typ 2</t>
  </si>
  <si>
    <t>NFRC (USA)</t>
  </si>
  <si>
    <t>Sprache:</t>
  </si>
  <si>
    <t>Language:</t>
  </si>
  <si>
    <t>Langue:</t>
  </si>
  <si>
    <t>Lingua:</t>
  </si>
  <si>
    <t>angle intérieur 90°</t>
  </si>
  <si>
    <t>angle intérieur ≠90°</t>
  </si>
  <si>
    <t>Achsmass →</t>
  </si>
  <si>
    <t>Axis →</t>
  </si>
  <si>
    <t>axe →</t>
  </si>
  <si>
    <t>asse →</t>
  </si>
  <si>
    <t>Bestellung vollständig ausfüllen.</t>
  </si>
  <si>
    <t>Überprüfung vollständigkeit</t>
  </si>
  <si>
    <t>Bestellung</t>
  </si>
  <si>
    <t>Objekt</t>
  </si>
  <si>
    <t>Position</t>
  </si>
  <si>
    <t>Geleise</t>
  </si>
  <si>
    <t>Ansicht</t>
  </si>
  <si>
    <t>Achsmass</t>
  </si>
  <si>
    <t>Angabe Achsmass</t>
  </si>
  <si>
    <t>Breite</t>
  </si>
  <si>
    <t>Seitenteile</t>
  </si>
  <si>
    <t>Sockelpr.</t>
  </si>
  <si>
    <t>Anforderungen</t>
  </si>
  <si>
    <t>Oberfläche</t>
  </si>
  <si>
    <t>Anleitung:</t>
  </si>
  <si>
    <t>Überprüfen ob keine roten Rahmen aufleuchten.</t>
  </si>
  <si>
    <t>Bestellung senden an:</t>
  </si>
  <si>
    <t>Glas</t>
  </si>
  <si>
    <t>Verschlussgriff</t>
  </si>
  <si>
    <t>Termin</t>
  </si>
  <si>
    <t>Istruzione:</t>
  </si>
  <si>
    <t>Riempire l'ordine completamente.</t>
  </si>
  <si>
    <t>Controllare che nessuna cornice rossa si accendono.</t>
  </si>
  <si>
    <t>Inviare l'ordine a:</t>
  </si>
  <si>
    <t>Labyrinthe</t>
  </si>
  <si>
    <t>Laby I od. A</t>
  </si>
  <si>
    <t>Verschluss Innen</t>
  </si>
  <si>
    <t>Verschluss Aussen</t>
  </si>
  <si>
    <t>Ecken</t>
  </si>
  <si>
    <t>Eckprofil</t>
  </si>
  <si>
    <t>MVv I od. A</t>
  </si>
  <si>
    <t>Instruction:</t>
  </si>
  <si>
    <t>Fill the order entirely.</t>
  </si>
  <si>
    <t>Check if there are no more red borders.</t>
  </si>
  <si>
    <t>Send the order to the following address:</t>
  </si>
  <si>
    <t>Remplissez la commande en entier.</t>
  </si>
  <si>
    <t>Envoyez la commande à l’adresse suivante:</t>
  </si>
  <si>
    <t>Vérifiez s’il n’y a plus des bordures rouges.</t>
  </si>
  <si>
    <t>Prep. di montaggio singolo (B)</t>
  </si>
  <si>
    <t>Classificazioni obblig.:</t>
  </si>
  <si>
    <t>Bemerkungen:</t>
  </si>
  <si>
    <t>Diese Bestellung ist verbindlich und muss komplett ausgefüllt werden. Änderungen werden als Mehraufwand verrechnet.</t>
  </si>
  <si>
    <t>Sales Partner:</t>
  </si>
  <si>
    <t>Vertriebspartner:</t>
  </si>
  <si>
    <t xml:space="preserve">Objekt: </t>
  </si>
  <si>
    <t xml:space="preserve">Project: </t>
  </si>
  <si>
    <t xml:space="preserve">Bâtiment: </t>
  </si>
  <si>
    <t xml:space="preserve">Ogetto: </t>
  </si>
  <si>
    <t>Associé commercial:</t>
  </si>
  <si>
    <t>Remarques:</t>
  </si>
  <si>
    <t>Comment:</t>
  </si>
  <si>
    <t>-
-
-
-</t>
  </si>
  <si>
    <t>Commenti:</t>
  </si>
  <si>
    <t>Vetro non assortito</t>
  </si>
  <si>
    <t>Vetro assortito per piano</t>
  </si>
  <si>
    <t>MV vorhanden?</t>
  </si>
  <si>
    <t>Öffnung angeben →</t>
  </si>
  <si>
    <t>1.</t>
  </si>
  <si>
    <t>2.</t>
  </si>
  <si>
    <t>Öffnung MV</t>
  </si>
  <si>
    <t>Specify opening →</t>
  </si>
  <si>
    <t>Spécifiez ouverture →</t>
  </si>
  <si>
    <t>Specificare apertura →</t>
  </si>
  <si>
    <t>Anzahl Ecken</t>
  </si>
  <si>
    <t>© by Maurin Müller, 2015</t>
  </si>
  <si>
    <t>Datum</t>
  </si>
  <si>
    <t>Verbesserungswunsch</t>
  </si>
  <si>
    <t>abgelehnt</t>
  </si>
  <si>
    <t>erledigt</t>
  </si>
  <si>
    <t>Kürzel</t>
  </si>
  <si>
    <t>x</t>
  </si>
  <si>
    <t>ReB</t>
  </si>
  <si>
    <t>Glasauswahl erweitern (z.B. SP10)</t>
  </si>
  <si>
    <t>Bemerkung Mmü</t>
  </si>
  <si>
    <t>Eingabe möglich bei "Speziell"</t>
  </si>
  <si>
    <t>Dokument schreibgeschützt machen, damit keine alten Eingaben ersichtlich sind.</t>
  </si>
  <si>
    <t>Bei elektrischem Antrieb darf Verschlussraster nicht möglich sein.</t>
  </si>
  <si>
    <t xml:space="preserve">Machbarkeitsabfragen werden keine gemacht. </t>
  </si>
  <si>
    <t>ReB/OrN</t>
  </si>
  <si>
    <t>in Abklärung</t>
  </si>
  <si>
    <t xml:space="preserve">Elektrische Antrieb werden bei allen Felder automatisch ausgefüllt. Dies muss nicht immer der Fall sein. Antrieb muss ausgewählt werden. </t>
  </si>
  <si>
    <t>VP-Name kann nirgends eingegeben werden.</t>
  </si>
  <si>
    <t>SF1 und SF3 muss auch möglich sein.</t>
  </si>
  <si>
    <t>Wird mit separatem Excel möglich sein.</t>
  </si>
  <si>
    <t>Löschbutton um die Angaben zu löschen wird gewünscht.</t>
  </si>
  <si>
    <t>Ohne Makro leider nicht möglich.</t>
  </si>
  <si>
    <t xml:space="preserve">Es sollten keine Standards ausgewählt sein, da die Gefahr des Vergessens zu gross ist. </t>
  </si>
  <si>
    <t>Laufschienenfarbe kann nicht gewählt werden.</t>
  </si>
  <si>
    <t>Kreuz anstatt Häckchen, da besser lesbar.</t>
  </si>
  <si>
    <t>Im Excel nicht möglich</t>
  </si>
  <si>
    <t>BHF Typ 2 funktioniert nicht überall.</t>
  </si>
  <si>
    <t>Breitenangabe bei BHF muss genau angegeben werden können.</t>
  </si>
  <si>
    <t xml:space="preserve">VP muss Pläne mit Detail zusenden. </t>
  </si>
  <si>
    <t>Bestellung für 5-Gleiser ermöglichen</t>
  </si>
  <si>
    <t>Eingabe Stockwerk ist Text grau. Kaum lesbar. Bitte in Schwarz</t>
  </si>
  <si>
    <t>Testhinweise hinzufügen (Griffhöhe bei RC2 etc.)</t>
  </si>
  <si>
    <t>Text für Mehraufwände wird nicht komplett angezeigt.</t>
  </si>
  <si>
    <t>Mmü</t>
  </si>
  <si>
    <t xml:space="preserve">Bei Ecken müssen mehrere Breiten angegeben werden können. </t>
  </si>
  <si>
    <t>AnC</t>
  </si>
  <si>
    <t>Bei Ecke oder MV muss 1.Öffnend und 2.Öffnend angegeben werden können.</t>
  </si>
  <si>
    <t xml:space="preserve">P- und R-Überwachung darf nur bei Schieber angezeigt werden. </t>
  </si>
  <si>
    <t>ReB/AnC</t>
  </si>
  <si>
    <t>Glassortierung auf Italienisch nicht klar.</t>
  </si>
  <si>
    <t>Text auf Italienisch bei Montagestoss nur schwer lesbar.</t>
  </si>
  <si>
    <t xml:space="preserve">Wenn MV verwendet wird, fehlt die Kontrolle der Vollständigkeit. </t>
  </si>
  <si>
    <t>ReB/AnK</t>
  </si>
  <si>
    <t>OrN</t>
  </si>
  <si>
    <t>Textfelder sollten nur eingeblendet werden, wenn das gefordert wird.</t>
  </si>
  <si>
    <t xml:space="preserve">Mit Häckchen eine zusätzliche Abfrage machen. </t>
  </si>
  <si>
    <t>Nicht relevante Daten mittels "Bedingte Formatierung" ausblenden.</t>
  </si>
  <si>
    <t>Titel für "Features" hinzufügen</t>
  </si>
  <si>
    <t>5-gleisig</t>
  </si>
  <si>
    <t>5-track</t>
  </si>
  <si>
    <t>5-binari</t>
  </si>
  <si>
    <t>5-trails</t>
  </si>
  <si>
    <t>In Feld "AT5" die Zahl 1 eingeben!</t>
  </si>
  <si>
    <t>Features</t>
  </si>
  <si>
    <t>Wenn 5-Gleiser gewählt, Hinweis das etwas Speziell ist.</t>
  </si>
  <si>
    <t xml:space="preserve">Hindergrund Rot einfärben. </t>
  </si>
  <si>
    <t>Abfrage Griffe</t>
  </si>
  <si>
    <t>Auswahl CFK, Stahl, AL.</t>
  </si>
  <si>
    <t>Bei Labyrinthen und Verschlüssen ausgeführt</t>
  </si>
  <si>
    <t>Pressure compensating valve:</t>
  </si>
  <si>
    <t>Befestigung</t>
  </si>
  <si>
    <t>Verstellschrauben</t>
  </si>
  <si>
    <t>Standardgrundpl.</t>
  </si>
  <si>
    <t>Rahmenzusammenbau</t>
  </si>
  <si>
    <t>JaR</t>
  </si>
  <si>
    <t>Eingabe Stockwerk ist gesperrt.</t>
  </si>
  <si>
    <t>Feld richtig formatieren.</t>
  </si>
  <si>
    <t>Oben Links</t>
  </si>
  <si>
    <t>Oben Rechts</t>
  </si>
  <si>
    <t>top left</t>
  </si>
  <si>
    <t>en haut à gauche</t>
  </si>
  <si>
    <t>sopra a sinistra</t>
  </si>
  <si>
    <t>top right</t>
  </si>
  <si>
    <t>en haut à droit</t>
  </si>
  <si>
    <t>sopra a destra</t>
  </si>
  <si>
    <t>Lage Glasspinne (Ansicht von Aussen)</t>
  </si>
  <si>
    <t>Position of the glass breakage detector (elevation from outside)</t>
  </si>
  <si>
    <t>Position du détécteur de bris de verre (vue extérieur)</t>
  </si>
  <si>
    <t>Posizione del monitoraggio rottura del vetro (vista esterna)</t>
  </si>
  <si>
    <t>Rinnenbestellung</t>
  </si>
  <si>
    <t>lose mitliefern</t>
  </si>
  <si>
    <t>vordefiniert</t>
  </si>
  <si>
    <t>Typ A</t>
  </si>
  <si>
    <t>Typ B</t>
  </si>
  <si>
    <t>Rinnenanschluss:</t>
  </si>
  <si>
    <t>Rinnenauswahl</t>
  </si>
  <si>
    <t>Glasbruch</t>
  </si>
  <si>
    <t>überprüfung Glasbruch</t>
  </si>
  <si>
    <t>Gesamt:</t>
  </si>
  <si>
    <t>U=</t>
  </si>
  <si>
    <t>SHGC=</t>
  </si>
  <si>
    <t>VT=</t>
  </si>
  <si>
    <t>Glastypen (STANDARD)</t>
  </si>
  <si>
    <t>Glastypen NFRC</t>
  </si>
  <si>
    <t>Ausgabe Bestellung</t>
  </si>
  <si>
    <t>Feld der Lieferung bleibt immer Rot.</t>
  </si>
  <si>
    <t>Position der Glasbruchüberwachung muss abgefragt werden, da diese Information in den meisten Fällen vergessen.</t>
  </si>
  <si>
    <t>RaN</t>
  </si>
  <si>
    <t>Bei NFRC nur die "Spezialgläser" auswählbar</t>
  </si>
  <si>
    <t>Andere Glasabfrage</t>
  </si>
  <si>
    <t>MMü</t>
  </si>
  <si>
    <t>Bilder bei Labyrinth 120101/120401 anpassen (Abfragekästchen verschoben!!)</t>
  </si>
  <si>
    <t>Verknüpfung "Vertriebspartner, Bestelldatum…" auf Position 2-10 automatisieren</t>
  </si>
  <si>
    <t>Bemerkungen für Vertriebspartner hinzufügen</t>
  </si>
  <si>
    <t>Hinweise für AVOR hinzufügen.</t>
  </si>
  <si>
    <t>MiS</t>
  </si>
  <si>
    <t>Hinweis bei Anleitung wenn Bestellung noch nicht vollständig ausgefüllt. ("Bestellung unvollständig"!)</t>
  </si>
  <si>
    <t>Rinnenbestellung integrieren</t>
  </si>
  <si>
    <t>Abfragefeld ausserhalb des Formulars</t>
  </si>
  <si>
    <t>Position für Glasbruchüberwachung auf Seite 2-10 anpassen (FELD "B2")</t>
  </si>
  <si>
    <t>Anschlussstutzen:</t>
  </si>
  <si>
    <t>Einzug an der rechten Anlagenseite:</t>
  </si>
  <si>
    <t>Einzug an der linken Anlagenseite:</t>
  </si>
  <si>
    <t>Wahl des Rinnensystems:</t>
  </si>
  <si>
    <t>Anzahl Anschlussstutzen:</t>
  </si>
  <si>
    <t>Kontrolle Rinne</t>
  </si>
  <si>
    <t>Rinnensystem</t>
  </si>
  <si>
    <t>Einzug links</t>
  </si>
  <si>
    <t>Einzug rechts</t>
  </si>
  <si>
    <t>Stutzen</t>
  </si>
  <si>
    <t>Anzahl/Masse</t>
  </si>
  <si>
    <t>Stutzentyp</t>
  </si>
  <si>
    <t>TOTAL</t>
  </si>
  <si>
    <t>Farbe Panele:</t>
  </si>
  <si>
    <t>Rahmenfarbe</t>
  </si>
  <si>
    <t>Glas Satinato</t>
  </si>
  <si>
    <t>Panele</t>
  </si>
  <si>
    <t>zu aufwändig</t>
  </si>
  <si>
    <t>Partner commerciale:</t>
  </si>
  <si>
    <t>destra</t>
  </si>
  <si>
    <t>sinistra</t>
  </si>
  <si>
    <t>Commande caniveau</t>
  </si>
  <si>
    <t>Livrer séparément</t>
  </si>
  <si>
    <t>Prédéfini</t>
  </si>
  <si>
    <t>Type A</t>
  </si>
  <si>
    <t>Type B</t>
  </si>
  <si>
    <t>Couleur cadre</t>
  </si>
  <si>
    <t>Verre satiné</t>
  </si>
  <si>
    <t>Kalenderwoche</t>
  </si>
  <si>
    <t>Kalenderwochenauswahl</t>
  </si>
  <si>
    <t>Ordine grondaia</t>
  </si>
  <si>
    <t>Selezione sistema grondaia:</t>
  </si>
  <si>
    <t>Connessione scarico:</t>
  </si>
  <si>
    <t>Consegna sciolto</t>
  </si>
  <si>
    <t>Predefinito</t>
  </si>
  <si>
    <t>Quantità connessione scarico:</t>
  </si>
  <si>
    <t>Tipo A</t>
  </si>
  <si>
    <t>Tipo B</t>
  </si>
  <si>
    <t>Connessione grondaia:</t>
  </si>
  <si>
    <t>Colore pannello:</t>
  </si>
  <si>
    <t>Colore telaio</t>
  </si>
  <si>
    <t>Vetro satinato</t>
  </si>
  <si>
    <t>Choix type caniveau:</t>
  </si>
  <si>
    <t>Retrait au pan gauche:</t>
  </si>
  <si>
    <t>Retrait au pan droite:</t>
  </si>
  <si>
    <t>Raccord:</t>
  </si>
  <si>
    <t>Nombre des raccords:</t>
  </si>
  <si>
    <t>Couleur panneaux:</t>
  </si>
  <si>
    <t>ohne AL. (&lt;2.5m)</t>
  </si>
  <si>
    <t>without AL. (&lt;2.5m)</t>
  </si>
  <si>
    <t>sans AL. (&lt;2.5m)</t>
  </si>
  <si>
    <t>Drain gutter order</t>
  </si>
  <si>
    <t>Select gutter system:</t>
  </si>
  <si>
    <t>Deduct dimension from the left:</t>
  </si>
  <si>
    <t>Deduct dimension from the right:</t>
  </si>
  <si>
    <t>Connecting piece:</t>
  </si>
  <si>
    <t>Deliver separate</t>
  </si>
  <si>
    <t>Pre-select</t>
  </si>
  <si>
    <t>Amount of connectors:</t>
  </si>
  <si>
    <t>Gutter connection:</t>
  </si>
  <si>
    <t>Panel color:</t>
  </si>
  <si>
    <t>Frame color</t>
  </si>
  <si>
    <t>Glass satin</t>
  </si>
  <si>
    <t>Calendar week</t>
  </si>
  <si>
    <t>Semaine</t>
  </si>
  <si>
    <t>Settimana</t>
  </si>
  <si>
    <t>senza AL. (&gt;2.5m)</t>
  </si>
  <si>
    <r>
      <t>Rinne</t>
    </r>
    <r>
      <rPr>
        <sz val="8"/>
        <color theme="1"/>
        <rFont val="Arial"/>
        <family val="2"/>
      </rPr>
      <t xml:space="preserve"> (siehe unten)</t>
    </r>
  </si>
  <si>
    <r>
      <t>Gutter</t>
    </r>
    <r>
      <rPr>
        <sz val="8"/>
        <color theme="1"/>
        <rFont val="Arial"/>
        <family val="2"/>
      </rPr>
      <t xml:space="preserve"> (below)</t>
    </r>
  </si>
  <si>
    <t>Grondaia (vedi sotto)</t>
  </si>
  <si>
    <r>
      <t xml:space="preserve">Rigole </t>
    </r>
    <r>
      <rPr>
        <sz val="8"/>
        <color theme="1"/>
        <rFont val="Arial"/>
        <family val="2"/>
      </rPr>
      <t>(ci-dessous)</t>
    </r>
  </si>
  <si>
    <t>L'ordre est contraignant et doit être rempli complètement. Des changements seront facturés comme travail supplémentaire.</t>
  </si>
  <si>
    <t>Type raccords:</t>
  </si>
  <si>
    <t>Corner:</t>
  </si>
  <si>
    <t>Corner RC2 (WK2)</t>
  </si>
  <si>
    <t>int. corner≠90°</t>
  </si>
  <si>
    <t>ext. corner≠90°</t>
  </si>
  <si>
    <t>int. corner 90°</t>
  </si>
  <si>
    <t>ext. corner 90°</t>
  </si>
  <si>
    <t>Gesamtkontrolle</t>
  </si>
  <si>
    <t>Rinne</t>
  </si>
  <si>
    <t>Überpr. CFK</t>
  </si>
  <si>
    <t>Labyrinthe CFK</t>
  </si>
  <si>
    <t>Geforderte Klassen</t>
  </si>
  <si>
    <t>Glas Spezial</t>
  </si>
  <si>
    <t>Nach Stockwerk</t>
  </si>
  <si>
    <t>Total</t>
  </si>
  <si>
    <t>Angabe Ecköffnung</t>
  </si>
  <si>
    <t>Bestellformular unvollständig!</t>
  </si>
  <si>
    <t>pcs.</t>
  </si>
  <si>
    <t>without glass sortation</t>
  </si>
  <si>
    <t>B2B-Login project n°:</t>
  </si>
  <si>
    <t>B2B-Login project no:</t>
  </si>
  <si>
    <t>B2B-Login Projektnr:</t>
  </si>
  <si>
    <t>B2B-Login progetto N°:</t>
  </si>
  <si>
    <t>B2B-Login Nr.</t>
  </si>
  <si>
    <t>Order form incomplete!</t>
  </si>
  <si>
    <t>Order form complete.</t>
  </si>
  <si>
    <t>Bestellformular vollständig.</t>
  </si>
  <si>
    <t>Bon de commande incomplet!</t>
  </si>
  <si>
    <t>Bon de commande complet.</t>
  </si>
  <si>
    <t>kN/m²</t>
  </si>
  <si>
    <t>Windlast</t>
  </si>
  <si>
    <t>Sky-Frame 3</t>
  </si>
  <si>
    <t>Sound insulation</t>
  </si>
  <si>
    <t>Protection acoustique</t>
  </si>
  <si>
    <t>Sky-Frame Gun</t>
  </si>
  <si>
    <t>320101/320101</t>
  </si>
  <si>
    <t>320401/320401</t>
  </si>
  <si>
    <t>360001/360001</t>
  </si>
  <si>
    <t>321801/321801</t>
  </si>
  <si>
    <t>321801/322201</t>
  </si>
  <si>
    <t>310101/310301</t>
  </si>
  <si>
    <t>310101/310501</t>
  </si>
  <si>
    <t>Sockelprofil 100</t>
  </si>
  <si>
    <t>Sockelprofil 51</t>
  </si>
  <si>
    <t>SG-31</t>
  </si>
  <si>
    <t>SG-32</t>
  </si>
  <si>
    <t>SG-33</t>
  </si>
  <si>
    <t>SG-44</t>
  </si>
  <si>
    <t>SG-34</t>
  </si>
  <si>
    <t>SG-35</t>
  </si>
  <si>
    <t>SG-36</t>
  </si>
  <si>
    <t>SG-37</t>
  </si>
  <si>
    <t>SG-41</t>
  </si>
  <si>
    <t>SG-42</t>
  </si>
  <si>
    <t>SG-43</t>
  </si>
  <si>
    <t>SG-45</t>
  </si>
  <si>
    <t>SG-46</t>
  </si>
  <si>
    <t>SG-47</t>
  </si>
  <si>
    <t>SG-51</t>
  </si>
  <si>
    <t>SG-52</t>
  </si>
  <si>
    <t>SG-53</t>
  </si>
  <si>
    <t>SG-54</t>
  </si>
  <si>
    <t>SG-55</t>
  </si>
  <si>
    <t>SG-56</t>
  </si>
  <si>
    <t>SG-57</t>
  </si>
  <si>
    <t>E6/18/E6/E6</t>
  </si>
  <si>
    <t>E8/16/E8/14/E8</t>
  </si>
  <si>
    <t>V-W8-2/16/E6/16/E6</t>
  </si>
  <si>
    <t>V-W8-2/14/E8/14/E8</t>
  </si>
  <si>
    <t xml:space="preserve">E6/14/V-T12-2/14/E6 </t>
  </si>
  <si>
    <t>E8/14/V-W8-2/14/E8</t>
  </si>
  <si>
    <t xml:space="preserve">V-W8-P/12/E6/12/V-T12-P </t>
  </si>
  <si>
    <t xml:space="preserve">V-W-8P/12/E6/12/V-T12-P </t>
  </si>
  <si>
    <t>OHNE Glas</t>
  </si>
  <si>
    <t>WITHOUT glass</t>
  </si>
  <si>
    <t>SANS verre</t>
  </si>
  <si>
    <t>SENZA vetro</t>
  </si>
  <si>
    <t>Keine</t>
  </si>
  <si>
    <t>without</t>
  </si>
  <si>
    <t>SKY-M-1-00054-00001</t>
  </si>
  <si>
    <t>SKY-M-1-00055-00001</t>
  </si>
  <si>
    <t>SKY-M-1-00056/57-00001</t>
  </si>
  <si>
    <t>SKY-M-1-00058/59-00001</t>
  </si>
  <si>
    <t>SKY-M-1-00060-00001</t>
  </si>
  <si>
    <t>SKY-M-1-00061-00001</t>
  </si>
  <si>
    <t>SKY-M-1-00062-00001</t>
  </si>
  <si>
    <t>SKY-M-1-00063-00001</t>
  </si>
  <si>
    <t>SKY-M-1-00065/66-00001</t>
  </si>
  <si>
    <t>SKY-M-1-00064-00001</t>
  </si>
  <si>
    <t>SKY-M-1-00067/68-00001</t>
  </si>
  <si>
    <t>SKY-M-1-00069-00001</t>
  </si>
  <si>
    <t>SKY-M-1-00070-00001</t>
  </si>
  <si>
    <t>SKY-M-1-00071-00001</t>
  </si>
  <si>
    <t>SKY-M-1-00072-00001</t>
  </si>
  <si>
    <t>SKY-M-1-00073-00001</t>
  </si>
  <si>
    <t>SKY-M-1-00074/75-00001</t>
  </si>
  <si>
    <t>SKY-M-1-00076/77-00001</t>
  </si>
  <si>
    <t>SKY-M-1-00078-00001</t>
  </si>
  <si>
    <t>SKY-M-1-00079-00001</t>
  </si>
  <si>
    <t>SKY-M-1-00080-00001</t>
  </si>
  <si>
    <t>SG-51-D</t>
  </si>
  <si>
    <t>SKY-M-1-00081-00001</t>
  </si>
  <si>
    <t>SG-52-D</t>
  </si>
  <si>
    <t>SKY-M-1-00082-00001</t>
  </si>
  <si>
    <t>SG-53-D</t>
  </si>
  <si>
    <t>SKY-M-1-00083/84-00001</t>
  </si>
  <si>
    <t>SG-54-D</t>
  </si>
  <si>
    <t>SKY-M-1-00085/86-00001</t>
  </si>
  <si>
    <t>SG-55-D</t>
  </si>
  <si>
    <t>SKY-M-1-00087-00001</t>
  </si>
  <si>
    <t>SG-56-D</t>
  </si>
  <si>
    <t>SKY-M-1-00088-00001</t>
  </si>
  <si>
    <t>SG-57-D</t>
  </si>
  <si>
    <t>SKY-M-1-00089-00001</t>
  </si>
  <si>
    <t>SG-61</t>
  </si>
  <si>
    <t>SKY-M-1-00046-00001</t>
  </si>
  <si>
    <t>SG-62</t>
  </si>
  <si>
    <t>SKY-M-1-00047-00001</t>
  </si>
  <si>
    <t>SG-63</t>
  </si>
  <si>
    <t>SKY-M-1-00048-00001</t>
  </si>
  <si>
    <t>SG-64</t>
  </si>
  <si>
    <t>SKY-M-1-00049-00001</t>
  </si>
  <si>
    <t>SG-61-D</t>
  </si>
  <si>
    <t>SG-61-S</t>
  </si>
  <si>
    <t>SKY-M-1-00050-00001</t>
  </si>
  <si>
    <t>SG-62-S</t>
  </si>
  <si>
    <t>SKY-M-1-00051-00001</t>
  </si>
  <si>
    <t>SKY-M-1-00052-00001</t>
  </si>
  <si>
    <t>SG-62-D</t>
  </si>
  <si>
    <t>SKY-M-1-00053-00001</t>
  </si>
  <si>
    <t>E10/18/E10</t>
  </si>
  <si>
    <t>E10/14/V-W16-2</t>
  </si>
  <si>
    <t>SG-65</t>
  </si>
  <si>
    <t>GUN-BR4-12-NS</t>
  </si>
  <si>
    <t>nicht notwendig</t>
  </si>
  <si>
    <t>Solo in consultazione con Sky-Frame!</t>
  </si>
  <si>
    <t>Seulement après consultation avec Sky-Frame!</t>
  </si>
  <si>
    <t>Only after consulting with Sky-Frame!</t>
  </si>
  <si>
    <t>Nur nach Rücksprache mit Sky-Frame!</t>
  </si>
  <si>
    <t>Modulo d'ordine incompleto!</t>
  </si>
  <si>
    <t>Modulo d'ordine completo.</t>
  </si>
  <si>
    <t>3-rails</t>
  </si>
  <si>
    <t>4-rails</t>
  </si>
  <si>
    <t>ohne Verschlussraster (Zylinder)</t>
  </si>
  <si>
    <t>self locking (cylinder)</t>
  </si>
  <si>
    <t>verrouilage automatique (cylindre)</t>
  </si>
  <si>
    <t>blocco automatico (con cilindro)</t>
  </si>
  <si>
    <t>Non</t>
  </si>
  <si>
    <t>54/52</t>
  </si>
  <si>
    <t>52/53</t>
  </si>
  <si>
    <t>52/49</t>
  </si>
  <si>
    <t>44/41</t>
  </si>
  <si>
    <t>43/45</t>
  </si>
  <si>
    <t>44/46</t>
  </si>
  <si>
    <t>32/31</t>
  </si>
  <si>
    <t>31/33</t>
  </si>
  <si>
    <t>32/34</t>
  </si>
  <si>
    <t>Angabe erstöffnender Flügel</t>
  </si>
  <si>
    <t xml:space="preserve">Um eine Ecke auszuwählen, welche grösser oder kleiner wie 90° ist, muss das dementsprechende Feld ausgewählt werden. Danach muss der gewünschte Wert angegeben werden. </t>
  </si>
  <si>
    <t>3.</t>
  </si>
  <si>
    <t>Breitenangabe bei Eckanlagen</t>
  </si>
  <si>
    <t>Wird eine Eckanlage eingegeben, erscheint bei der Angabe "Breite" automatisch ein neues Eingabefeld. Die Länge der einzelnen Fronten muss hier separat angegeben werden (Rahmenaussenmass). Die verschiedenen Fronten sind von links nach rechts anzugeben:</t>
  </si>
  <si>
    <t>4.</t>
  </si>
  <si>
    <t>Rinnenlänge angeben</t>
  </si>
  <si>
    <t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t>
  </si>
  <si>
    <t>Wird eine Mittelöffnung oder Ecköffnung eingegeben muss zwingend angegeben werden, welcher Flügel zuerst geöffnet werden soll. Diese Abfrage erscheint sobald eine dieser Öffnungen eingegeben wird. Die Zahl "1." gilt als Erstöffnender Flügel, die Zahl "2." für den Zweitöffnenden.</t>
  </si>
  <si>
    <t>Eingabe Ecke ≠ 90° (von 60° - 160°)</t>
  </si>
  <si>
    <t>Innesto sul lato sinistra dell'impianto:</t>
  </si>
  <si>
    <t>Innesto sul lato destra dell'impianto:</t>
  </si>
  <si>
    <t>Specification of first leaf to open</t>
  </si>
  <si>
    <t>If a middle opening or corner opening is entered, it is essential to specify which leaf should open first. This inquiry appears as soon as one of these openings is entered. The number "1" is the first leaf to open, and the number "2" is the second leaf to open.</t>
  </si>
  <si>
    <t>Entry of corner ≠ 90° (from 60° - 160°)</t>
  </si>
  <si>
    <t xml:space="preserve">To select a corner that is more or less than 90°, the relevant field must be selected. Then the required value must be entered. </t>
  </si>
  <si>
    <t>Width specification for corner systems</t>
  </si>
  <si>
    <t>If a corner system is entered, a new input field automatically appears next to "Width". The length of the individual front panels must be entered separately here (external frame size). The different front panels must be specified from left to right:</t>
  </si>
  <si>
    <t>Specifying the gutter length</t>
  </si>
  <si>
    <t xml:space="preserve">Sky-Frame always takes a gutter length for the entire frame length into account. If the gutter is to be shorter or longer than the frame, this must be specified with the deduct dimension. If the gutter is to be cut to the internal dimension, the deduct dimension on the left-hand side and the right-hand side must be specified with "+45" (SF2). 
</t>
  </si>
  <si>
    <t>Indication du premier élément ouvrant</t>
  </si>
  <si>
    <t>En présence d'une ouverture centrale ou d'une ouverture d'angle, il est impératif d'indiquer quel élément doit s'ouvrir en premier. Cette question s'affiche dès que l'une de ces ouvertures est saisie. Le chiffre « 1 » s'applique au premier élément ouvrant, le chiffre « 2 » au second.</t>
  </si>
  <si>
    <t>Saisie angle ≠ 90° (de 60° - 160°)</t>
  </si>
  <si>
    <t xml:space="preserve">Pour sélectionner un angle supérieur ou inférieur à 90°, sélectionner le champ correspondant. Saisir ensuite la valeur souhaitée. </t>
  </si>
  <si>
    <t>Indication de largeur pour les installations d'angle</t>
  </si>
  <si>
    <t>En cas de saisie d'une installation d'angle, un nouveau champ de saisie s'affiche automatiquement près de la donnée « Largeur ». La longueur des différentes façades doit être saisie séparément ici (dimension extérieure de cadre). Les différentes façades doivent être indiquées de la gauche vers la droite :</t>
  </si>
  <si>
    <t>Indiquer la longueur de rigole</t>
  </si>
  <si>
    <t xml:space="preserve">En cas de rigole, Sky-Frame prend toujours en compte la longueur totale du cadre. Si une rigole doit être plus courte, ou plus longue, que le cadre, ceci doit être indiqué avec le retrait. Si la rigole doit être découpée à la dimension intérieure, indiquer le retrait sur la gauche et sur la droite avec « +45 » (SF2). </t>
  </si>
  <si>
    <t>Indicazione della prima anta da aprire</t>
  </si>
  <si>
    <t>Se viene indicata un'apertura centrale o un'apertura ad angolo, occorre obbligatoriamente precisare quale anta deve essere aperta per prima. L'interrogazione appare non appena si indica una di queste aperture. Il numero "1." indica la prima anta da aprire, il numero "2." la seconda anta da aprire.</t>
  </si>
  <si>
    <t>Immissione di angolo ≠ 90° (da 60° a 160°)</t>
  </si>
  <si>
    <t>Per indicare un angolo maggiore o minore di 90°, si deve selezionare il relativo campo e poi immettere il valore desiderato.</t>
  </si>
  <si>
    <t>Immissione della larghezza con impianti d'angolo</t>
  </si>
  <si>
    <t>Se si indica un impianto d'angolo, appare automaticamente un nuovo campo di immissione per il dato "Larghezza". Si deve qui immettere separatamente la lunghezza delle singole facciate (dimensione esterna telaio), da sinistra verso destra:</t>
  </si>
  <si>
    <t>Immettere la lunghezza della grondaia</t>
  </si>
  <si>
    <t>Sky-Frame calcola sempre una grondaia lunga quanto l'intero telaio. Se la grondaia deve essere realizzata più corta o più lunga del telaio, essa deve essere indicata con innesto. Se la grondaia deve essere tagliata a misura luce, l'innesto si deve indicare con "+45" (SF2) sul lato sinistro e su quello destro.</t>
  </si>
  <si>
    <t>RL</t>
  </si>
  <si>
    <t>↔</t>
  </si>
  <si>
    <t>Zusatzkontrolle Lage Gläser</t>
  </si>
  <si>
    <t>Seaside (Pool/Meer)</t>
  </si>
  <si>
    <t>Seaside (pool/sea)</t>
  </si>
  <si>
    <t>Seaside (pool/mer)</t>
  </si>
  <si>
    <t>Seaside (pool/mare)</t>
  </si>
  <si>
    <t>Pulverlack Klasse:</t>
  </si>
  <si>
    <t>powder coating class:</t>
  </si>
  <si>
    <t>peinture en poudre,cl:</t>
  </si>
  <si>
    <t>verniciatura a polvere, cl:</t>
  </si>
  <si>
    <t>Qualicoat 1</t>
  </si>
  <si>
    <t>Qualicoat 2</t>
  </si>
  <si>
    <t>Vorbehandlung:</t>
  </si>
  <si>
    <t>pre-treatment:</t>
  </si>
  <si>
    <t>pré-traitement:</t>
  </si>
  <si>
    <t>pretrattamento:</t>
  </si>
  <si>
    <t>Auswahl Antrieb</t>
  </si>
  <si>
    <t>M</t>
  </si>
  <si>
    <t>E</t>
  </si>
  <si>
    <t>Überprüfung Eingabe Antriebe</t>
  </si>
  <si>
    <t>Feld</t>
  </si>
  <si>
    <t>Schieber</t>
  </si>
  <si>
    <t>Fest/Leer</t>
  </si>
  <si>
    <t>Resultat</t>
  </si>
  <si>
    <t>Summe Res.</t>
  </si>
  <si>
    <t>Kontrolle Antrieb</t>
  </si>
  <si>
    <t>VE</t>
  </si>
  <si>
    <t>unit</t>
  </si>
  <si>
    <t>unité</t>
  </si>
  <si>
    <t>unità</t>
  </si>
  <si>
    <t>(VE à 100 Stk.)</t>
  </si>
  <si>
    <t>(packet (100pcs.))</t>
  </si>
  <si>
    <t>(à 100 pièces)</t>
  </si>
  <si>
    <t>(a 100 pezzi)</t>
  </si>
  <si>
    <t>Pos. 1</t>
  </si>
  <si>
    <t>Übersicht:</t>
  </si>
  <si>
    <t>Overview:</t>
  </si>
  <si>
    <t>Vue d'ensemble</t>
  </si>
  <si>
    <t>Pos. 2</t>
  </si>
  <si>
    <t>Pos. 3</t>
  </si>
  <si>
    <t>Pos. 4</t>
  </si>
  <si>
    <t>Pos. 5</t>
  </si>
  <si>
    <t>Abstände Ablaufstutzen (E):</t>
  </si>
  <si>
    <t>Distance of drain spouts (E):</t>
  </si>
  <si>
    <t>Distance entre (E):</t>
  </si>
  <si>
    <t>Distanza connessione scarico (E):</t>
  </si>
  <si>
    <t>Panoramica</t>
  </si>
  <si>
    <t>Sky-Frame Beratung vorhanden:</t>
  </si>
  <si>
    <t>Beratungsnummer: (z.B. P123456)</t>
  </si>
  <si>
    <t>Inch-Rechner</t>
  </si>
  <si>
    <t>Inch-calculator</t>
  </si>
  <si>
    <t>Fuss:</t>
  </si>
  <si>
    <t>Feet:</t>
  </si>
  <si>
    <t>Zoll:</t>
  </si>
  <si>
    <t>Inch:</t>
  </si>
  <si>
    <t>Bemassung Bahnhof</t>
  </si>
  <si>
    <t>Die Vermassung von Bahnhofanlagen funktioniert gleich wie bei normalen Rahmen. Bitte geben Sie uns als Rahmenmass das komplette Mass von Aussenkant Rahmen an. Für die Vermassung der Labyrinthposition geben Sie bitte das Mass bis Achse Labyrinth an.</t>
  </si>
  <si>
    <t>Bahnhof Typ 1:</t>
  </si>
  <si>
    <t>Bahnhof Typ 2:</t>
  </si>
  <si>
    <t>schwarz</t>
  </si>
  <si>
    <t>frame color</t>
  </si>
  <si>
    <t>couleur cadre</t>
  </si>
  <si>
    <t>colore telaio</t>
  </si>
  <si>
    <t>Version 09-07-2018</t>
  </si>
  <si>
    <t>Beratungsabfrage</t>
  </si>
  <si>
    <t>Beratungsnummer</t>
  </si>
  <si>
    <t>Sky-Frame AG   |   Langfeldstrasse 111   |   8500 Frauenfeld   |   phone +41 52 724 94 94   |   www.sky-frame.ch</t>
  </si>
  <si>
    <t>RC2 Ecke</t>
  </si>
  <si>
    <t>La misurazione dell’impianto a stazione funziona allo stesso modo del telaio normale. Si prega di darci come dimensione del telaio la misura completa dal bordo esterno del telaio. Per il dimensionamento della posizione del labirinto si prega di indicarci la misura fino al labirinto dell'asse.</t>
  </si>
  <si>
    <t>Sonstiges:</t>
  </si>
  <si>
    <t>Others:</t>
  </si>
  <si>
    <t>Visible frame profiles (outside):</t>
  </si>
  <si>
    <t>Lieferung Glas und Rahmen:</t>
  </si>
  <si>
    <t>Delivery frame and glass:</t>
  </si>
  <si>
    <t>zusammen</t>
  </si>
  <si>
    <t>together</t>
  </si>
  <si>
    <t>getrennt</t>
  </si>
  <si>
    <t>separately</t>
  </si>
  <si>
    <t>sichtbar</t>
  </si>
  <si>
    <t>visible</t>
  </si>
  <si>
    <t>nicht sichtbar</t>
  </si>
  <si>
    <t>not visible</t>
  </si>
  <si>
    <t>c</t>
  </si>
  <si>
    <t>sichtbarer Rahmen</t>
  </si>
  <si>
    <t>Lieferung getrennt</t>
  </si>
  <si>
    <t>Hinweise:</t>
  </si>
  <si>
    <t>Notes:</t>
  </si>
  <si>
    <t>Note:</t>
  </si>
  <si>
    <t>Sichtbare Rahmenprofile (aussen):</t>
  </si>
  <si>
    <t>Sky-Frame consulting available / present:</t>
  </si>
  <si>
    <t> Consultation Sky-Frame existente:</t>
  </si>
  <si>
    <t>consulenza Sky-Frame esistente:</t>
  </si>
  <si>
    <t>Consulting number: (e.g. P123456)</t>
  </si>
  <si>
    <t> Numéro de consultation: (ex. P123456)</t>
  </si>
  <si>
    <t>numero di consulenza: (z.B. P123456)</t>
  </si>
  <si>
    <t> Calculateur-pouce</t>
  </si>
  <si>
    <t>calcolatore-Inch</t>
  </si>
  <si>
    <t> Pied:</t>
  </si>
  <si>
    <t>piede:</t>
  </si>
  <si>
    <t> Pouce</t>
  </si>
  <si>
    <t>pollice:</t>
  </si>
  <si>
    <t>Dimensioning of the train station</t>
  </si>
  <si>
    <t> Dimensionnement du galandage</t>
  </si>
  <si>
    <t>dimensione stazione</t>
  </si>
  <si>
    <t>The dimensioning of pocket door installations is conducted in the same way as with normal frames. Please indicate for us the total measurements of the outer edges of the frame as frame dimensions. For the dimensioning of the position of the labyrinth, please indicate the measurement up to the axis of the labyrinth.</t>
  </si>
  <si>
    <t>Le dimensionnement du galandage s’effectue de la même manière que pour un cadre standard. Je vous pris de nous transmettre les dimensions jusqu’au contour extérieurs du cadre. Pour le positionnement du labyrinthe veuillez nous donner la distance jusqu’à l’axe du labyrinthe.</t>
  </si>
  <si>
    <t>pocket door type 1:</t>
  </si>
  <si>
    <t>galandage type 1:</t>
  </si>
  <si>
    <t>stazione tipo 1:</t>
  </si>
  <si>
    <t>pocket door type 2:</t>
  </si>
  <si>
    <t>galandage type 2:</t>
  </si>
  <si>
    <t>stazione tipo 2:</t>
  </si>
  <si>
    <t>Divers (remarques)</t>
  </si>
  <si>
    <t>Ulteriore:</t>
  </si>
  <si>
    <t>Cadre visible (extérieur):</t>
  </si>
  <si>
    <t>Profilo telaio visibile (esterno):</t>
  </si>
  <si>
    <t>Livraison vitrage et cadre:</t>
  </si>
  <si>
    <t>Consegna vetro e telaio:</t>
  </si>
  <si>
    <t>Ensemble</t>
  </si>
  <si>
    <t>insieme</t>
  </si>
  <si>
    <t>séparément</t>
  </si>
  <si>
    <t>separato</t>
  </si>
  <si>
    <t>visibile</t>
  </si>
  <si>
    <t>invisible</t>
  </si>
  <si>
    <t>non visibile</t>
  </si>
  <si>
    <t>RC2 mit Blech</t>
  </si>
  <si>
    <t>RC2 with alu sheet</t>
  </si>
  <si>
    <t>RC2 avec tôles alu</t>
  </si>
  <si>
    <t>RC2 con lamiera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</si>
</sst>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F800]dddd\,\ mmmm\ dd\,\ yyyy"/>
  </numFmts>
  <fonts count="4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8"/>
      <color theme="1"/>
      <name val="Arial"/>
      <family val="2"/>
    </font>
    <font>
      <sz val="10"/>
      <color theme="1"/>
      <name val="Arial"/>
      <family val="2"/>
    </font>
    <font>
      <sz val="7"/>
      <color theme="1"/>
      <name val="Arial"/>
      <family val="2"/>
    </font>
    <font>
      <b/>
      <u/>
      <sz val="10"/>
      <color theme="1"/>
      <name val="Arial"/>
      <family val="2"/>
    </font>
    <font>
      <sz val="10"/>
      <color theme="1"/>
      <name val="Calibri"/>
      <family val="2"/>
    </font>
    <font>
      <sz val="10"/>
      <name val="Arial"/>
      <family val="2"/>
    </font>
    <font>
      <sz val="11"/>
      <color theme="1"/>
      <name val="Calibri"/>
      <family val="2"/>
      <scheme val="minor"/>
    </font>
    <font>
      <b/>
      <sz val="10"/>
      <name val="Arial"/>
      <family val="2"/>
    </font>
    <font>
      <b/>
      <i/>
      <sz val="10"/>
      <name val="Arial"/>
      <family val="2"/>
    </font>
    <font>
      <u/>
      <sz val="11"/>
      <color theme="10"/>
      <name val="Calibri"/>
      <family val="2"/>
      <scheme val="minor"/>
    </font>
    <font>
      <b/>
      <u/>
      <sz val="10"/>
      <name val="Arial"/>
      <family val="2"/>
    </font>
    <font>
      <b/>
      <sz val="20"/>
      <name val="Arial"/>
      <family val="2"/>
    </font>
    <font>
      <sz val="8"/>
      <name val="Courier New"/>
      <family val="3"/>
    </font>
    <font>
      <sz val="8"/>
      <name val="Arial"/>
      <family val="2"/>
    </font>
    <font>
      <b/>
      <u/>
      <sz val="8"/>
      <name val="Arial"/>
      <family val="2"/>
    </font>
    <font>
      <i/>
      <sz val="10"/>
      <name val="Arial"/>
      <family val="2"/>
    </font>
    <font>
      <sz val="7"/>
      <name val="Arial"/>
      <family val="2"/>
    </font>
    <font>
      <b/>
      <sz val="8"/>
      <color indexed="81"/>
      <name val="Arial"/>
      <family val="2"/>
    </font>
    <font>
      <sz val="10"/>
      <color theme="0" tint="-0.14999847407452621"/>
      <name val="Arial"/>
      <family val="2"/>
    </font>
    <font>
      <b/>
      <sz val="9"/>
      <color rgb="FFFF0000"/>
      <name val="Arial"/>
      <family val="2"/>
    </font>
    <font>
      <b/>
      <sz val="10"/>
      <color theme="0" tint="-0.14999847407452621"/>
      <name val="Arial"/>
      <family val="2"/>
    </font>
    <font>
      <b/>
      <sz val="16"/>
      <name val="Arial"/>
      <family val="2"/>
    </font>
    <font>
      <sz val="9"/>
      <color indexed="81"/>
      <name val="Segoe UI"/>
      <family val="2"/>
    </font>
    <font>
      <b/>
      <sz val="9"/>
      <color indexed="81"/>
      <name val="Segoe UI"/>
      <family val="2"/>
    </font>
    <font>
      <b/>
      <sz val="11"/>
      <color rgb="FFFF0000"/>
      <name val="Arial"/>
      <family val="2"/>
    </font>
    <font>
      <u/>
      <sz val="10"/>
      <color theme="10"/>
      <name val="Arial"/>
      <family val="2"/>
    </font>
    <font>
      <b/>
      <sz val="10"/>
      <color rgb="FFFF0000"/>
      <name val="Arial"/>
      <family val="2"/>
    </font>
    <font>
      <sz val="10"/>
      <color rgb="FF000000"/>
      <name val="Arial"/>
      <family val="2"/>
    </font>
    <font>
      <b/>
      <sz val="10"/>
      <color rgb="FF000000"/>
      <name val="Arial"/>
      <family val="2"/>
    </font>
    <font>
      <b/>
      <u/>
      <sz val="12"/>
      <name val="Arial"/>
      <family val="2"/>
    </font>
    <font>
      <sz val="8"/>
      <color theme="0" tint="-0.14999847407452621"/>
      <name val="Arial"/>
      <family val="2"/>
    </font>
    <font>
      <b/>
      <sz val="12"/>
      <name val="Arial"/>
      <family val="2"/>
    </font>
    <font>
      <b/>
      <sz val="14"/>
      <color rgb="FF00B050"/>
      <name val="Arial"/>
      <family val="2"/>
    </font>
    <font>
      <u/>
      <sz val="11"/>
      <color theme="10"/>
      <name val="Arial"/>
      <family val="2"/>
    </font>
    <font>
      <b/>
      <i/>
      <sz val="10"/>
      <color rgb="FFFF0000"/>
      <name val="Arial"/>
      <family val="2"/>
    </font>
    <font>
      <b/>
      <sz val="16"/>
      <color theme="1"/>
      <name val="Arial"/>
      <family val="2"/>
    </font>
    <font>
      <sz val="20"/>
      <name val="Arial"/>
      <family val="2"/>
    </font>
    <font>
      <b/>
      <sz val="14"/>
      <color rgb="FFFF0000"/>
      <name val="Arial"/>
      <family val="2"/>
    </font>
    <font>
      <sz val="11"/>
      <name val="Arial"/>
      <family val="2"/>
    </font>
    <font>
      <b/>
      <u/>
      <sz val="11"/>
      <name val="Arial"/>
      <family val="2"/>
    </font>
    <font>
      <b/>
      <sz val="11"/>
      <name val="Arial"/>
      <family val="2"/>
    </font>
    <font>
      <b/>
      <sz val="14"/>
      <name val="Arial"/>
      <family val="2"/>
    </font>
    <font>
      <sz val="10"/>
      <color theme="0"/>
      <name val="Arial"/>
      <family val="2"/>
    </font>
    <font>
      <b/>
      <sz val="16"/>
      <color theme="0"/>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0" tint="-0.499984740745262"/>
        <bgColor indexed="64"/>
      </patternFill>
    </fill>
  </fills>
  <borders count="144">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medium">
        <color auto="1"/>
      </right>
      <top style="medium">
        <color auto="1"/>
      </top>
      <bottom style="thin">
        <color indexed="64"/>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medium">
        <color auto="1"/>
      </top>
      <bottom style="thin">
        <color indexed="64"/>
      </bottom>
      <diagonal/>
    </border>
    <border>
      <left style="hair">
        <color auto="1"/>
      </left>
      <right style="hair">
        <color auto="1"/>
      </right>
      <top style="medium">
        <color auto="1"/>
      </top>
      <bottom style="thin">
        <color indexed="64"/>
      </bottom>
      <diagonal/>
    </border>
    <border>
      <left style="hair">
        <color auto="1"/>
      </left>
      <right style="medium">
        <color auto="1"/>
      </right>
      <top style="medium">
        <color auto="1"/>
      </top>
      <bottom style="thin">
        <color indexed="64"/>
      </bottom>
      <diagonal/>
    </border>
    <border>
      <left style="medium">
        <color auto="1"/>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medium">
        <color auto="1"/>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style="hair">
        <color auto="1"/>
      </top>
      <bottom style="hair">
        <color auto="1"/>
      </bottom>
      <diagonal/>
    </border>
    <border>
      <left/>
      <right/>
      <top style="hair">
        <color auto="1"/>
      </top>
      <bottom/>
      <diagonal/>
    </border>
    <border>
      <left/>
      <right style="medium">
        <color indexed="64"/>
      </right>
      <top style="hair">
        <color auto="1"/>
      </top>
      <bottom style="hair">
        <color auto="1"/>
      </bottom>
      <diagonal/>
    </border>
    <border>
      <left style="medium">
        <color indexed="64"/>
      </left>
      <right style="hair">
        <color auto="1"/>
      </right>
      <top style="thin">
        <color indexed="64"/>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indexed="64"/>
      </right>
      <top style="hair">
        <color auto="1"/>
      </top>
      <bottom style="medium">
        <color auto="1"/>
      </bottom>
      <diagonal/>
    </border>
    <border>
      <left/>
      <right style="medium">
        <color auto="1"/>
      </right>
      <top style="hair">
        <color auto="1"/>
      </top>
      <bottom style="medium">
        <color auto="1"/>
      </bottom>
      <diagonal/>
    </border>
    <border>
      <left style="medium">
        <color auto="1"/>
      </left>
      <right style="medium">
        <color auto="1"/>
      </right>
      <top/>
      <bottom style="hair">
        <color auto="1"/>
      </bottom>
      <diagonal/>
    </border>
    <border>
      <left/>
      <right style="medium">
        <color indexed="64"/>
      </right>
      <top/>
      <bottom style="hair">
        <color auto="1"/>
      </bottom>
      <diagonal/>
    </border>
    <border>
      <left style="medium">
        <color auto="1"/>
      </left>
      <right style="thin">
        <color auto="1"/>
      </right>
      <top style="medium">
        <color auto="1"/>
      </top>
      <bottom style="thin">
        <color indexed="64"/>
      </bottom>
      <diagonal/>
    </border>
    <border>
      <left style="thin">
        <color auto="1"/>
      </left>
      <right style="medium">
        <color auto="1"/>
      </right>
      <top style="medium">
        <color auto="1"/>
      </top>
      <bottom style="thin">
        <color indexed="64"/>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style="medium">
        <color indexed="64"/>
      </right>
      <top/>
      <bottom/>
      <diagonal/>
    </border>
    <border>
      <left/>
      <right style="hair">
        <color indexed="64"/>
      </right>
      <top style="hair">
        <color indexed="64"/>
      </top>
      <bottom/>
      <diagonal/>
    </border>
    <border>
      <left/>
      <right/>
      <top/>
      <bottom style="hair">
        <color indexed="64"/>
      </bottom>
      <diagonal/>
    </border>
    <border>
      <left/>
      <right style="hair">
        <color indexed="64"/>
      </right>
      <top/>
      <bottom style="hair">
        <color indexed="64"/>
      </bottom>
      <diagonal/>
    </border>
    <border>
      <left style="medium">
        <color auto="1"/>
      </left>
      <right/>
      <top style="medium">
        <color auto="1"/>
      </top>
      <bottom style="thin">
        <color indexed="64"/>
      </bottom>
      <diagonal/>
    </border>
    <border>
      <left/>
      <right style="medium">
        <color auto="1"/>
      </right>
      <top style="medium">
        <color auto="1"/>
      </top>
      <bottom style="thin">
        <color indexed="64"/>
      </bottom>
      <diagonal/>
    </border>
    <border>
      <left style="hair">
        <color auto="1"/>
      </left>
      <right style="medium">
        <color indexed="64"/>
      </right>
      <top style="thin">
        <color indexed="64"/>
      </top>
      <bottom style="hair">
        <color auto="1"/>
      </bottom>
      <diagonal/>
    </border>
    <border>
      <left style="dotted">
        <color indexed="64"/>
      </left>
      <right style="dotted">
        <color indexed="64"/>
      </right>
      <top style="thin">
        <color indexed="64"/>
      </top>
      <bottom style="dotted">
        <color indexed="64"/>
      </bottom>
      <diagonal/>
    </border>
    <border>
      <left/>
      <right/>
      <top style="dotted">
        <color indexed="64"/>
      </top>
      <bottom/>
      <diagonal/>
    </border>
    <border>
      <left/>
      <right/>
      <top style="medium">
        <color indexed="64"/>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medium">
        <color indexed="64"/>
      </bottom>
      <diagonal/>
    </border>
    <border>
      <left/>
      <right/>
      <top style="hair">
        <color auto="1"/>
      </top>
      <bottom style="hair">
        <color auto="1"/>
      </bottom>
      <diagonal/>
    </border>
    <border>
      <left style="medium">
        <color indexed="64"/>
      </left>
      <right style="medium">
        <color indexed="64"/>
      </right>
      <top style="thin">
        <color indexed="64"/>
      </top>
      <bottom style="hair">
        <color indexed="64"/>
      </bottom>
      <diagonal/>
    </border>
    <border>
      <left style="hair">
        <color indexed="64"/>
      </left>
      <right/>
      <top style="thin">
        <color indexed="64"/>
      </top>
      <bottom style="thin">
        <color indexed="64"/>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
      <left style="hair">
        <color indexed="64"/>
      </left>
      <right style="thin">
        <color indexed="64"/>
      </right>
      <top style="hair">
        <color indexed="64"/>
      </top>
      <bottom/>
      <diagonal/>
    </border>
    <border>
      <left style="hair">
        <color indexed="64"/>
      </left>
      <right style="thin">
        <color indexed="64"/>
      </right>
      <top/>
      <bottom/>
      <diagonal/>
    </border>
    <border>
      <left style="hair">
        <color indexed="64"/>
      </left>
      <right style="thin">
        <color indexed="64"/>
      </right>
      <top/>
      <bottom style="hair">
        <color indexed="64"/>
      </bottom>
      <diagonal/>
    </border>
    <border>
      <left style="dotted">
        <color indexed="64"/>
      </left>
      <right style="dotted">
        <color indexed="64"/>
      </right>
      <top/>
      <bottom style="dotted">
        <color indexed="64"/>
      </bottom>
      <diagonal/>
    </border>
    <border>
      <left/>
      <right/>
      <top style="thin">
        <color indexed="64"/>
      </top>
      <bottom/>
      <diagonal/>
    </border>
    <border>
      <left style="thin">
        <color auto="1"/>
      </left>
      <right/>
      <top style="hair">
        <color auto="1"/>
      </top>
      <bottom/>
      <diagonal/>
    </border>
    <border>
      <left/>
      <right style="thin">
        <color auto="1"/>
      </right>
      <top style="hair">
        <color auto="1"/>
      </top>
      <bottom/>
      <diagonal/>
    </border>
    <border>
      <left/>
      <right/>
      <top style="thin">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hair">
        <color auto="1"/>
      </left>
      <right style="medium">
        <color auto="1"/>
      </right>
      <top style="hair">
        <color auto="1"/>
      </top>
      <bottom/>
      <diagonal/>
    </border>
    <border>
      <left style="medium">
        <color rgb="FFFF0000"/>
      </left>
      <right style="thin">
        <color indexed="64"/>
      </right>
      <top style="medium">
        <color rgb="FFFF0000"/>
      </top>
      <bottom style="medium">
        <color rgb="FFFF0000"/>
      </bottom>
      <diagonal/>
    </border>
    <border>
      <left style="hair">
        <color auto="1"/>
      </left>
      <right style="hair">
        <color auto="1"/>
      </right>
      <top style="hair">
        <color auto="1"/>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thin">
        <color auto="1"/>
      </bottom>
      <diagonal/>
    </border>
    <border>
      <left/>
      <right style="thin">
        <color indexed="64"/>
      </right>
      <top style="thick">
        <color rgb="FFFF0000"/>
      </top>
      <bottom/>
      <diagonal/>
    </border>
    <border>
      <left/>
      <right style="thin">
        <color indexed="64"/>
      </right>
      <top/>
      <bottom style="thick">
        <color rgb="FFFF0000"/>
      </bottom>
      <diagonal/>
    </border>
    <border>
      <left style="hair">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hair">
        <color indexed="64"/>
      </bottom>
      <diagonal/>
    </border>
    <border>
      <left style="thick">
        <color indexed="64"/>
      </left>
      <right style="thin">
        <color indexed="64"/>
      </right>
      <top style="hair">
        <color indexed="64"/>
      </top>
      <bottom style="hair">
        <color indexed="64"/>
      </bottom>
      <diagonal/>
    </border>
    <border>
      <left/>
      <right style="thin">
        <color indexed="64"/>
      </right>
      <top style="thick">
        <color indexed="64"/>
      </top>
      <bottom style="thin">
        <color indexed="64"/>
      </bottom>
      <diagonal/>
    </border>
    <border>
      <left/>
      <right style="hair">
        <color indexed="64"/>
      </right>
      <top/>
      <bottom/>
      <diagonal/>
    </border>
    <border>
      <left style="thin">
        <color auto="1"/>
      </left>
      <right style="medium">
        <color indexed="64"/>
      </right>
      <top style="hair">
        <color auto="1"/>
      </top>
      <bottom/>
      <diagonal/>
    </border>
    <border>
      <left style="thin">
        <color auto="1"/>
      </left>
      <right style="medium">
        <color indexed="64"/>
      </right>
      <top/>
      <bottom/>
      <diagonal/>
    </border>
    <border>
      <left style="thin">
        <color auto="1"/>
      </left>
      <right style="medium">
        <color indexed="64"/>
      </right>
      <top/>
      <bottom style="hair">
        <color auto="1"/>
      </bottom>
      <diagonal/>
    </border>
    <border>
      <left style="hair">
        <color auto="1"/>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indexed="64"/>
      </left>
      <right style="medium">
        <color auto="1"/>
      </right>
      <top style="medium">
        <color indexed="64"/>
      </top>
      <bottom style="hair">
        <color indexed="64"/>
      </bottom>
      <diagonal/>
    </border>
    <border>
      <left style="thin">
        <color indexed="64"/>
      </left>
      <right style="medium">
        <color auto="1"/>
      </right>
      <top style="hair">
        <color indexed="64"/>
      </top>
      <bottom style="hair">
        <color indexed="64"/>
      </bottom>
      <diagonal/>
    </border>
    <border>
      <left style="thin">
        <color indexed="64"/>
      </left>
      <right style="medium">
        <color auto="1"/>
      </right>
      <top style="hair">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style="hair">
        <color auto="1"/>
      </right>
      <top style="hair">
        <color auto="1"/>
      </top>
      <bottom/>
      <diagonal/>
    </border>
    <border>
      <left style="thin">
        <color auto="1"/>
      </left>
      <right/>
      <top style="hair">
        <color indexed="64"/>
      </top>
      <bottom style="hair">
        <color indexed="64"/>
      </bottom>
      <diagonal/>
    </border>
    <border>
      <left/>
      <right style="thin">
        <color auto="1"/>
      </right>
      <top style="hair">
        <color auto="1"/>
      </top>
      <bottom style="hair">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auto="1"/>
      </right>
      <top/>
      <bottom style="hair">
        <color auto="1"/>
      </bottom>
      <diagonal/>
    </border>
    <border>
      <left style="thick">
        <color auto="1"/>
      </left>
      <right/>
      <top/>
      <bottom style="hair">
        <color auto="1"/>
      </bottom>
      <diagonal/>
    </border>
    <border>
      <left style="thick">
        <color indexed="64"/>
      </left>
      <right/>
      <top style="hair">
        <color auto="1"/>
      </top>
      <bottom/>
      <diagonal/>
    </border>
    <border>
      <left/>
      <right style="thick">
        <color indexed="64"/>
      </right>
      <top style="hair">
        <color auto="1"/>
      </top>
      <bottom/>
      <diagonal/>
    </border>
    <border>
      <left/>
      <right style="medium">
        <color auto="1"/>
      </right>
      <top style="thin">
        <color indexed="64"/>
      </top>
      <bottom style="thin">
        <color indexed="64"/>
      </bottom>
      <diagonal/>
    </border>
    <border>
      <left style="hair">
        <color indexed="64"/>
      </left>
      <right/>
      <top/>
      <bottom style="hair">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style="thin">
        <color indexed="64"/>
      </top>
      <bottom style="hair">
        <color indexed="64"/>
      </bottom>
      <diagonal/>
    </border>
    <border>
      <left/>
      <right style="thick">
        <color indexed="64"/>
      </right>
      <top style="thin">
        <color indexed="64"/>
      </top>
      <bottom style="hair">
        <color indexed="64"/>
      </bottom>
      <diagonal/>
    </border>
    <border>
      <left style="thick">
        <color indexed="64"/>
      </left>
      <right/>
      <top style="hair">
        <color indexed="64"/>
      </top>
      <bottom style="hair">
        <color indexed="64"/>
      </bottom>
      <diagonal/>
    </border>
    <border>
      <left/>
      <right style="thick">
        <color indexed="64"/>
      </right>
      <top style="hair">
        <color indexed="64"/>
      </top>
      <bottom style="hair">
        <color indexed="64"/>
      </bottom>
      <diagonal/>
    </border>
    <border>
      <left style="thick">
        <color indexed="64"/>
      </left>
      <right/>
      <top style="hair">
        <color indexed="64"/>
      </top>
      <bottom style="thick">
        <color indexed="64"/>
      </bottom>
      <diagonal/>
    </border>
    <border>
      <left/>
      <right/>
      <top style="hair">
        <color indexed="64"/>
      </top>
      <bottom style="thick">
        <color indexed="64"/>
      </bottom>
      <diagonal/>
    </border>
    <border>
      <left/>
      <right style="thick">
        <color indexed="64"/>
      </right>
      <top style="hair">
        <color indexed="64"/>
      </top>
      <bottom style="thick">
        <color indexed="64"/>
      </bottom>
      <diagonal/>
    </border>
    <border>
      <left/>
      <right style="hair">
        <color indexed="64"/>
      </right>
      <top style="hair">
        <color indexed="64"/>
      </top>
      <bottom style="thick">
        <color indexed="64"/>
      </bottom>
      <diagonal/>
    </border>
    <border>
      <left/>
      <right/>
      <top/>
      <bottom style="medium">
        <color indexed="64"/>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style="hair">
        <color auto="1"/>
      </right>
      <top style="hair">
        <color auto="1"/>
      </top>
      <bottom style="medium">
        <color auto="1"/>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bottom style="thin">
        <color auto="1"/>
      </bottom>
      <diagonal/>
    </border>
    <border>
      <left style="thin">
        <color auto="1"/>
      </left>
      <right/>
      <top/>
      <bottom style="hair">
        <color auto="1"/>
      </bottom>
      <diagonal/>
    </border>
    <border>
      <left/>
      <right style="thin">
        <color auto="1"/>
      </right>
      <top/>
      <bottom style="hair">
        <color auto="1"/>
      </bottom>
      <diagonal/>
    </border>
  </borders>
  <cellStyleXfs count="3">
    <xf numFmtId="0" fontId="0" fillId="0" borderId="0"/>
    <xf numFmtId="43" fontId="10" fillId="0" borderId="0" applyFont="0" applyFill="0" applyBorder="0" applyAlignment="0" applyProtection="0"/>
    <xf numFmtId="0" fontId="13" fillId="0" borderId="0" applyNumberFormat="0" applyFill="0" applyBorder="0" applyAlignment="0" applyProtection="0"/>
  </cellStyleXfs>
  <cellXfs count="740">
    <xf numFmtId="0" fontId="0" fillId="0" borderId="0" xfId="0"/>
    <xf numFmtId="0" fontId="5" fillId="0" borderId="0" xfId="0" applyFont="1"/>
    <xf numFmtId="0" fontId="5" fillId="0" borderId="2" xfId="0" applyFont="1" applyBorder="1"/>
    <xf numFmtId="0" fontId="5" fillId="0" borderId="1" xfId="0" applyFont="1" applyBorder="1"/>
    <xf numFmtId="0" fontId="5" fillId="0" borderId="3" xfId="0" applyFont="1" applyBorder="1"/>
    <xf numFmtId="0" fontId="3" fillId="0" borderId="1" xfId="0" applyFont="1" applyBorder="1"/>
    <xf numFmtId="0" fontId="6" fillId="0" borderId="2" xfId="0" applyFont="1" applyBorder="1"/>
    <xf numFmtId="0" fontId="6" fillId="0" borderId="1" xfId="0" applyFont="1" applyBorder="1"/>
    <xf numFmtId="0" fontId="6" fillId="0" borderId="3" xfId="0" applyFont="1" applyBorder="1"/>
    <xf numFmtId="0" fontId="5" fillId="0" borderId="3" xfId="0" quotePrefix="1" applyFont="1" applyBorder="1"/>
    <xf numFmtId="0" fontId="5" fillId="0" borderId="2" xfId="0" applyFont="1" applyBorder="1" applyAlignment="1">
      <alignment wrapText="1"/>
    </xf>
    <xf numFmtId="0" fontId="5" fillId="0" borderId="1" xfId="0" applyFont="1" applyBorder="1" applyAlignment="1">
      <alignment wrapText="1"/>
    </xf>
    <xf numFmtId="0" fontId="5" fillId="0" borderId="3" xfId="0" applyFont="1" applyBorder="1" applyAlignment="1">
      <alignment wrapText="1"/>
    </xf>
    <xf numFmtId="0" fontId="5" fillId="0" borderId="5" xfId="0" applyFont="1" applyBorder="1"/>
    <xf numFmtId="0" fontId="5" fillId="0" borderId="6" xfId="0" applyFont="1" applyBorder="1"/>
    <xf numFmtId="0" fontId="5" fillId="0" borderId="7" xfId="0" applyFont="1" applyBorder="1"/>
    <xf numFmtId="0" fontId="3" fillId="2" borderId="8" xfId="0" applyFont="1" applyFill="1" applyBorder="1"/>
    <xf numFmtId="0" fontId="3" fillId="2" borderId="9" xfId="0" applyFont="1" applyFill="1" applyBorder="1"/>
    <xf numFmtId="0" fontId="3" fillId="2" borderId="10" xfId="0" applyFont="1" applyFill="1" applyBorder="1"/>
    <xf numFmtId="0" fontId="5" fillId="0" borderId="11" xfId="0" applyFont="1" applyBorder="1"/>
    <xf numFmtId="0" fontId="5" fillId="0" borderId="12" xfId="0" applyFont="1" applyBorder="1"/>
    <xf numFmtId="0" fontId="5" fillId="0" borderId="13" xfId="0" applyFont="1" applyBorder="1"/>
    <xf numFmtId="0" fontId="5" fillId="0" borderId="22" xfId="0" applyFont="1" applyBorder="1"/>
    <xf numFmtId="0" fontId="5" fillId="0" borderId="23" xfId="0" applyFont="1" applyBorder="1"/>
    <xf numFmtId="0" fontId="5" fillId="0" borderId="26" xfId="0" applyFont="1" applyBorder="1"/>
    <xf numFmtId="0" fontId="5" fillId="0" borderId="28" xfId="0" applyFont="1" applyBorder="1"/>
    <xf numFmtId="0" fontId="5" fillId="0" borderId="27" xfId="0" applyFont="1" applyBorder="1" applyAlignment="1"/>
    <xf numFmtId="0" fontId="5" fillId="0" borderId="24" xfId="0" applyFont="1" applyBorder="1" applyAlignment="1"/>
    <xf numFmtId="0" fontId="5" fillId="0" borderId="25" xfId="0" applyFont="1" applyBorder="1" applyAlignment="1"/>
    <xf numFmtId="0" fontId="7" fillId="2" borderId="29" xfId="0" applyFont="1" applyFill="1" applyBorder="1"/>
    <xf numFmtId="0" fontId="3" fillId="2" borderId="30" xfId="0" applyFont="1" applyFill="1" applyBorder="1"/>
    <xf numFmtId="0" fontId="5" fillId="0" borderId="24" xfId="0" applyFont="1" applyBorder="1"/>
    <xf numFmtId="0" fontId="5" fillId="0" borderId="31" xfId="0" applyFont="1" applyBorder="1"/>
    <xf numFmtId="0" fontId="5" fillId="0" borderId="0" xfId="0" applyFont="1" applyFill="1" applyBorder="1"/>
    <xf numFmtId="0" fontId="3" fillId="3" borderId="37" xfId="0" applyFont="1" applyFill="1" applyBorder="1"/>
    <xf numFmtId="0" fontId="3" fillId="3" borderId="38" xfId="0" applyFont="1" applyFill="1" applyBorder="1"/>
    <xf numFmtId="0" fontId="5" fillId="0" borderId="7" xfId="0" applyFont="1" applyBorder="1" applyAlignment="1">
      <alignment horizontal="center"/>
    </xf>
    <xf numFmtId="0" fontId="5" fillId="0" borderId="3" xfId="0" applyFont="1" applyBorder="1" applyAlignment="1">
      <alignment horizontal="center"/>
    </xf>
    <xf numFmtId="0" fontId="5" fillId="0" borderId="32" xfId="0" applyFont="1" applyBorder="1" applyAlignment="1">
      <alignment horizontal="center"/>
    </xf>
    <xf numFmtId="0" fontId="5" fillId="3" borderId="38" xfId="0" applyFont="1" applyFill="1" applyBorder="1"/>
    <xf numFmtId="0" fontId="5" fillId="0" borderId="39" xfId="0" applyFont="1" applyBorder="1" applyAlignment="1">
      <alignment horizontal="center"/>
    </xf>
    <xf numFmtId="0" fontId="5" fillId="0" borderId="27" xfId="0" applyFont="1" applyBorder="1" applyAlignment="1">
      <alignment horizontal="center"/>
    </xf>
    <xf numFmtId="0" fontId="5" fillId="0" borderId="20" xfId="0" applyFont="1" applyBorder="1"/>
    <xf numFmtId="0" fontId="5" fillId="0" borderId="27" xfId="0" quotePrefix="1" applyFont="1" applyFill="1" applyBorder="1" applyAlignment="1">
      <alignment horizontal="center"/>
    </xf>
    <xf numFmtId="0" fontId="5" fillId="0" borderId="33" xfId="0" applyFont="1" applyFill="1" applyBorder="1"/>
    <xf numFmtId="0" fontId="5" fillId="0" borderId="39" xfId="0" applyFont="1" applyBorder="1"/>
    <xf numFmtId="0" fontId="3" fillId="2" borderId="4" xfId="0" applyFont="1" applyFill="1" applyBorder="1"/>
    <xf numFmtId="0" fontId="5" fillId="0" borderId="32" xfId="0" applyFont="1" applyBorder="1"/>
    <xf numFmtId="0" fontId="5" fillId="0" borderId="31" xfId="0" quotePrefix="1" applyFont="1" applyBorder="1"/>
    <xf numFmtId="0" fontId="5" fillId="0" borderId="24" xfId="0" applyFont="1" applyBorder="1" applyAlignment="1">
      <alignment wrapText="1"/>
    </xf>
    <xf numFmtId="0" fontId="5" fillId="3" borderId="42" xfId="0" applyFont="1" applyFill="1" applyBorder="1"/>
    <xf numFmtId="0" fontId="5" fillId="0" borderId="49" xfId="0" applyFont="1" applyBorder="1"/>
    <xf numFmtId="0" fontId="8" fillId="0" borderId="1" xfId="0" applyFont="1" applyBorder="1"/>
    <xf numFmtId="0" fontId="5" fillId="0" borderId="50" xfId="0" applyFont="1" applyBorder="1"/>
    <xf numFmtId="0" fontId="5" fillId="0" borderId="52" xfId="0" applyFont="1" applyBorder="1" applyAlignment="1">
      <alignment horizontal="left"/>
    </xf>
    <xf numFmtId="0" fontId="5" fillId="0" borderId="24" xfId="0" applyFont="1" applyBorder="1" applyAlignment="1">
      <alignment horizontal="left"/>
    </xf>
    <xf numFmtId="0" fontId="5" fillId="0" borderId="25" xfId="0" applyFont="1" applyBorder="1" applyAlignment="1">
      <alignment horizontal="left"/>
    </xf>
    <xf numFmtId="0" fontId="3" fillId="3" borderId="4" xfId="0" applyFont="1" applyFill="1" applyBorder="1"/>
    <xf numFmtId="0" fontId="5" fillId="0" borderId="27" xfId="0" applyFont="1" applyBorder="1" applyAlignment="1">
      <alignment horizontal="left"/>
    </xf>
    <xf numFmtId="0" fontId="3" fillId="0" borderId="3" xfId="0" applyFont="1" applyBorder="1"/>
    <xf numFmtId="0" fontId="9" fillId="2" borderId="14" xfId="0" applyFont="1" applyFill="1" applyBorder="1" applyProtection="1">
      <protection hidden="1"/>
    </xf>
    <xf numFmtId="0" fontId="9" fillId="2" borderId="0" xfId="0" applyFont="1" applyFill="1" applyBorder="1" applyProtection="1">
      <protection hidden="1"/>
    </xf>
    <xf numFmtId="0" fontId="11" fillId="2" borderId="0" xfId="0" applyFont="1" applyFill="1" applyBorder="1" applyAlignment="1" applyProtection="1">
      <alignment horizontal="right" vertical="top"/>
      <protection hidden="1"/>
    </xf>
    <xf numFmtId="0" fontId="9" fillId="2" borderId="0" xfId="0" applyFont="1" applyFill="1" applyBorder="1" applyAlignment="1" applyProtection="1">
      <alignment horizontal="left"/>
      <protection hidden="1"/>
    </xf>
    <xf numFmtId="0" fontId="11" fillId="2" borderId="0" xfId="0" applyFont="1" applyFill="1" applyBorder="1" applyAlignment="1" applyProtection="1">
      <alignment horizontal="right" textRotation="90"/>
      <protection hidden="1"/>
    </xf>
    <xf numFmtId="0" fontId="17" fillId="2" borderId="0" xfId="0" applyFont="1" applyFill="1" applyBorder="1" applyAlignment="1" applyProtection="1">
      <protection hidden="1"/>
    </xf>
    <xf numFmtId="0" fontId="17" fillId="2" borderId="41" xfId="0" applyFont="1" applyFill="1" applyBorder="1" applyAlignment="1" applyProtection="1">
      <protection hidden="1"/>
    </xf>
    <xf numFmtId="0" fontId="11" fillId="2" borderId="0" xfId="0" applyFont="1" applyFill="1" applyBorder="1" applyAlignment="1" applyProtection="1">
      <alignment horizontal="center"/>
      <protection hidden="1"/>
    </xf>
    <xf numFmtId="0" fontId="9" fillId="2" borderId="17" xfId="0" applyFont="1" applyFill="1" applyBorder="1" applyProtection="1">
      <protection hidden="1"/>
    </xf>
    <xf numFmtId="0" fontId="9" fillId="2" borderId="15" xfId="0" applyFont="1" applyFill="1" applyBorder="1" applyAlignment="1" applyProtection="1">
      <alignment horizontal="center"/>
      <protection hidden="1"/>
    </xf>
    <xf numFmtId="0" fontId="9" fillId="2" borderId="0" xfId="0" applyFont="1" applyFill="1" applyBorder="1" applyAlignment="1" applyProtection="1">
      <alignment horizontal="center"/>
      <protection hidden="1"/>
    </xf>
    <xf numFmtId="0" fontId="9" fillId="2" borderId="16" xfId="0" applyFont="1" applyFill="1" applyBorder="1" applyAlignment="1" applyProtection="1">
      <alignment horizontal="center"/>
      <protection hidden="1"/>
    </xf>
    <xf numFmtId="0" fontId="9" fillId="2" borderId="0" xfId="0" applyFont="1" applyFill="1" applyBorder="1" applyAlignment="1" applyProtection="1">
      <alignment vertical="center"/>
      <protection hidden="1"/>
    </xf>
    <xf numFmtId="0" fontId="11" fillId="2" borderId="0" xfId="0" applyFont="1" applyFill="1" applyBorder="1" applyAlignment="1" applyProtection="1">
      <alignment vertical="center"/>
      <protection hidden="1"/>
    </xf>
    <xf numFmtId="0" fontId="19" fillId="2" borderId="0" xfId="0" applyFont="1" applyFill="1" applyBorder="1" applyAlignment="1" applyProtection="1">
      <alignment horizontal="left" vertical="center"/>
      <protection hidden="1"/>
    </xf>
    <xf numFmtId="0" fontId="11" fillId="2" borderId="0" xfId="0" applyFont="1" applyFill="1" applyBorder="1" applyAlignment="1" applyProtection="1">
      <alignment horizontal="right" vertical="center"/>
      <protection hidden="1"/>
    </xf>
    <xf numFmtId="0" fontId="20" fillId="2" borderId="0" xfId="0" applyFont="1" applyFill="1" applyBorder="1" applyAlignment="1" applyProtection="1">
      <alignment horizontal="left" vertical="center"/>
      <protection hidden="1"/>
    </xf>
    <xf numFmtId="0" fontId="11" fillId="2" borderId="0" xfId="0" applyFont="1" applyFill="1" applyBorder="1" applyAlignment="1" applyProtection="1">
      <alignment vertical="center" textRotation="90"/>
      <protection hidden="1"/>
    </xf>
    <xf numFmtId="0" fontId="9" fillId="2" borderId="0" xfId="0" applyFont="1" applyFill="1" applyBorder="1" applyAlignment="1" applyProtection="1">
      <alignment vertical="center" textRotation="90"/>
      <protection hidden="1"/>
    </xf>
    <xf numFmtId="0" fontId="19" fillId="2" borderId="0" xfId="0" applyFont="1" applyFill="1" applyBorder="1" applyAlignment="1" applyProtection="1">
      <alignment vertical="center"/>
      <protection hidden="1"/>
    </xf>
    <xf numFmtId="0" fontId="17" fillId="2" borderId="0" xfId="0" applyFont="1" applyFill="1" applyBorder="1" applyAlignment="1" applyProtection="1">
      <alignment horizontal="right" vertical="center"/>
      <protection hidden="1"/>
    </xf>
    <xf numFmtId="0" fontId="14" fillId="2" borderId="0" xfId="0" applyFont="1" applyFill="1" applyBorder="1" applyAlignment="1" applyProtection="1">
      <alignment vertical="center"/>
      <protection hidden="1"/>
    </xf>
    <xf numFmtId="0" fontId="9" fillId="2" borderId="61" xfId="0" applyFont="1" applyFill="1" applyBorder="1" applyProtection="1">
      <protection hidden="1"/>
    </xf>
    <xf numFmtId="0" fontId="11" fillId="2" borderId="16" xfId="0" applyFont="1" applyFill="1" applyBorder="1" applyAlignment="1" applyProtection="1">
      <alignment horizontal="right" vertical="top"/>
      <protection hidden="1"/>
    </xf>
    <xf numFmtId="0" fontId="9" fillId="2" borderId="18" xfId="0" applyFont="1" applyFill="1" applyBorder="1" applyProtection="1">
      <protection hidden="1"/>
    </xf>
    <xf numFmtId="0" fontId="3" fillId="3" borderId="42" xfId="0" applyFont="1" applyFill="1" applyBorder="1"/>
    <xf numFmtId="0" fontId="5" fillId="0" borderId="36" xfId="0" applyFont="1" applyBorder="1"/>
    <xf numFmtId="0" fontId="5" fillId="0" borderId="52" xfId="0" applyFont="1" applyBorder="1"/>
    <xf numFmtId="0" fontId="5" fillId="0" borderId="33" xfId="0" applyFont="1" applyBorder="1"/>
    <xf numFmtId="0" fontId="3" fillId="0" borderId="0" xfId="0" applyFont="1" applyFill="1" applyBorder="1"/>
    <xf numFmtId="0" fontId="11" fillId="2" borderId="0" xfId="0" applyFont="1" applyFill="1" applyBorder="1" applyAlignment="1" applyProtection="1">
      <alignment horizontal="right"/>
      <protection hidden="1"/>
    </xf>
    <xf numFmtId="0" fontId="11" fillId="2" borderId="62" xfId="0" applyFont="1" applyFill="1" applyBorder="1" applyAlignment="1" applyProtection="1">
      <alignment horizontal="center"/>
      <protection hidden="1"/>
    </xf>
    <xf numFmtId="0" fontId="11" fillId="2" borderId="21" xfId="0" applyFont="1" applyFill="1" applyBorder="1" applyAlignment="1" applyProtection="1">
      <alignment horizontal="center"/>
      <protection hidden="1"/>
    </xf>
    <xf numFmtId="0" fontId="11" fillId="2" borderId="63" xfId="0" applyFont="1" applyFill="1" applyBorder="1" applyAlignment="1" applyProtection="1">
      <alignment horizontal="center"/>
      <protection hidden="1"/>
    </xf>
    <xf numFmtId="0" fontId="24" fillId="2" borderId="15" xfId="0" applyFont="1" applyFill="1" applyBorder="1" applyAlignment="1" applyProtection="1">
      <alignment textRotation="90"/>
      <protection hidden="1"/>
    </xf>
    <xf numFmtId="0" fontId="9"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left" vertical="center"/>
      <protection hidden="1"/>
    </xf>
    <xf numFmtId="0" fontId="11" fillId="2" borderId="0" xfId="0" applyFont="1" applyFill="1" applyBorder="1" applyAlignment="1" applyProtection="1">
      <alignment horizontal="center" vertical="center"/>
      <protection hidden="1"/>
    </xf>
    <xf numFmtId="0" fontId="5" fillId="0" borderId="64" xfId="0" applyFont="1" applyBorder="1"/>
    <xf numFmtId="0" fontId="5" fillId="0" borderId="47" xfId="0" applyFont="1" applyBorder="1"/>
    <xf numFmtId="0" fontId="5" fillId="0" borderId="65" xfId="0" applyFont="1" applyBorder="1"/>
    <xf numFmtId="0" fontId="5" fillId="0" borderId="51" xfId="0" applyFont="1" applyBorder="1"/>
    <xf numFmtId="0" fontId="5" fillId="0" borderId="66" xfId="0" applyFont="1" applyBorder="1"/>
    <xf numFmtId="0" fontId="5" fillId="0" borderId="46" xfId="0" applyFont="1" applyBorder="1"/>
    <xf numFmtId="0" fontId="5" fillId="0" borderId="48" xfId="0" applyFont="1" applyBorder="1"/>
    <xf numFmtId="0" fontId="5" fillId="0" borderId="34" xfId="0" applyFont="1" applyBorder="1"/>
    <xf numFmtId="0" fontId="5" fillId="0" borderId="68" xfId="0" applyFont="1" applyBorder="1" applyAlignment="1">
      <alignment horizontal="center"/>
    </xf>
    <xf numFmtId="0" fontId="9" fillId="2" borderId="15" xfId="0" applyFont="1" applyFill="1" applyBorder="1" applyProtection="1">
      <protection hidden="1"/>
    </xf>
    <xf numFmtId="0" fontId="9" fillId="2" borderId="18" xfId="0" applyFont="1" applyFill="1" applyBorder="1" applyAlignment="1" applyProtection="1">
      <alignment horizontal="center"/>
      <protection hidden="1"/>
    </xf>
    <xf numFmtId="0" fontId="9" fillId="2" borderId="16" xfId="0" applyFont="1" applyFill="1" applyBorder="1" applyProtection="1">
      <protection hidden="1"/>
    </xf>
    <xf numFmtId="0" fontId="9" fillId="2" borderId="56" xfId="0" applyFont="1" applyFill="1" applyBorder="1" applyProtection="1">
      <protection hidden="1"/>
    </xf>
    <xf numFmtId="0" fontId="9" fillId="2" borderId="19" xfId="0" applyFont="1" applyFill="1" applyBorder="1" applyProtection="1">
      <protection hidden="1"/>
    </xf>
    <xf numFmtId="0" fontId="9" fillId="2" borderId="56" xfId="0" applyFont="1" applyFill="1" applyBorder="1" applyAlignment="1" applyProtection="1">
      <alignment horizontal="left"/>
      <protection hidden="1"/>
    </xf>
    <xf numFmtId="0" fontId="9" fillId="2" borderId="19" xfId="0" applyFont="1" applyFill="1" applyBorder="1" applyAlignment="1" applyProtection="1">
      <alignment horizontal="left"/>
      <protection hidden="1"/>
    </xf>
    <xf numFmtId="0" fontId="9" fillId="2" borderId="15" xfId="0" applyFont="1" applyFill="1" applyBorder="1" applyAlignment="1" applyProtection="1">
      <alignment vertical="center"/>
      <protection hidden="1"/>
    </xf>
    <xf numFmtId="0" fontId="9" fillId="2" borderId="61" xfId="0" applyFont="1" applyFill="1" applyBorder="1" applyAlignment="1" applyProtection="1">
      <alignment vertical="center"/>
      <protection hidden="1"/>
    </xf>
    <xf numFmtId="0" fontId="14" fillId="2" borderId="61" xfId="0" applyFont="1" applyFill="1" applyBorder="1" applyAlignment="1" applyProtection="1">
      <alignment vertical="center"/>
      <protection hidden="1"/>
    </xf>
    <xf numFmtId="0" fontId="9" fillId="2" borderId="14" xfId="0" applyFont="1" applyFill="1" applyBorder="1" applyAlignment="1" applyProtection="1">
      <alignment vertical="center"/>
      <protection hidden="1"/>
    </xf>
    <xf numFmtId="0" fontId="9" fillId="2" borderId="56" xfId="0" applyFont="1" applyFill="1" applyBorder="1" applyAlignment="1" applyProtection="1">
      <alignment vertical="center"/>
      <protection hidden="1"/>
    </xf>
    <xf numFmtId="0" fontId="9" fillId="2" borderId="17" xfId="0" applyFont="1" applyFill="1" applyBorder="1" applyAlignment="1" applyProtection="1">
      <alignment vertical="center"/>
      <protection hidden="1"/>
    </xf>
    <xf numFmtId="0" fontId="9" fillId="2" borderId="18" xfId="0" applyFont="1" applyFill="1" applyBorder="1" applyAlignment="1" applyProtection="1">
      <alignment vertical="center"/>
      <protection hidden="1"/>
    </xf>
    <xf numFmtId="0" fontId="9" fillId="2" borderId="15" xfId="0" applyFont="1" applyFill="1" applyBorder="1" applyAlignment="1" applyProtection="1">
      <protection hidden="1"/>
    </xf>
    <xf numFmtId="0" fontId="9" fillId="2" borderId="61" xfId="0" applyFont="1" applyFill="1" applyBorder="1" applyAlignment="1" applyProtection="1">
      <protection hidden="1"/>
    </xf>
    <xf numFmtId="0" fontId="14" fillId="2" borderId="61" xfId="0" applyFont="1" applyFill="1" applyBorder="1" applyAlignment="1" applyProtection="1">
      <protection hidden="1"/>
    </xf>
    <xf numFmtId="0" fontId="9" fillId="2" borderId="16" xfId="0" applyFont="1" applyFill="1" applyBorder="1" applyAlignment="1" applyProtection="1">
      <protection hidden="1"/>
    </xf>
    <xf numFmtId="0" fontId="11" fillId="2" borderId="15" xfId="0" applyFont="1" applyFill="1" applyBorder="1" applyAlignment="1" applyProtection="1">
      <alignment horizontal="left"/>
      <protection hidden="1"/>
    </xf>
    <xf numFmtId="0" fontId="9" fillId="2" borderId="14" xfId="0" applyFont="1" applyFill="1" applyBorder="1" applyAlignment="1" applyProtection="1">
      <protection hidden="1"/>
    </xf>
    <xf numFmtId="0" fontId="9" fillId="2" borderId="0" xfId="0" applyFont="1" applyFill="1" applyBorder="1" applyAlignment="1" applyProtection="1">
      <protection hidden="1"/>
    </xf>
    <xf numFmtId="0" fontId="9" fillId="2" borderId="56" xfId="0" applyFont="1" applyFill="1" applyBorder="1" applyAlignment="1" applyProtection="1">
      <protection hidden="1"/>
    </xf>
    <xf numFmtId="0" fontId="11" fillId="2" borderId="14" xfId="0" applyFont="1" applyFill="1" applyBorder="1" applyAlignment="1" applyProtection="1">
      <alignment horizontal="left"/>
      <protection hidden="1"/>
    </xf>
    <xf numFmtId="0" fontId="9" fillId="2" borderId="17" xfId="0" applyFont="1" applyFill="1" applyBorder="1" applyAlignment="1" applyProtection="1">
      <protection hidden="1"/>
    </xf>
    <xf numFmtId="0" fontId="9" fillId="2" borderId="18" xfId="0" applyFont="1" applyFill="1" applyBorder="1" applyAlignment="1" applyProtection="1">
      <protection hidden="1"/>
    </xf>
    <xf numFmtId="0" fontId="9" fillId="2" borderId="19" xfId="0" applyFont="1" applyFill="1" applyBorder="1" applyAlignment="1" applyProtection="1">
      <protection hidden="1"/>
    </xf>
    <xf numFmtId="0" fontId="9" fillId="2" borderId="61" xfId="0" applyFont="1" applyFill="1" applyBorder="1" applyAlignment="1" applyProtection="1">
      <alignment horizontal="left"/>
      <protection hidden="1"/>
    </xf>
    <xf numFmtId="0" fontId="9" fillId="2" borderId="61" xfId="0" applyFont="1" applyFill="1" applyBorder="1" applyAlignment="1" applyProtection="1">
      <alignment horizontal="left" vertical="center"/>
      <protection hidden="1"/>
    </xf>
    <xf numFmtId="0" fontId="9" fillId="2" borderId="18" xfId="0" applyFont="1" applyFill="1" applyBorder="1" applyAlignment="1" applyProtection="1">
      <alignment horizontal="left" vertical="center"/>
      <protection hidden="1"/>
    </xf>
    <xf numFmtId="0" fontId="9" fillId="2" borderId="0" xfId="0" applyFont="1" applyFill="1" applyProtection="1">
      <protection hidden="1"/>
    </xf>
    <xf numFmtId="0" fontId="25" fillId="2" borderId="18" xfId="0" applyFont="1" applyFill="1" applyBorder="1" applyAlignment="1" applyProtection="1">
      <alignment horizontal="right"/>
      <protection hidden="1"/>
    </xf>
    <xf numFmtId="0" fontId="25" fillId="2" borderId="18" xfId="0" applyFont="1" applyFill="1" applyBorder="1" applyAlignment="1" applyProtection="1">
      <alignment horizontal="right" vertical="top"/>
      <protection hidden="1"/>
    </xf>
    <xf numFmtId="49" fontId="9" fillId="2" borderId="16" xfId="0" applyNumberFormat="1" applyFont="1" applyFill="1" applyBorder="1" applyAlignment="1" applyProtection="1">
      <protection hidden="1"/>
    </xf>
    <xf numFmtId="49" fontId="9" fillId="2" borderId="61" xfId="0" applyNumberFormat="1" applyFont="1" applyFill="1" applyBorder="1" applyAlignment="1" applyProtection="1">
      <protection hidden="1"/>
    </xf>
    <xf numFmtId="0" fontId="12" fillId="2" borderId="0" xfId="0" applyFont="1" applyFill="1" applyBorder="1" applyAlignment="1" applyProtection="1">
      <protection hidden="1"/>
    </xf>
    <xf numFmtId="14" fontId="12" fillId="2" borderId="56" xfId="0" applyNumberFormat="1" applyFont="1" applyFill="1" applyBorder="1" applyAlignment="1" applyProtection="1">
      <protection hidden="1"/>
    </xf>
    <xf numFmtId="14" fontId="12" fillId="2" borderId="0" xfId="0" applyNumberFormat="1" applyFont="1" applyFill="1" applyBorder="1" applyAlignment="1" applyProtection="1">
      <protection hidden="1"/>
    </xf>
    <xf numFmtId="49" fontId="12" fillId="2" borderId="0" xfId="0" applyNumberFormat="1" applyFont="1" applyFill="1" applyBorder="1" applyAlignment="1" applyProtection="1">
      <alignment vertical="top"/>
      <protection hidden="1"/>
    </xf>
    <xf numFmtId="1" fontId="12" fillId="2" borderId="0" xfId="0" applyNumberFormat="1" applyFont="1" applyFill="1" applyBorder="1" applyAlignment="1" applyProtection="1">
      <alignment vertical="top"/>
      <protection hidden="1"/>
    </xf>
    <xf numFmtId="0" fontId="16" fillId="2" borderId="0" xfId="0" applyFont="1" applyFill="1" applyBorder="1" applyAlignment="1" applyProtection="1">
      <alignment horizontal="left" vertical="center"/>
      <protection hidden="1"/>
    </xf>
    <xf numFmtId="0" fontId="12" fillId="2" borderId="0" xfId="0" applyFont="1" applyFill="1" applyBorder="1" applyAlignment="1" applyProtection="1">
      <alignment vertical="center"/>
      <protection hidden="1"/>
    </xf>
    <xf numFmtId="0" fontId="19" fillId="2" borderId="18" xfId="0" applyFont="1" applyFill="1" applyBorder="1" applyAlignment="1" applyProtection="1">
      <alignment vertical="center"/>
      <protection hidden="1"/>
    </xf>
    <xf numFmtId="0" fontId="14" fillId="2" borderId="0" xfId="0" applyFont="1" applyFill="1" applyBorder="1" applyProtection="1">
      <protection hidden="1"/>
    </xf>
    <xf numFmtId="0" fontId="11" fillId="2" borderId="0" xfId="0" applyFont="1" applyFill="1" applyBorder="1" applyProtection="1">
      <protection hidden="1"/>
    </xf>
    <xf numFmtId="0" fontId="28" fillId="4" borderId="69" xfId="0" applyFont="1" applyFill="1" applyBorder="1" applyAlignment="1" applyProtection="1">
      <alignment horizontal="center" vertical="center" shrinkToFit="1"/>
      <protection hidden="1"/>
    </xf>
    <xf numFmtId="0" fontId="17" fillId="2" borderId="18" xfId="0" applyFont="1" applyFill="1" applyBorder="1" applyAlignment="1" applyProtection="1">
      <alignment horizontal="right"/>
      <protection hidden="1"/>
    </xf>
    <xf numFmtId="0" fontId="22" fillId="2" borderId="0" xfId="0" applyFont="1" applyFill="1" applyProtection="1">
      <protection hidden="1"/>
    </xf>
    <xf numFmtId="0" fontId="9" fillId="2" borderId="0" xfId="0" applyFont="1" applyFill="1" applyAlignment="1" applyProtection="1">
      <alignment horizontal="left"/>
      <protection locked="0" hidden="1"/>
    </xf>
    <xf numFmtId="0" fontId="5" fillId="0" borderId="52" xfId="0" quotePrefix="1" applyFont="1" applyBorder="1" applyAlignment="1">
      <alignment horizontal="left"/>
    </xf>
    <xf numFmtId="49" fontId="24" fillId="2" borderId="0" xfId="0" applyNumberFormat="1" applyFont="1" applyFill="1" applyBorder="1" applyAlignment="1" applyProtection="1">
      <alignment horizontal="center"/>
      <protection locked="0" hidden="1"/>
    </xf>
    <xf numFmtId="0" fontId="24" fillId="2" borderId="0" xfId="0" quotePrefix="1" applyFont="1" applyFill="1" applyBorder="1" applyAlignment="1" applyProtection="1">
      <alignment vertical="center"/>
      <protection hidden="1"/>
    </xf>
    <xf numFmtId="0" fontId="3" fillId="3" borderId="84" xfId="0" applyFont="1" applyFill="1" applyBorder="1"/>
    <xf numFmtId="0" fontId="3" fillId="3" borderId="85" xfId="0" applyFont="1" applyFill="1" applyBorder="1"/>
    <xf numFmtId="0" fontId="3" fillId="3" borderId="86" xfId="0" applyFont="1" applyFill="1" applyBorder="1"/>
    <xf numFmtId="0" fontId="3" fillId="3" borderId="84" xfId="0" applyFont="1" applyFill="1" applyBorder="1" applyAlignment="1">
      <alignment horizontal="center" textRotation="90"/>
    </xf>
    <xf numFmtId="0" fontId="3" fillId="3" borderId="89" xfId="0" applyFont="1" applyFill="1" applyBorder="1" applyAlignment="1">
      <alignment horizontal="center" textRotation="90"/>
    </xf>
    <xf numFmtId="0" fontId="3" fillId="3" borderId="85" xfId="0" applyFont="1" applyFill="1" applyBorder="1" applyAlignment="1">
      <alignment horizontal="center" textRotation="90"/>
    </xf>
    <xf numFmtId="0" fontId="3" fillId="3" borderId="82" xfId="0" applyFont="1" applyFill="1" applyBorder="1"/>
    <xf numFmtId="0" fontId="5" fillId="0" borderId="82" xfId="0" applyFont="1" applyBorder="1" applyAlignment="1">
      <alignment vertical="top"/>
    </xf>
    <xf numFmtId="14" fontId="5" fillId="0" borderId="79" xfId="0" applyNumberFormat="1" applyFont="1" applyBorder="1" applyAlignment="1">
      <alignment vertical="top"/>
    </xf>
    <xf numFmtId="0" fontId="5" fillId="0" borderId="82" xfId="0" applyFont="1" applyBorder="1" applyAlignment="1">
      <alignment horizontal="center" vertical="center"/>
    </xf>
    <xf numFmtId="0" fontId="5" fillId="0" borderId="81" xfId="0" applyFont="1" applyBorder="1" applyAlignment="1">
      <alignment horizontal="center" vertical="center"/>
    </xf>
    <xf numFmtId="0" fontId="5" fillId="0" borderId="79" xfId="0" applyFont="1" applyBorder="1" applyAlignment="1">
      <alignment horizontal="center" vertical="center"/>
    </xf>
    <xf numFmtId="14" fontId="5" fillId="0" borderId="83" xfId="0" applyNumberFormat="1" applyFont="1" applyBorder="1" applyAlignment="1">
      <alignment vertical="top"/>
    </xf>
    <xf numFmtId="0" fontId="5" fillId="0" borderId="87" xfId="0" applyFont="1" applyBorder="1" applyAlignment="1">
      <alignment vertical="top" wrapText="1"/>
    </xf>
    <xf numFmtId="0" fontId="5" fillId="0" borderId="88" xfId="0" applyFont="1" applyBorder="1" applyAlignment="1">
      <alignment vertical="top" wrapText="1"/>
    </xf>
    <xf numFmtId="0" fontId="5" fillId="0" borderId="80" xfId="0" applyFont="1" applyBorder="1" applyAlignment="1">
      <alignment vertical="top" wrapText="1"/>
    </xf>
    <xf numFmtId="0" fontId="9" fillId="2" borderId="0" xfId="0" applyFont="1" applyFill="1" applyBorder="1" applyAlignment="1" applyProtection="1">
      <alignment vertical="top"/>
      <protection hidden="1"/>
    </xf>
    <xf numFmtId="0" fontId="5" fillId="0" borderId="42" xfId="0" applyFont="1" applyBorder="1"/>
    <xf numFmtId="0" fontId="5" fillId="0" borderId="38" xfId="0" applyFont="1" applyBorder="1" applyAlignment="1">
      <alignment horizontal="center" vertical="center"/>
    </xf>
    <xf numFmtId="0" fontId="11" fillId="2" borderId="18" xfId="0" applyFont="1" applyFill="1" applyBorder="1" applyAlignment="1" applyProtection="1">
      <alignment vertical="top"/>
      <protection hidden="1"/>
    </xf>
    <xf numFmtId="14" fontId="9" fillId="5" borderId="0" xfId="0" applyNumberFormat="1" applyFont="1" applyFill="1" applyBorder="1" applyAlignment="1" applyProtection="1">
      <alignment vertical="center"/>
      <protection locked="0"/>
    </xf>
    <xf numFmtId="0" fontId="5" fillId="0" borderId="25" xfId="0" applyFont="1" applyBorder="1"/>
    <xf numFmtId="0" fontId="5" fillId="0" borderId="27" xfId="0" applyFont="1" applyFill="1" applyBorder="1"/>
    <xf numFmtId="0" fontId="3" fillId="3" borderId="4" xfId="0" applyFont="1" applyFill="1" applyBorder="1" applyAlignment="1">
      <alignment wrapText="1"/>
    </xf>
    <xf numFmtId="0" fontId="14" fillId="2" borderId="0" xfId="0" applyFont="1" applyFill="1" applyBorder="1" applyAlignment="1" applyProtection="1">
      <protection hidden="1"/>
    </xf>
    <xf numFmtId="0" fontId="9" fillId="2" borderId="16" xfId="0" applyFont="1" applyFill="1" applyBorder="1" applyAlignment="1" applyProtection="1">
      <alignment horizontal="center" vertical="center"/>
      <protection locked="0" hidden="1"/>
    </xf>
    <xf numFmtId="0" fontId="14" fillId="5" borderId="0" xfId="0" applyFont="1" applyFill="1" applyBorder="1" applyAlignment="1" applyProtection="1">
      <protection hidden="1"/>
    </xf>
    <xf numFmtId="0" fontId="11" fillId="2" borderId="14" xfId="0" applyFont="1" applyFill="1" applyBorder="1" applyProtection="1">
      <protection hidden="1"/>
    </xf>
    <xf numFmtId="0" fontId="14" fillId="5" borderId="56" xfId="0" applyFont="1" applyFill="1" applyBorder="1" applyAlignment="1" applyProtection="1">
      <protection hidden="1"/>
    </xf>
    <xf numFmtId="0" fontId="31" fillId="0" borderId="23" xfId="0" applyFont="1" applyFill="1" applyBorder="1"/>
    <xf numFmtId="0" fontId="31" fillId="0" borderId="49" xfId="0" applyFont="1" applyFill="1" applyBorder="1"/>
    <xf numFmtId="0" fontId="31" fillId="0" borderId="39" xfId="0" applyFont="1" applyFill="1" applyBorder="1"/>
    <xf numFmtId="0" fontId="31" fillId="0" borderId="2" xfId="0" applyFont="1" applyFill="1" applyBorder="1"/>
    <xf numFmtId="0" fontId="31" fillId="0" borderId="3" xfId="0" applyFont="1" applyFill="1" applyBorder="1"/>
    <xf numFmtId="0" fontId="32" fillId="0" borderId="1" xfId="0" applyFont="1" applyFill="1" applyBorder="1"/>
    <xf numFmtId="0" fontId="31" fillId="0" borderId="3" xfId="0" applyFont="1" applyFill="1" applyBorder="1" applyAlignment="1">
      <alignment horizontal="right"/>
    </xf>
    <xf numFmtId="0" fontId="31" fillId="0" borderId="31" xfId="0" applyFont="1" applyFill="1" applyBorder="1"/>
    <xf numFmtId="0" fontId="31" fillId="0" borderId="50" xfId="0" applyFont="1" applyFill="1" applyBorder="1" applyAlignment="1">
      <alignment horizontal="right"/>
    </xf>
    <xf numFmtId="0" fontId="31" fillId="0" borderId="32" xfId="0" applyFont="1" applyFill="1" applyBorder="1"/>
    <xf numFmtId="0" fontId="9" fillId="2" borderId="17" xfId="0" applyFont="1" applyFill="1" applyBorder="1" applyAlignment="1" applyProtection="1">
      <alignment horizontal="left"/>
      <protection hidden="1"/>
    </xf>
    <xf numFmtId="0" fontId="9" fillId="2" borderId="15" xfId="0" applyFont="1" applyFill="1" applyBorder="1" applyAlignment="1" applyProtection="1">
      <alignment horizontal="left"/>
      <protection hidden="1"/>
    </xf>
    <xf numFmtId="0" fontId="9" fillId="2" borderId="95" xfId="0" applyFont="1" applyFill="1" applyBorder="1" applyProtection="1">
      <protection hidden="1"/>
    </xf>
    <xf numFmtId="0" fontId="22" fillId="2" borderId="17" xfId="0" applyFont="1" applyFill="1" applyBorder="1" applyProtection="1">
      <protection hidden="1"/>
    </xf>
    <xf numFmtId="0" fontId="22" fillId="2" borderId="18" xfId="0" applyFont="1" applyFill="1" applyBorder="1" applyProtection="1">
      <protection hidden="1"/>
    </xf>
    <xf numFmtId="0" fontId="5" fillId="0" borderId="49" xfId="0" quotePrefix="1" applyFont="1" applyBorder="1"/>
    <xf numFmtId="0" fontId="9" fillId="2" borderId="0" xfId="0" applyFont="1" applyFill="1" applyBorder="1" applyAlignment="1" applyProtection="1">
      <alignment vertical="center" shrinkToFit="1"/>
      <protection hidden="1"/>
    </xf>
    <xf numFmtId="0" fontId="9" fillId="2" borderId="0" xfId="0" applyFont="1" applyFill="1" applyAlignment="1" applyProtection="1">
      <alignment horizontal="right"/>
      <protection hidden="1"/>
    </xf>
    <xf numFmtId="0" fontId="9" fillId="2" borderId="0" xfId="0" applyFont="1" applyFill="1" applyAlignment="1" applyProtection="1">
      <protection hidden="1"/>
    </xf>
    <xf numFmtId="0" fontId="17" fillId="2" borderId="0" xfId="0" applyFont="1" applyFill="1" applyAlignment="1" applyProtection="1">
      <alignment horizontal="right" vertical="center"/>
      <protection hidden="1"/>
    </xf>
    <xf numFmtId="0" fontId="17" fillId="2" borderId="0" xfId="0" applyFont="1" applyFill="1" applyAlignment="1" applyProtection="1">
      <alignment horizontal="right"/>
      <protection hidden="1"/>
    </xf>
    <xf numFmtId="0" fontId="9" fillId="2" borderId="0" xfId="0" applyFont="1" applyFill="1" applyBorder="1" applyAlignment="1" applyProtection="1">
      <alignment horizontal="right"/>
      <protection hidden="1"/>
    </xf>
    <xf numFmtId="0" fontId="5" fillId="0" borderId="64" xfId="0" applyFont="1" applyBorder="1" applyAlignment="1">
      <alignment horizontal="center"/>
    </xf>
    <xf numFmtId="0" fontId="5" fillId="0" borderId="51" xfId="0" applyFont="1" applyBorder="1" applyAlignment="1">
      <alignment horizontal="center"/>
    </xf>
    <xf numFmtId="0" fontId="5" fillId="0" borderId="67" xfId="0" applyFont="1" applyBorder="1" applyAlignment="1">
      <alignment horizontal="center"/>
    </xf>
    <xf numFmtId="0" fontId="5" fillId="0" borderId="97" xfId="0" applyFont="1" applyBorder="1" applyAlignment="1">
      <alignment horizontal="center"/>
    </xf>
    <xf numFmtId="0" fontId="5" fillId="0" borderId="98" xfId="0" applyFont="1" applyBorder="1" applyAlignment="1">
      <alignment horizontal="center"/>
    </xf>
    <xf numFmtId="0" fontId="5" fillId="0" borderId="99" xfId="0" applyFont="1" applyBorder="1" applyAlignment="1">
      <alignment horizontal="center"/>
    </xf>
    <xf numFmtId="0" fontId="5" fillId="0" borderId="100" xfId="0" applyFont="1" applyBorder="1" applyAlignment="1">
      <alignment horizontal="center"/>
    </xf>
    <xf numFmtId="0" fontId="5" fillId="0" borderId="101" xfId="0" applyFont="1" applyBorder="1" applyAlignment="1">
      <alignment horizontal="center"/>
    </xf>
    <xf numFmtId="0" fontId="5" fillId="0" borderId="102" xfId="0" applyFont="1" applyBorder="1" applyAlignment="1">
      <alignment horizontal="center"/>
    </xf>
    <xf numFmtId="0" fontId="3" fillId="0" borderId="31" xfId="0" applyFont="1" applyBorder="1"/>
    <xf numFmtId="0" fontId="3" fillId="0" borderId="32" xfId="0" applyFont="1" applyBorder="1" applyAlignment="1">
      <alignment horizontal="center"/>
    </xf>
    <xf numFmtId="0" fontId="9" fillId="2" borderId="96" xfId="0" applyFont="1" applyFill="1" applyBorder="1" applyProtection="1">
      <protection hidden="1"/>
    </xf>
    <xf numFmtId="0" fontId="8" fillId="0" borderId="3" xfId="0" applyFont="1" applyBorder="1"/>
    <xf numFmtId="0" fontId="5" fillId="0" borderId="2" xfId="0" applyFont="1" applyFill="1" applyBorder="1"/>
    <xf numFmtId="0" fontId="5" fillId="0" borderId="1" xfId="0" applyFont="1" applyFill="1" applyBorder="1"/>
    <xf numFmtId="0" fontId="5" fillId="0" borderId="31" xfId="0" applyFont="1" applyFill="1" applyBorder="1"/>
    <xf numFmtId="0" fontId="5" fillId="0" borderId="50" xfId="0" applyFont="1" applyFill="1" applyBorder="1"/>
    <xf numFmtId="0" fontId="5" fillId="0" borderId="105" xfId="0" applyFont="1" applyBorder="1"/>
    <xf numFmtId="0" fontId="5" fillId="0" borderId="70" xfId="0" applyFont="1" applyBorder="1"/>
    <xf numFmtId="0" fontId="5" fillId="0" borderId="68" xfId="0" applyFont="1" applyBorder="1"/>
    <xf numFmtId="0" fontId="14" fillId="2" borderId="14" xfId="0" applyFont="1" applyFill="1" applyBorder="1" applyProtection="1">
      <protection hidden="1"/>
    </xf>
    <xf numFmtId="0" fontId="34" fillId="2" borderId="0" xfId="0" applyFont="1" applyFill="1" applyBorder="1" applyProtection="1">
      <protection hidden="1"/>
    </xf>
    <xf numFmtId="0" fontId="22" fillId="2" borderId="14" xfId="0" applyFont="1" applyFill="1" applyBorder="1" applyProtection="1">
      <protection hidden="1"/>
    </xf>
    <xf numFmtId="0" fontId="9" fillId="2" borderId="108" xfId="0" applyFont="1" applyFill="1" applyBorder="1" applyProtection="1">
      <protection hidden="1"/>
    </xf>
    <xf numFmtId="0" fontId="9" fillId="2" borderId="109" xfId="0" applyFont="1" applyFill="1" applyBorder="1" applyProtection="1">
      <protection hidden="1"/>
    </xf>
    <xf numFmtId="0" fontId="9" fillId="2" borderId="110" xfId="0" applyFont="1" applyFill="1" applyBorder="1" applyProtection="1">
      <protection hidden="1"/>
    </xf>
    <xf numFmtId="0" fontId="9" fillId="2" borderId="111" xfId="0" applyFont="1" applyFill="1" applyBorder="1" applyProtection="1">
      <protection hidden="1"/>
    </xf>
    <xf numFmtId="0" fontId="25" fillId="2" borderId="0" xfId="0" applyFont="1" applyFill="1" applyBorder="1" applyAlignment="1" applyProtection="1">
      <alignment vertical="top"/>
      <protection hidden="1"/>
    </xf>
    <xf numFmtId="0" fontId="9" fillId="2" borderId="112" xfId="0" applyFont="1" applyFill="1" applyBorder="1" applyProtection="1">
      <protection hidden="1"/>
    </xf>
    <xf numFmtId="0" fontId="29" fillId="2" borderId="0" xfId="2" applyFont="1" applyFill="1" applyBorder="1" applyProtection="1">
      <protection hidden="1"/>
    </xf>
    <xf numFmtId="0" fontId="16" fillId="2" borderId="111" xfId="0" applyFont="1" applyFill="1" applyBorder="1" applyAlignment="1" applyProtection="1">
      <alignment horizontal="left" vertical="center"/>
      <protection hidden="1"/>
    </xf>
    <xf numFmtId="0" fontId="16" fillId="2" borderId="113" xfId="0" applyFont="1" applyFill="1" applyBorder="1" applyAlignment="1" applyProtection="1">
      <alignment horizontal="left" vertical="center"/>
      <protection hidden="1"/>
    </xf>
    <xf numFmtId="0" fontId="9" fillId="2" borderId="114" xfId="0" applyFont="1" applyFill="1" applyBorder="1" applyProtection="1">
      <protection hidden="1"/>
    </xf>
    <xf numFmtId="0" fontId="14" fillId="5" borderId="114" xfId="0" applyFont="1" applyFill="1" applyBorder="1" applyAlignment="1" applyProtection="1">
      <protection hidden="1"/>
    </xf>
    <xf numFmtId="0" fontId="9" fillId="2" borderId="115" xfId="0" applyFont="1" applyFill="1" applyBorder="1" applyProtection="1">
      <protection hidden="1"/>
    </xf>
    <xf numFmtId="0" fontId="5" fillId="0" borderId="23" xfId="0" applyFont="1" applyBorder="1" applyAlignment="1">
      <alignment horizontal="left"/>
    </xf>
    <xf numFmtId="0" fontId="5" fillId="0" borderId="2" xfId="0" applyFont="1" applyBorder="1" applyAlignment="1">
      <alignment horizontal="left"/>
    </xf>
    <xf numFmtId="0" fontId="5" fillId="0" borderId="31" xfId="0" applyFont="1" applyBorder="1" applyAlignment="1">
      <alignment horizontal="left"/>
    </xf>
    <xf numFmtId="0" fontId="17" fillId="2" borderId="0" xfId="0" applyFont="1" applyFill="1" applyBorder="1" applyAlignment="1" applyProtection="1">
      <alignment horizontal="right"/>
      <protection hidden="1"/>
    </xf>
    <xf numFmtId="0" fontId="9" fillId="2" borderId="109" xfId="0" applyFont="1" applyFill="1" applyBorder="1" applyAlignment="1" applyProtection="1">
      <protection hidden="1"/>
    </xf>
    <xf numFmtId="0" fontId="9" fillId="2" borderId="110" xfId="0" applyFont="1" applyFill="1" applyBorder="1" applyAlignment="1" applyProtection="1">
      <protection hidden="1"/>
    </xf>
    <xf numFmtId="0" fontId="9" fillId="2" borderId="112" xfId="0" applyFont="1" applyFill="1" applyBorder="1" applyAlignment="1" applyProtection="1">
      <protection hidden="1"/>
    </xf>
    <xf numFmtId="0" fontId="9" fillId="2" borderId="113" xfId="0" applyFont="1" applyFill="1" applyBorder="1" applyProtection="1">
      <protection hidden="1"/>
    </xf>
    <xf numFmtId="0" fontId="9" fillId="2" borderId="108" xfId="0" applyFont="1" applyFill="1" applyBorder="1" applyAlignment="1" applyProtection="1">
      <protection hidden="1"/>
    </xf>
    <xf numFmtId="0" fontId="9" fillId="2" borderId="111" xfId="0" applyFont="1" applyFill="1" applyBorder="1" applyAlignment="1" applyProtection="1">
      <protection hidden="1"/>
    </xf>
    <xf numFmtId="0" fontId="9" fillId="2" borderId="117" xfId="0" applyFont="1" applyFill="1" applyBorder="1" applyProtection="1">
      <protection hidden="1"/>
    </xf>
    <xf numFmtId="0" fontId="9" fillId="2" borderId="35" xfId="0" applyFont="1" applyFill="1" applyBorder="1" applyProtection="1">
      <protection hidden="1"/>
    </xf>
    <xf numFmtId="0" fontId="9" fillId="2" borderId="35" xfId="0" applyFont="1" applyFill="1" applyBorder="1" applyAlignment="1" applyProtection="1">
      <protection hidden="1"/>
    </xf>
    <xf numFmtId="0" fontId="9" fillId="2" borderId="116" xfId="0" applyFont="1" applyFill="1" applyBorder="1" applyAlignment="1" applyProtection="1">
      <protection hidden="1"/>
    </xf>
    <xf numFmtId="0" fontId="9" fillId="2" borderId="117" xfId="0" applyFont="1" applyFill="1" applyBorder="1" applyAlignment="1" applyProtection="1">
      <protection hidden="1"/>
    </xf>
    <xf numFmtId="0" fontId="9" fillId="2" borderId="118" xfId="0" applyFont="1" applyFill="1" applyBorder="1" applyProtection="1">
      <protection hidden="1"/>
    </xf>
    <xf numFmtId="0" fontId="9" fillId="2" borderId="21" xfId="0" applyFont="1" applyFill="1" applyBorder="1" applyProtection="1">
      <protection hidden="1"/>
    </xf>
    <xf numFmtId="0" fontId="9" fillId="2" borderId="21" xfId="0" applyFont="1" applyFill="1" applyBorder="1" applyAlignment="1" applyProtection="1">
      <protection hidden="1"/>
    </xf>
    <xf numFmtId="0" fontId="9" fillId="2" borderId="119" xfId="0" applyFont="1" applyFill="1" applyBorder="1" applyAlignment="1" applyProtection="1">
      <protection hidden="1"/>
    </xf>
    <xf numFmtId="0" fontId="9" fillId="2" borderId="118" xfId="0" applyFont="1" applyFill="1" applyBorder="1" applyAlignment="1" applyProtection="1">
      <protection hidden="1"/>
    </xf>
    <xf numFmtId="0" fontId="9" fillId="2" borderId="18" xfId="0" applyFont="1" applyFill="1" applyBorder="1" applyAlignment="1" applyProtection="1">
      <alignment horizontal="right"/>
      <protection hidden="1"/>
    </xf>
    <xf numFmtId="0" fontId="33" fillId="2" borderId="61" xfId="0" applyFont="1" applyFill="1" applyBorder="1" applyProtection="1">
      <protection hidden="1"/>
    </xf>
    <xf numFmtId="0" fontId="5" fillId="2" borderId="56" xfId="0" applyFont="1" applyFill="1" applyBorder="1" applyAlignment="1" applyProtection="1">
      <protection hidden="1"/>
    </xf>
    <xf numFmtId="0" fontId="5" fillId="2" borderId="56" xfId="0" applyFont="1" applyFill="1" applyBorder="1" applyAlignment="1" applyProtection="1">
      <protection locked="0"/>
    </xf>
    <xf numFmtId="0" fontId="9" fillId="2" borderId="0" xfId="0" applyFont="1" applyFill="1" applyBorder="1" applyAlignment="1" applyProtection="1">
      <alignment horizontal="right" vertical="center"/>
      <protection hidden="1"/>
    </xf>
    <xf numFmtId="0" fontId="30" fillId="2" borderId="0" xfId="0" applyFont="1" applyFill="1" applyBorder="1" applyAlignment="1" applyProtection="1">
      <alignment vertical="top"/>
      <protection hidden="1"/>
    </xf>
    <xf numFmtId="0" fontId="2" fillId="0" borderId="1" xfId="0" applyFont="1" applyBorder="1" applyAlignment="1">
      <alignment wrapText="1"/>
    </xf>
    <xf numFmtId="0" fontId="2" fillId="0" borderId="1" xfId="0" applyFont="1" applyBorder="1"/>
    <xf numFmtId="0" fontId="1" fillId="0" borderId="0" xfId="0" applyFont="1"/>
    <xf numFmtId="0" fontId="1" fillId="0" borderId="2" xfId="0" applyFont="1" applyBorder="1"/>
    <xf numFmtId="0" fontId="3" fillId="3" borderId="120" xfId="0" applyFont="1" applyFill="1" applyBorder="1"/>
    <xf numFmtId="0" fontId="5" fillId="6" borderId="23" xfId="0" applyFont="1" applyFill="1" applyBorder="1"/>
    <xf numFmtId="0" fontId="3" fillId="6" borderId="49" xfId="0" applyFont="1" applyFill="1" applyBorder="1" applyAlignment="1">
      <alignment horizontal="center"/>
    </xf>
    <xf numFmtId="0" fontId="5" fillId="6" borderId="39" xfId="0" applyFont="1" applyFill="1" applyBorder="1" applyAlignment="1">
      <alignment horizontal="center"/>
    </xf>
    <xf numFmtId="0" fontId="5" fillId="6" borderId="2" xfId="0" applyFont="1" applyFill="1" applyBorder="1"/>
    <xf numFmtId="0" fontId="3" fillId="6" borderId="1" xfId="0" applyFont="1" applyFill="1" applyBorder="1" applyAlignment="1">
      <alignment horizontal="center"/>
    </xf>
    <xf numFmtId="0" fontId="5" fillId="6" borderId="3" xfId="0" applyFont="1" applyFill="1" applyBorder="1" applyAlignment="1">
      <alignment horizontal="center"/>
    </xf>
    <xf numFmtId="0" fontId="3" fillId="6" borderId="70" xfId="0" applyFont="1" applyFill="1" applyBorder="1" applyAlignment="1">
      <alignment horizontal="center"/>
    </xf>
    <xf numFmtId="0" fontId="5" fillId="6" borderId="74" xfId="0" applyFont="1" applyFill="1" applyBorder="1" applyAlignment="1">
      <alignment horizontal="center"/>
    </xf>
    <xf numFmtId="0" fontId="5" fillId="6" borderId="22" xfId="0" applyFont="1" applyFill="1" applyBorder="1" applyAlignment="1">
      <alignment horizontal="center"/>
    </xf>
    <xf numFmtId="0" fontId="5" fillId="6" borderId="75" xfId="0" applyFont="1" applyFill="1" applyBorder="1" applyAlignment="1">
      <alignment horizontal="center"/>
    </xf>
    <xf numFmtId="0" fontId="3" fillId="6" borderId="22" xfId="0" applyFont="1" applyFill="1" applyBorder="1" applyAlignment="1">
      <alignment horizontal="center"/>
    </xf>
    <xf numFmtId="0" fontId="3" fillId="6" borderId="6" xfId="0" applyFont="1" applyFill="1" applyBorder="1" applyAlignment="1">
      <alignment horizontal="center"/>
    </xf>
    <xf numFmtId="0" fontId="3" fillId="6" borderId="91" xfId="0" applyFont="1" applyFill="1" applyBorder="1" applyAlignment="1">
      <alignment vertical="center"/>
    </xf>
    <xf numFmtId="0" fontId="3" fillId="6" borderId="93" xfId="0" applyFont="1" applyFill="1" applyBorder="1" applyAlignment="1">
      <alignment vertical="center"/>
    </xf>
    <xf numFmtId="0" fontId="5" fillId="6" borderId="70" xfId="0" applyFont="1" applyFill="1" applyBorder="1" applyAlignment="1">
      <alignment horizontal="center"/>
    </xf>
    <xf numFmtId="0" fontId="3" fillId="6" borderId="3" xfId="0" applyFont="1" applyFill="1" applyBorder="1" applyAlignment="1">
      <alignment horizontal="center"/>
    </xf>
    <xf numFmtId="0" fontId="5" fillId="6" borderId="78" xfId="0" applyFont="1" applyFill="1" applyBorder="1" applyAlignment="1">
      <alignment horizontal="center"/>
    </xf>
    <xf numFmtId="0" fontId="3" fillId="6" borderId="92" xfId="0" applyFont="1" applyFill="1" applyBorder="1" applyAlignment="1">
      <alignment vertical="center"/>
    </xf>
    <xf numFmtId="0" fontId="5" fillId="6" borderId="65" xfId="0" applyFont="1" applyFill="1" applyBorder="1"/>
    <xf numFmtId="0" fontId="5" fillId="6" borderId="59" xfId="0" applyFont="1" applyFill="1" applyBorder="1" applyAlignment="1">
      <alignment horizontal="center"/>
    </xf>
    <xf numFmtId="0" fontId="5" fillId="6" borderId="94" xfId="0" applyFont="1" applyFill="1" applyBorder="1" applyAlignment="1">
      <alignment horizontal="center"/>
    </xf>
    <xf numFmtId="0" fontId="5" fillId="6" borderId="6" xfId="0" applyFont="1" applyFill="1" applyBorder="1" applyAlignment="1">
      <alignment horizontal="center"/>
    </xf>
    <xf numFmtId="0" fontId="1" fillId="6" borderId="65" xfId="0" applyFont="1" applyFill="1" applyBorder="1"/>
    <xf numFmtId="0" fontId="3" fillId="6" borderId="1" xfId="0" applyFont="1" applyFill="1" applyBorder="1"/>
    <xf numFmtId="0" fontId="5" fillId="6" borderId="3" xfId="0" applyFont="1" applyFill="1" applyBorder="1"/>
    <xf numFmtId="0" fontId="1" fillId="6" borderId="66" xfId="0" applyFont="1" applyFill="1" applyBorder="1"/>
    <xf numFmtId="0" fontId="3" fillId="6" borderId="50" xfId="0" applyFont="1" applyFill="1" applyBorder="1"/>
    <xf numFmtId="0" fontId="5" fillId="6" borderId="32" xfId="0" applyFont="1" applyFill="1" applyBorder="1"/>
    <xf numFmtId="0" fontId="1" fillId="6" borderId="2" xfId="0" applyFont="1" applyFill="1" applyBorder="1"/>
    <xf numFmtId="0" fontId="3" fillId="6" borderId="31" xfId="0" applyFont="1" applyFill="1" applyBorder="1"/>
    <xf numFmtId="0" fontId="5" fillId="6" borderId="5" xfId="0" applyFont="1" applyFill="1" applyBorder="1"/>
    <xf numFmtId="0" fontId="5" fillId="6" borderId="7" xfId="0" applyFont="1" applyFill="1" applyBorder="1"/>
    <xf numFmtId="0" fontId="3" fillId="0" borderId="0" xfId="0" applyFont="1" applyAlignment="1">
      <alignment horizontal="right"/>
    </xf>
    <xf numFmtId="0" fontId="1" fillId="0" borderId="0" xfId="0" applyFont="1" applyAlignment="1">
      <alignment horizontal="right"/>
    </xf>
    <xf numFmtId="0" fontId="1" fillId="0" borderId="1" xfId="0" applyFont="1" applyBorder="1"/>
    <xf numFmtId="0" fontId="1" fillId="0" borderId="3" xfId="0" applyFont="1" applyBorder="1"/>
    <xf numFmtId="0" fontId="37" fillId="2" borderId="0" xfId="2" applyFont="1" applyFill="1" applyBorder="1" applyProtection="1">
      <protection hidden="1"/>
    </xf>
    <xf numFmtId="0" fontId="23" fillId="2" borderId="0" xfId="0" applyFont="1" applyFill="1" applyBorder="1" applyAlignment="1" applyProtection="1">
      <alignment vertical="top" wrapText="1"/>
      <protection hidden="1"/>
    </xf>
    <xf numFmtId="0" fontId="14" fillId="2" borderId="0" xfId="0" applyFont="1" applyFill="1" applyAlignment="1" applyProtection="1">
      <alignment vertical="top"/>
      <protection hidden="1"/>
    </xf>
    <xf numFmtId="0" fontId="9" fillId="2" borderId="0" xfId="0" applyFont="1" applyFill="1" applyAlignment="1" applyProtection="1">
      <alignment vertical="top"/>
      <protection hidden="1"/>
    </xf>
    <xf numFmtId="164" fontId="5" fillId="0" borderId="0" xfId="0" applyNumberFormat="1" applyFont="1"/>
    <xf numFmtId="0" fontId="20" fillId="2" borderId="18" xfId="0" applyFont="1" applyFill="1" applyBorder="1" applyAlignment="1" applyProtection="1">
      <alignment vertical="center"/>
      <protection hidden="1"/>
    </xf>
    <xf numFmtId="0" fontId="1" fillId="0" borderId="23" xfId="0" applyFont="1" applyBorder="1"/>
    <xf numFmtId="0" fontId="1" fillId="0" borderId="49" xfId="0" applyFont="1" applyBorder="1"/>
    <xf numFmtId="0" fontId="9" fillId="2" borderId="122" xfId="0" applyFont="1" applyFill="1" applyBorder="1" applyProtection="1">
      <protection hidden="1"/>
    </xf>
    <xf numFmtId="0" fontId="9" fillId="2" borderId="123" xfId="0" applyFont="1" applyFill="1" applyBorder="1" applyProtection="1">
      <protection hidden="1"/>
    </xf>
    <xf numFmtId="0" fontId="9" fillId="2" borderId="124" xfId="0" applyFont="1" applyFill="1" applyBorder="1" applyProtection="1">
      <protection hidden="1"/>
    </xf>
    <xf numFmtId="0" fontId="9" fillId="2" borderId="125" xfId="0" applyFont="1" applyFill="1" applyBorder="1" applyProtection="1">
      <protection hidden="1"/>
    </xf>
    <xf numFmtId="0" fontId="9" fillId="0" borderId="2" xfId="2" applyFont="1" applyBorder="1"/>
    <xf numFmtId="0" fontId="9" fillId="2" borderId="16" xfId="0" applyFont="1" applyFill="1" applyBorder="1" applyProtection="1">
      <protection locked="0" hidden="1"/>
    </xf>
    <xf numFmtId="0" fontId="1" fillId="0" borderId="39" xfId="0" applyFont="1" applyBorder="1"/>
    <xf numFmtId="0" fontId="1" fillId="0" borderId="2" xfId="0" applyFont="1" applyFill="1" applyBorder="1"/>
    <xf numFmtId="0" fontId="1" fillId="6" borderId="75" xfId="0" applyFont="1" applyFill="1" applyBorder="1" applyAlignment="1">
      <alignment horizontal="center"/>
    </xf>
    <xf numFmtId="0" fontId="5" fillId="0" borderId="126" xfId="0" applyFont="1" applyBorder="1"/>
    <xf numFmtId="0" fontId="5" fillId="0" borderId="127" xfId="0" applyFont="1" applyBorder="1"/>
    <xf numFmtId="0" fontId="5" fillId="0" borderId="128" xfId="0" applyFont="1" applyBorder="1"/>
    <xf numFmtId="0" fontId="5" fillId="0" borderId="129" xfId="0" applyFont="1" applyBorder="1"/>
    <xf numFmtId="0" fontId="5" fillId="0" borderId="130" xfId="0" applyFont="1" applyBorder="1"/>
    <xf numFmtId="0" fontId="5" fillId="0" borderId="131" xfId="0" applyFont="1" applyBorder="1"/>
    <xf numFmtId="0" fontId="5" fillId="0" borderId="132" xfId="0" applyFont="1" applyBorder="1"/>
    <xf numFmtId="0" fontId="5" fillId="0" borderId="133" xfId="0" applyFont="1" applyBorder="1"/>
    <xf numFmtId="0" fontId="1" fillId="0" borderId="2" xfId="0" applyFont="1" applyBorder="1" applyAlignment="1">
      <alignment wrapText="1"/>
    </xf>
    <xf numFmtId="0" fontId="1" fillId="2" borderId="0" xfId="0" applyFont="1" applyFill="1" applyProtection="1">
      <protection hidden="1"/>
    </xf>
    <xf numFmtId="0" fontId="1" fillId="2" borderId="0" xfId="0" applyFont="1" applyFill="1" applyBorder="1" applyProtection="1">
      <protection hidden="1"/>
    </xf>
    <xf numFmtId="0" fontId="1" fillId="2" borderId="15" xfId="0" applyFont="1" applyFill="1" applyBorder="1" applyProtection="1">
      <protection hidden="1"/>
    </xf>
    <xf numFmtId="0" fontId="1" fillId="2" borderId="61" xfId="0" applyFont="1" applyFill="1" applyBorder="1" applyProtection="1">
      <protection hidden="1"/>
    </xf>
    <xf numFmtId="0" fontId="1" fillId="2" borderId="16" xfId="0" applyFont="1" applyFill="1" applyBorder="1" applyProtection="1">
      <protection hidden="1"/>
    </xf>
    <xf numFmtId="0" fontId="1" fillId="2" borderId="17" xfId="0" applyFont="1" applyFill="1" applyBorder="1" applyProtection="1">
      <protection hidden="1"/>
    </xf>
    <xf numFmtId="0" fontId="1" fillId="2" borderId="18" xfId="0" applyFont="1" applyFill="1" applyBorder="1" applyProtection="1">
      <protection hidden="1"/>
    </xf>
    <xf numFmtId="0" fontId="1" fillId="2" borderId="19" xfId="0" applyFont="1" applyFill="1" applyBorder="1" applyProtection="1">
      <protection hidden="1"/>
    </xf>
    <xf numFmtId="0" fontId="1" fillId="2" borderId="56" xfId="0" applyFont="1" applyFill="1" applyBorder="1" applyProtection="1">
      <protection hidden="1"/>
    </xf>
    <xf numFmtId="0" fontId="1" fillId="2" borderId="14" xfId="0" applyFont="1" applyFill="1" applyBorder="1" applyProtection="1">
      <protection hidden="1"/>
    </xf>
    <xf numFmtId="0" fontId="3" fillId="2" borderId="14" xfId="0" quotePrefix="1" applyFont="1" applyFill="1" applyBorder="1" applyAlignment="1" applyProtection="1">
      <alignment horizontal="right"/>
      <protection hidden="1"/>
    </xf>
    <xf numFmtId="0" fontId="7" fillId="2" borderId="0" xfId="0" applyFont="1" applyFill="1" applyBorder="1" applyProtection="1">
      <protection hidden="1"/>
    </xf>
    <xf numFmtId="0" fontId="1" fillId="2" borderId="0" xfId="0" applyFont="1" applyFill="1" applyBorder="1" applyAlignment="1" applyProtection="1">
      <alignment vertical="top" wrapText="1"/>
      <protection hidden="1"/>
    </xf>
    <xf numFmtId="0" fontId="1" fillId="2" borderId="0" xfId="0" applyFont="1" applyFill="1" applyBorder="1" applyAlignment="1" applyProtection="1">
      <alignment horizontal="left" vertical="top" wrapText="1"/>
      <protection hidden="1"/>
    </xf>
    <xf numFmtId="0" fontId="1" fillId="2" borderId="103" xfId="0" applyFont="1" applyFill="1" applyBorder="1" applyProtection="1">
      <protection hidden="1"/>
    </xf>
    <xf numFmtId="0" fontId="1" fillId="2" borderId="135" xfId="0" applyFont="1" applyFill="1" applyBorder="1" applyProtection="1">
      <protection hidden="1"/>
    </xf>
    <xf numFmtId="0" fontId="1" fillId="2" borderId="104" xfId="0" applyFont="1" applyFill="1" applyBorder="1" applyProtection="1">
      <protection hidden="1"/>
    </xf>
    <xf numFmtId="0" fontId="4" fillId="2" borderId="136" xfId="0" applyFont="1" applyFill="1" applyBorder="1" applyProtection="1">
      <protection hidden="1"/>
    </xf>
    <xf numFmtId="0" fontId="1" fillId="2" borderId="33" xfId="0" applyFont="1" applyFill="1" applyBorder="1" applyProtection="1">
      <protection hidden="1"/>
    </xf>
    <xf numFmtId="0" fontId="1" fillId="2" borderId="137" xfId="0" applyFont="1" applyFill="1" applyBorder="1" applyProtection="1">
      <protection hidden="1"/>
    </xf>
    <xf numFmtId="0" fontId="1" fillId="2" borderId="134" xfId="0" applyFont="1" applyFill="1" applyBorder="1" applyProtection="1">
      <protection hidden="1"/>
    </xf>
    <xf numFmtId="0" fontId="1" fillId="2" borderId="138" xfId="0" applyFont="1" applyFill="1" applyBorder="1" applyProtection="1">
      <protection hidden="1"/>
    </xf>
    <xf numFmtId="0" fontId="1" fillId="0" borderId="1" xfId="0" applyFont="1" applyBorder="1" applyAlignment="1">
      <alignment vertical="top"/>
    </xf>
    <xf numFmtId="0" fontId="31" fillId="0" borderId="1" xfId="0" applyFont="1" applyBorder="1" applyAlignment="1">
      <alignment vertical="top"/>
    </xf>
    <xf numFmtId="0" fontId="31" fillId="0" borderId="1" xfId="0" applyFont="1" applyBorder="1" applyAlignment="1">
      <alignment vertical="top" wrapText="1"/>
    </xf>
    <xf numFmtId="0" fontId="1" fillId="0" borderId="1" xfId="0" applyFont="1" applyBorder="1" applyAlignment="1">
      <alignment vertical="top" wrapText="1"/>
    </xf>
    <xf numFmtId="0" fontId="1" fillId="0" borderId="39" xfId="0" applyFont="1" applyBorder="1" applyAlignment="1">
      <alignment horizontal="center"/>
    </xf>
    <xf numFmtId="0" fontId="9" fillId="2" borderId="110" xfId="0" applyFont="1" applyFill="1" applyBorder="1" applyAlignment="1" applyProtection="1">
      <alignment horizontal="right"/>
      <protection hidden="1"/>
    </xf>
    <xf numFmtId="0" fontId="9" fillId="2" borderId="0" xfId="0" applyFont="1" applyFill="1" applyBorder="1" applyAlignment="1" applyProtection="1">
      <alignment horizontal="left" vertical="center"/>
      <protection hidden="1"/>
    </xf>
    <xf numFmtId="0" fontId="9" fillId="2" borderId="0" xfId="0" applyFont="1" applyFill="1" applyBorder="1" applyAlignment="1" applyProtection="1">
      <alignment horizontal="left" vertical="center"/>
      <protection hidden="1"/>
    </xf>
    <xf numFmtId="0" fontId="1" fillId="0" borderId="52" xfId="0" applyFont="1" applyBorder="1" applyAlignment="1">
      <alignment horizontal="left"/>
    </xf>
    <xf numFmtId="0" fontId="1" fillId="0" borderId="24" xfId="0" applyFont="1" applyBorder="1" applyAlignment="1">
      <alignment horizontal="left"/>
    </xf>
    <xf numFmtId="0" fontId="8" fillId="0" borderId="25" xfId="0" applyFont="1" applyBorder="1" applyAlignment="1">
      <alignment horizontal="left"/>
    </xf>
    <xf numFmtId="0" fontId="1" fillId="3" borderId="42" xfId="0" applyFont="1" applyFill="1" applyBorder="1"/>
    <xf numFmtId="0" fontId="1" fillId="3" borderId="38" xfId="0" applyFont="1" applyFill="1" applyBorder="1"/>
    <xf numFmtId="0" fontId="3" fillId="3" borderId="11" xfId="0" applyFont="1" applyFill="1" applyBorder="1"/>
    <xf numFmtId="0" fontId="3" fillId="3" borderId="12" xfId="0" applyFont="1" applyFill="1" applyBorder="1"/>
    <xf numFmtId="0" fontId="3" fillId="3" borderId="13" xfId="0" applyFont="1" applyFill="1" applyBorder="1"/>
    <xf numFmtId="0" fontId="1" fillId="0" borderId="49" xfId="0" applyFont="1" applyBorder="1" applyAlignment="1">
      <alignment horizontal="center"/>
    </xf>
    <xf numFmtId="0" fontId="1" fillId="0" borderId="1" xfId="0" applyFont="1" applyBorder="1" applyAlignment="1">
      <alignment horizontal="center"/>
    </xf>
    <xf numFmtId="0" fontId="1" fillId="0" borderId="66" xfId="0" applyFont="1" applyBorder="1"/>
    <xf numFmtId="0" fontId="1" fillId="0" borderId="67" xfId="0" applyFont="1" applyBorder="1"/>
    <xf numFmtId="0" fontId="1" fillId="0" borderId="139" xfId="0" applyFont="1" applyBorder="1"/>
    <xf numFmtId="0" fontId="1" fillId="0" borderId="32" xfId="0" applyFont="1" applyBorder="1"/>
    <xf numFmtId="0" fontId="41" fillId="2" borderId="112" xfId="0" applyFont="1" applyFill="1" applyBorder="1" applyAlignment="1" applyProtection="1">
      <alignment horizontal="right"/>
      <protection hidden="1"/>
    </xf>
    <xf numFmtId="0" fontId="9" fillId="5" borderId="0" xfId="0" applyFont="1" applyFill="1" applyBorder="1" applyAlignment="1" applyProtection="1">
      <alignment vertical="center"/>
      <protection hidden="1"/>
    </xf>
    <xf numFmtId="0" fontId="9" fillId="5" borderId="0" xfId="0" applyFont="1" applyFill="1" applyBorder="1" applyAlignment="1" applyProtection="1">
      <alignment horizontal="left" vertical="center"/>
      <protection hidden="1"/>
    </xf>
    <xf numFmtId="0" fontId="9" fillId="4" borderId="1" xfId="0" applyFont="1" applyFill="1" applyBorder="1" applyAlignment="1" applyProtection="1">
      <alignment horizontal="center" vertical="center"/>
      <protection locked="0"/>
    </xf>
    <xf numFmtId="0" fontId="42" fillId="2" borderId="0" xfId="0" applyFont="1" applyFill="1" applyProtection="1">
      <protection hidden="1"/>
    </xf>
    <xf numFmtId="0" fontId="42" fillId="2" borderId="15" xfId="0" applyFont="1" applyFill="1" applyBorder="1" applyProtection="1">
      <protection hidden="1"/>
    </xf>
    <xf numFmtId="0" fontId="42" fillId="2" borderId="61" xfId="0" applyFont="1" applyFill="1" applyBorder="1" applyProtection="1">
      <protection hidden="1"/>
    </xf>
    <xf numFmtId="0" fontId="42" fillId="2" borderId="16" xfId="0" applyFont="1" applyFill="1" applyBorder="1" applyProtection="1">
      <protection hidden="1"/>
    </xf>
    <xf numFmtId="0" fontId="42" fillId="2" borderId="17" xfId="0" applyFont="1" applyFill="1" applyBorder="1" applyProtection="1">
      <protection hidden="1"/>
    </xf>
    <xf numFmtId="0" fontId="42" fillId="2" borderId="18" xfId="0" applyFont="1" applyFill="1" applyBorder="1" applyProtection="1">
      <protection hidden="1"/>
    </xf>
    <xf numFmtId="0" fontId="42" fillId="2" borderId="19" xfId="0" applyFont="1" applyFill="1" applyBorder="1" applyProtection="1">
      <protection hidden="1"/>
    </xf>
    <xf numFmtId="0" fontId="42" fillId="2" borderId="56" xfId="0" applyFont="1" applyFill="1" applyBorder="1" applyProtection="1">
      <protection hidden="1"/>
    </xf>
    <xf numFmtId="0" fontId="42" fillId="2" borderId="14" xfId="0" applyFont="1" applyFill="1" applyBorder="1" applyProtection="1">
      <protection hidden="1"/>
    </xf>
    <xf numFmtId="0" fontId="25" fillId="2" borderId="0" xfId="0" applyFont="1" applyFill="1" applyProtection="1">
      <protection hidden="1"/>
    </xf>
    <xf numFmtId="0" fontId="43" fillId="2" borderId="61" xfId="0" applyFont="1" applyFill="1" applyBorder="1" applyProtection="1">
      <protection hidden="1"/>
    </xf>
    <xf numFmtId="0" fontId="44" fillId="2" borderId="61" xfId="0" applyFont="1" applyFill="1" applyBorder="1" applyProtection="1">
      <protection hidden="1"/>
    </xf>
    <xf numFmtId="0" fontId="44" fillId="2" borderId="56" xfId="0" applyFont="1" applyFill="1" applyBorder="1" applyAlignment="1" applyProtection="1">
      <alignment horizontal="right"/>
      <protection hidden="1"/>
    </xf>
    <xf numFmtId="0" fontId="42" fillId="2" borderId="0" xfId="0" applyFont="1" applyFill="1" applyBorder="1" applyProtection="1">
      <protection hidden="1"/>
    </xf>
    <xf numFmtId="0" fontId="44" fillId="2" borderId="0" xfId="0" applyFont="1" applyFill="1" applyBorder="1" applyProtection="1">
      <protection hidden="1"/>
    </xf>
    <xf numFmtId="49" fontId="42" fillId="2" borderId="0" xfId="0" applyNumberFormat="1" applyFont="1" applyFill="1" applyBorder="1" applyProtection="1">
      <protection hidden="1"/>
    </xf>
    <xf numFmtId="0" fontId="43" fillId="2" borderId="0" xfId="0" applyFont="1" applyFill="1" applyBorder="1" applyProtection="1">
      <protection hidden="1"/>
    </xf>
    <xf numFmtId="0" fontId="42" fillId="2" borderId="0" xfId="0" applyFont="1" applyFill="1" applyBorder="1" applyAlignment="1" applyProtection="1">
      <alignment horizontal="right"/>
      <protection hidden="1"/>
    </xf>
    <xf numFmtId="1" fontId="42" fillId="2" borderId="0" xfId="0" applyNumberFormat="1" applyFont="1" applyFill="1" applyBorder="1" applyAlignment="1" applyProtection="1">
      <alignment horizontal="left"/>
      <protection hidden="1"/>
    </xf>
    <xf numFmtId="0" fontId="42" fillId="2" borderId="0" xfId="0" applyFont="1" applyFill="1" applyBorder="1" applyAlignment="1" applyProtection="1">
      <alignment horizontal="left"/>
      <protection hidden="1"/>
    </xf>
    <xf numFmtId="0" fontId="43" fillId="2" borderId="0" xfId="0" applyFont="1" applyFill="1" applyProtection="1">
      <protection hidden="1"/>
    </xf>
    <xf numFmtId="0" fontId="13" fillId="2" borderId="0" xfId="2" applyFill="1" applyProtection="1">
      <protection hidden="1"/>
    </xf>
    <xf numFmtId="0" fontId="24" fillId="2" borderId="56" xfId="0" applyFont="1" applyFill="1" applyBorder="1" applyAlignment="1" applyProtection="1">
      <alignment vertical="center"/>
      <protection locked="0"/>
    </xf>
    <xf numFmtId="0" fontId="24" fillId="2" borderId="16" xfId="0" applyFont="1" applyFill="1" applyBorder="1" applyAlignment="1" applyProtection="1">
      <alignment vertical="center"/>
      <protection locked="0"/>
    </xf>
    <xf numFmtId="0" fontId="9" fillId="2" borderId="16" xfId="0" applyFont="1" applyFill="1" applyBorder="1" applyAlignment="1" applyProtection="1">
      <alignment vertical="center"/>
      <protection hidden="1"/>
    </xf>
    <xf numFmtId="0" fontId="9" fillId="2" borderId="19" xfId="0" applyFont="1" applyFill="1" applyBorder="1" applyAlignment="1" applyProtection="1">
      <alignment vertical="center"/>
      <protection hidden="1"/>
    </xf>
    <xf numFmtId="0" fontId="11" fillId="2" borderId="0" xfId="0" applyFont="1" applyFill="1" applyProtection="1">
      <protection hidden="1"/>
    </xf>
    <xf numFmtId="0" fontId="9" fillId="2" borderId="71" xfId="0" applyFont="1" applyFill="1" applyBorder="1" applyAlignment="1" applyProtection="1">
      <alignment vertical="center"/>
      <protection hidden="1"/>
    </xf>
    <xf numFmtId="0" fontId="9" fillId="2" borderId="141" xfId="0" applyFont="1" applyFill="1" applyBorder="1" applyProtection="1">
      <protection hidden="1"/>
    </xf>
    <xf numFmtId="0" fontId="5" fillId="0" borderId="0" xfId="0" applyFont="1" applyAlignment="1">
      <alignment horizontal="center"/>
    </xf>
    <xf numFmtId="0" fontId="45" fillId="2" borderId="0" xfId="0" applyFont="1" applyFill="1" applyBorder="1" applyAlignment="1" applyProtection="1">
      <alignment vertical="top"/>
      <protection hidden="1"/>
    </xf>
    <xf numFmtId="0" fontId="9" fillId="0" borderId="140" xfId="0" applyFont="1" applyFill="1" applyBorder="1" applyAlignment="1" applyProtection="1">
      <alignment horizontal="center" vertical="center"/>
      <protection locked="0"/>
    </xf>
    <xf numFmtId="0" fontId="9" fillId="0" borderId="49" xfId="0" applyFont="1" applyFill="1" applyBorder="1" applyAlignment="1" applyProtection="1">
      <alignment horizontal="center" vertical="center"/>
      <protection locked="0"/>
    </xf>
    <xf numFmtId="0" fontId="3" fillId="2" borderId="14" xfId="0" applyFont="1" applyFill="1" applyBorder="1" applyAlignment="1" applyProtection="1">
      <alignment horizontal="right"/>
      <protection hidden="1"/>
    </xf>
    <xf numFmtId="0" fontId="1" fillId="2" borderId="0" xfId="0" applyFont="1" applyFill="1" applyBorder="1" applyAlignment="1" applyProtection="1">
      <alignment wrapText="1"/>
      <protection hidden="1"/>
    </xf>
    <xf numFmtId="0" fontId="1" fillId="2" borderId="80" xfId="0" applyFont="1" applyFill="1" applyBorder="1" applyProtection="1">
      <protection hidden="1"/>
    </xf>
    <xf numFmtId="0" fontId="1" fillId="2" borderId="54" xfId="0" applyFont="1" applyFill="1" applyBorder="1" applyProtection="1">
      <protection hidden="1"/>
    </xf>
    <xf numFmtId="0" fontId="4" fillId="2" borderId="81" xfId="0" applyFont="1" applyFill="1" applyBorder="1" applyAlignment="1" applyProtection="1">
      <alignment horizontal="right"/>
      <protection hidden="1"/>
    </xf>
    <xf numFmtId="0" fontId="9" fillId="2" borderId="108" xfId="0" applyFont="1" applyFill="1" applyBorder="1" applyAlignment="1" applyProtection="1">
      <alignment horizontal="left"/>
      <protection locked="0" hidden="1"/>
    </xf>
    <xf numFmtId="0" fontId="9" fillId="2" borderId="0" xfId="0" applyFont="1" applyFill="1" applyBorder="1" applyAlignment="1" applyProtection="1">
      <alignment vertical="center"/>
      <protection locked="0"/>
    </xf>
    <xf numFmtId="0" fontId="14" fillId="2" borderId="0" xfId="0" applyFont="1" applyFill="1" applyBorder="1" applyAlignment="1" applyProtection="1">
      <alignment horizontal="left" vertical="center"/>
      <protection hidden="1"/>
    </xf>
    <xf numFmtId="0" fontId="9" fillId="2" borderId="0" xfId="0" applyFont="1" applyFill="1" applyBorder="1" applyAlignment="1" applyProtection="1">
      <alignment horizontal="left" vertical="center"/>
      <protection hidden="1"/>
    </xf>
    <xf numFmtId="0" fontId="46" fillId="7" borderId="15" xfId="0" applyFont="1" applyFill="1" applyBorder="1" applyProtection="1">
      <protection hidden="1"/>
    </xf>
    <xf numFmtId="0" fontId="46" fillId="7" borderId="61" xfId="0" applyFont="1" applyFill="1" applyBorder="1" applyProtection="1">
      <protection hidden="1"/>
    </xf>
    <xf numFmtId="0" fontId="46" fillId="7" borderId="16" xfId="0" applyFont="1" applyFill="1" applyBorder="1" applyProtection="1">
      <protection hidden="1"/>
    </xf>
    <xf numFmtId="0" fontId="46" fillId="7" borderId="142" xfId="0" applyFont="1" applyFill="1" applyBorder="1" applyProtection="1">
      <protection hidden="1"/>
    </xf>
    <xf numFmtId="0" fontId="46" fillId="7" borderId="35" xfId="0" applyFont="1" applyFill="1" applyBorder="1" applyProtection="1">
      <protection hidden="1"/>
    </xf>
    <xf numFmtId="0" fontId="46" fillId="7" borderId="143" xfId="0" applyFont="1" applyFill="1" applyBorder="1" applyProtection="1">
      <protection hidden="1"/>
    </xf>
    <xf numFmtId="0" fontId="39" fillId="2" borderId="0" xfId="0" applyFont="1" applyFill="1" applyBorder="1" applyProtection="1">
      <protection hidden="1"/>
    </xf>
    <xf numFmtId="0" fontId="1" fillId="2" borderId="14" xfId="0" applyFont="1" applyFill="1" applyBorder="1" applyAlignment="1" applyProtection="1">
      <alignment horizontal="right"/>
      <protection hidden="1"/>
    </xf>
    <xf numFmtId="0" fontId="1" fillId="8" borderId="15" xfId="0" applyFont="1" applyFill="1" applyBorder="1" applyProtection="1">
      <protection hidden="1"/>
    </xf>
    <xf numFmtId="0" fontId="1" fillId="8" borderId="61" xfId="0" applyFont="1" applyFill="1" applyBorder="1" applyProtection="1">
      <protection hidden="1"/>
    </xf>
    <xf numFmtId="0" fontId="1" fillId="8" borderId="16" xfId="0" applyFont="1" applyFill="1" applyBorder="1" applyProtection="1">
      <protection hidden="1"/>
    </xf>
    <xf numFmtId="0" fontId="1" fillId="8" borderId="142" xfId="0" applyFont="1" applyFill="1" applyBorder="1" applyProtection="1">
      <protection hidden="1"/>
    </xf>
    <xf numFmtId="0" fontId="1" fillId="8" borderId="35" xfId="0" applyFont="1" applyFill="1" applyBorder="1" applyProtection="1">
      <protection hidden="1"/>
    </xf>
    <xf numFmtId="0" fontId="1" fillId="8" borderId="143" xfId="0" applyFont="1" applyFill="1" applyBorder="1" applyProtection="1">
      <protection hidden="1"/>
    </xf>
    <xf numFmtId="0" fontId="14" fillId="2" borderId="0" xfId="0" applyFont="1" applyFill="1" applyBorder="1" applyAlignment="1" applyProtection="1">
      <alignment horizontal="left" vertical="center"/>
      <protection hidden="1"/>
    </xf>
    <xf numFmtId="0" fontId="9" fillId="2" borderId="0" xfId="0" applyFont="1" applyFill="1" applyBorder="1" applyAlignment="1" applyProtection="1">
      <alignment horizontal="left" vertical="center"/>
      <protection hidden="1"/>
    </xf>
    <xf numFmtId="0" fontId="11" fillId="2" borderId="0" xfId="0" applyFont="1" applyFill="1" applyBorder="1" applyAlignment="1" applyProtection="1">
      <alignment horizontal="center" vertical="center"/>
      <protection hidden="1"/>
    </xf>
    <xf numFmtId="0" fontId="9" fillId="2" borderId="18" xfId="0" applyFont="1" applyFill="1" applyBorder="1" applyAlignment="1" applyProtection="1">
      <alignment horizontal="center"/>
      <protection hidden="1"/>
    </xf>
    <xf numFmtId="0" fontId="9" fillId="2" borderId="0" xfId="0" applyFont="1" applyFill="1" applyBorder="1" applyAlignment="1" applyProtection="1">
      <alignment horizontal="center" vertical="center"/>
      <protection hidden="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24" xfId="0" applyFont="1" applyBorder="1"/>
    <xf numFmtId="0" fontId="1" fillId="0" borderId="27" xfId="0" applyFont="1" applyBorder="1" applyAlignment="1"/>
    <xf numFmtId="0" fontId="1" fillId="0" borderId="28" xfId="0" applyFont="1" applyBorder="1"/>
    <xf numFmtId="0" fontId="1" fillId="0" borderId="11" xfId="0" applyFont="1" applyBorder="1"/>
    <xf numFmtId="0" fontId="1" fillId="0" borderId="12" xfId="0" applyFont="1" applyBorder="1"/>
    <xf numFmtId="0" fontId="1" fillId="0" borderId="13" xfId="0" applyFont="1" applyBorder="1"/>
    <xf numFmtId="0" fontId="1" fillId="0" borderId="27" xfId="0" applyFont="1" applyBorder="1" applyAlignment="1">
      <alignment horizontal="center"/>
    </xf>
    <xf numFmtId="0" fontId="1" fillId="0" borderId="49" xfId="0" quotePrefix="1" applyFont="1" applyBorder="1"/>
    <xf numFmtId="0" fontId="1" fillId="0" borderId="24" xfId="0" applyFont="1" applyBorder="1" applyAlignment="1"/>
    <xf numFmtId="0" fontId="1" fillId="0" borderId="22" xfId="0" applyFont="1" applyBorder="1"/>
    <xf numFmtId="0" fontId="1" fillId="0" borderId="6" xfId="0" applyFont="1" applyBorder="1"/>
    <xf numFmtId="0" fontId="1" fillId="0" borderId="7" xfId="0" applyFont="1" applyBorder="1"/>
    <xf numFmtId="0" fontId="1" fillId="0" borderId="25" xfId="0" applyFont="1" applyBorder="1" applyAlignment="1"/>
    <xf numFmtId="0" fontId="1" fillId="0" borderId="26" xfId="0" applyFont="1" applyBorder="1"/>
    <xf numFmtId="0" fontId="1" fillId="0" borderId="5" xfId="0" applyFont="1" applyBorder="1"/>
    <xf numFmtId="0" fontId="1" fillId="0" borderId="7" xfId="0" applyFont="1" applyBorder="1" applyAlignment="1">
      <alignment horizontal="center"/>
    </xf>
    <xf numFmtId="0" fontId="1" fillId="0" borderId="27" xfId="0" quotePrefix="1" applyFont="1" applyFill="1" applyBorder="1" applyAlignment="1">
      <alignment horizontal="center"/>
    </xf>
    <xf numFmtId="0" fontId="1" fillId="0" borderId="52" xfId="0" applyFont="1" applyBorder="1"/>
    <xf numFmtId="0" fontId="1" fillId="0" borderId="20" xfId="0" applyFont="1" applyBorder="1"/>
    <xf numFmtId="0" fontId="1" fillId="0" borderId="3" xfId="0" applyFont="1" applyBorder="1" applyAlignment="1">
      <alignment horizontal="center"/>
    </xf>
    <xf numFmtId="0" fontId="1" fillId="0" borderId="34" xfId="0" applyFont="1" applyBorder="1"/>
    <xf numFmtId="0" fontId="1" fillId="0" borderId="68" xfId="0" applyFont="1" applyBorder="1" applyAlignment="1">
      <alignment horizontal="center"/>
    </xf>
    <xf numFmtId="0" fontId="1" fillId="0" borderId="32" xfId="0" applyFont="1" applyBorder="1" applyAlignment="1">
      <alignment horizontal="center"/>
    </xf>
    <xf numFmtId="0" fontId="1" fillId="0" borderId="36" xfId="0" applyFont="1" applyBorder="1"/>
    <xf numFmtId="0" fontId="1" fillId="0" borderId="25" xfId="0" applyFont="1" applyBorder="1" applyAlignment="1">
      <alignment horizontal="left"/>
    </xf>
    <xf numFmtId="0" fontId="1" fillId="0" borderId="31" xfId="0" applyFont="1" applyBorder="1"/>
    <xf numFmtId="0" fontId="1" fillId="0" borderId="105" xfId="0" applyFont="1" applyBorder="1"/>
    <xf numFmtId="0" fontId="1" fillId="0" borderId="70" xfId="0" applyFont="1" applyBorder="1"/>
    <xf numFmtId="0" fontId="1" fillId="0" borderId="68" xfId="0" applyFont="1" applyBorder="1"/>
    <xf numFmtId="0" fontId="1" fillId="0" borderId="1" xfId="0" applyFont="1" applyFill="1" applyBorder="1"/>
    <xf numFmtId="0" fontId="1" fillId="0" borderId="0" xfId="0" applyFont="1" applyFill="1" applyBorder="1"/>
    <xf numFmtId="0" fontId="1" fillId="0" borderId="33" xfId="0" applyFont="1" applyFill="1" applyBorder="1"/>
    <xf numFmtId="0" fontId="1" fillId="0" borderId="31" xfId="0" quotePrefix="1" applyFont="1" applyBorder="1"/>
    <xf numFmtId="0" fontId="1" fillId="0" borderId="3" xfId="0" quotePrefix="1" applyFont="1" applyBorder="1"/>
    <xf numFmtId="0" fontId="1" fillId="6" borderId="23" xfId="0" applyFont="1" applyFill="1" applyBorder="1"/>
    <xf numFmtId="0" fontId="1" fillId="6" borderId="39" xfId="0" applyFont="1" applyFill="1" applyBorder="1" applyAlignment="1">
      <alignment horizontal="center"/>
    </xf>
    <xf numFmtId="0" fontId="1" fillId="6" borderId="5" xfId="0" applyFont="1" applyFill="1" applyBorder="1"/>
    <xf numFmtId="0" fontId="1" fillId="6" borderId="7" xfId="0" applyFont="1" applyFill="1" applyBorder="1"/>
    <xf numFmtId="0" fontId="1" fillId="6" borderId="3" xfId="0" applyFont="1" applyFill="1" applyBorder="1" applyAlignment="1">
      <alignment horizontal="center"/>
    </xf>
    <xf numFmtId="0" fontId="1" fillId="0" borderId="27" xfId="0" applyFont="1" applyBorder="1" applyAlignment="1">
      <alignment horizontal="left"/>
    </xf>
    <xf numFmtId="0" fontId="1" fillId="0" borderId="52" xfId="0" quotePrefix="1" applyFont="1" applyBorder="1" applyAlignment="1">
      <alignment horizontal="left"/>
    </xf>
    <xf numFmtId="0" fontId="1" fillId="6" borderId="3" xfId="0" applyFont="1" applyFill="1" applyBorder="1"/>
    <xf numFmtId="0" fontId="1" fillId="0" borderId="50" xfId="0" applyFont="1" applyBorder="1"/>
    <xf numFmtId="0" fontId="1" fillId="0" borderId="31" xfId="0" applyFont="1" applyFill="1" applyBorder="1"/>
    <xf numFmtId="0" fontId="1" fillId="0" borderId="50" xfId="0" applyFont="1" applyFill="1" applyBorder="1"/>
    <xf numFmtId="0" fontId="1" fillId="6" borderId="74" xfId="0" applyFont="1" applyFill="1" applyBorder="1" applyAlignment="1">
      <alignment horizontal="center"/>
    </xf>
    <xf numFmtId="0" fontId="1" fillId="6" borderId="22" xfId="0" applyFont="1" applyFill="1" applyBorder="1" applyAlignment="1">
      <alignment horizontal="center"/>
    </xf>
    <xf numFmtId="0" fontId="1" fillId="0" borderId="25" xfId="0" applyFont="1" applyBorder="1"/>
    <xf numFmtId="0" fontId="1" fillId="6" borderId="70" xfId="0" applyFont="1" applyFill="1" applyBorder="1" applyAlignment="1">
      <alignment horizontal="center"/>
    </xf>
    <xf numFmtId="0" fontId="1" fillId="0" borderId="1" xfId="0" applyFont="1" applyBorder="1" applyAlignment="1">
      <alignment wrapText="1"/>
    </xf>
    <xf numFmtId="0" fontId="1" fillId="0" borderId="3" xfId="0" applyFont="1" applyBorder="1" applyAlignment="1">
      <alignment wrapText="1"/>
    </xf>
    <xf numFmtId="0" fontId="1" fillId="6" borderId="78" xfId="0" applyFont="1" applyFill="1" applyBorder="1" applyAlignment="1">
      <alignment horizontal="center"/>
    </xf>
    <xf numFmtId="0" fontId="1" fillId="0" borderId="42" xfId="0" applyFont="1" applyBorder="1"/>
    <xf numFmtId="0" fontId="1" fillId="0" borderId="38" xfId="0" applyFont="1" applyBorder="1" applyAlignment="1">
      <alignment horizontal="center" vertical="center"/>
    </xf>
    <xf numFmtId="0" fontId="1" fillId="0" borderId="33" xfId="0" applyFont="1" applyBorder="1"/>
    <xf numFmtId="0" fontId="1" fillId="0" borderId="27" xfId="0" applyFont="1" applyFill="1" applyBorder="1"/>
    <xf numFmtId="0" fontId="1" fillId="6" borderId="59" xfId="0" applyFont="1" applyFill="1" applyBorder="1" applyAlignment="1">
      <alignment horizontal="center"/>
    </xf>
    <xf numFmtId="0" fontId="1" fillId="0" borderId="0" xfId="0" applyFont="1" applyAlignment="1">
      <alignment horizontal="center"/>
    </xf>
    <xf numFmtId="0" fontId="1" fillId="6" borderId="94" xfId="0" applyFont="1" applyFill="1" applyBorder="1" applyAlignment="1">
      <alignment horizontal="center"/>
    </xf>
    <xf numFmtId="0" fontId="1" fillId="6" borderId="6" xfId="0" applyFont="1" applyFill="1" applyBorder="1" applyAlignment="1">
      <alignment horizontal="center"/>
    </xf>
    <xf numFmtId="0" fontId="1" fillId="6" borderId="32" xfId="0" applyFont="1" applyFill="1" applyBorder="1"/>
    <xf numFmtId="0" fontId="1" fillId="0" borderId="126" xfId="0" applyFont="1" applyBorder="1"/>
    <xf numFmtId="0" fontId="1" fillId="0" borderId="64" xfId="0" applyFont="1" applyBorder="1"/>
    <xf numFmtId="0" fontId="1" fillId="0" borderId="47" xfId="0" applyFont="1" applyBorder="1"/>
    <xf numFmtId="0" fontId="1" fillId="0" borderId="46" xfId="0" applyFont="1" applyBorder="1"/>
    <xf numFmtId="0" fontId="1" fillId="0" borderId="127" xfId="0" applyFont="1" applyBorder="1"/>
    <xf numFmtId="0" fontId="1" fillId="0" borderId="128" xfId="0" applyFont="1" applyBorder="1"/>
    <xf numFmtId="0" fontId="1" fillId="0" borderId="51" xfId="0" applyFont="1" applyBorder="1"/>
    <xf numFmtId="0" fontId="1" fillId="0" borderId="48" xfId="0" applyFont="1" applyBorder="1"/>
    <xf numFmtId="0" fontId="1" fillId="0" borderId="129" xfId="0" applyFont="1" applyBorder="1"/>
    <xf numFmtId="0" fontId="1" fillId="0" borderId="97" xfId="0" applyFont="1" applyBorder="1" applyAlignment="1">
      <alignment horizontal="center"/>
    </xf>
    <xf numFmtId="0" fontId="1" fillId="0" borderId="64" xfId="0" applyFont="1" applyBorder="1" applyAlignment="1">
      <alignment horizontal="center"/>
    </xf>
    <xf numFmtId="0" fontId="1" fillId="0" borderId="100" xfId="0" applyFont="1" applyBorder="1" applyAlignment="1">
      <alignment horizontal="center"/>
    </xf>
    <xf numFmtId="0" fontId="1" fillId="0" borderId="98" xfId="0" applyFont="1" applyBorder="1" applyAlignment="1">
      <alignment horizontal="center"/>
    </xf>
    <xf numFmtId="0" fontId="1" fillId="0" borderId="51" xfId="0" applyFont="1" applyBorder="1" applyAlignment="1">
      <alignment horizontal="center"/>
    </xf>
    <xf numFmtId="0" fontId="1" fillId="0" borderId="101" xfId="0" applyFont="1" applyBorder="1" applyAlignment="1">
      <alignment horizontal="center"/>
    </xf>
    <xf numFmtId="0" fontId="1" fillId="0" borderId="130" xfId="0" applyFont="1" applyBorder="1"/>
    <xf numFmtId="0" fontId="1" fillId="0" borderId="131" xfId="0" applyFont="1" applyBorder="1"/>
    <xf numFmtId="0" fontId="1" fillId="0" borderId="133" xfId="0" applyFont="1" applyBorder="1"/>
    <xf numFmtId="0" fontId="1" fillId="0" borderId="132" xfId="0" applyFont="1" applyBorder="1"/>
    <xf numFmtId="0" fontId="1" fillId="0" borderId="99" xfId="0" applyFont="1" applyBorder="1" applyAlignment="1">
      <alignment horizontal="center"/>
    </xf>
    <xf numFmtId="0" fontId="1" fillId="0" borderId="67" xfId="0" applyFont="1" applyBorder="1" applyAlignment="1">
      <alignment horizontal="center"/>
    </xf>
    <xf numFmtId="0" fontId="1" fillId="0" borderId="102" xfId="0" applyFont="1" applyBorder="1" applyAlignment="1">
      <alignment horizontal="center"/>
    </xf>
    <xf numFmtId="0" fontId="1" fillId="0" borderId="23" xfId="0" applyFont="1" applyBorder="1" applyAlignment="1">
      <alignment horizontal="left"/>
    </xf>
    <xf numFmtId="0" fontId="1" fillId="0" borderId="2" xfId="0" applyFont="1" applyBorder="1" applyAlignment="1">
      <alignment horizontal="left"/>
    </xf>
    <xf numFmtId="164" fontId="1" fillId="0" borderId="0" xfId="0" applyNumberFormat="1" applyFont="1"/>
    <xf numFmtId="0" fontId="1" fillId="0" borderId="24" xfId="0" applyFont="1" applyBorder="1" applyAlignment="1">
      <alignment wrapText="1"/>
    </xf>
    <xf numFmtId="0" fontId="1" fillId="0" borderId="65" xfId="0" applyFont="1" applyBorder="1"/>
    <xf numFmtId="0" fontId="1" fillId="0" borderId="31" xfId="0" applyFont="1" applyBorder="1" applyAlignment="1">
      <alignment horizontal="left"/>
    </xf>
    <xf numFmtId="0" fontId="1" fillId="2" borderId="56" xfId="0" applyFont="1" applyFill="1" applyBorder="1" applyAlignment="1" applyProtection="1">
      <protection hidden="1"/>
    </xf>
    <xf numFmtId="0" fontId="1" fillId="2" borderId="56" xfId="0" applyFont="1" applyFill="1" applyBorder="1" applyAlignment="1" applyProtection="1">
      <protection locked="0"/>
    </xf>
    <xf numFmtId="49" fontId="42" fillId="2" borderId="0" xfId="0" applyNumberFormat="1" applyFont="1" applyFill="1" applyBorder="1" applyAlignment="1" applyProtection="1">
      <alignment horizontal="left"/>
      <protection hidden="1"/>
    </xf>
    <xf numFmtId="0" fontId="42" fillId="2" borderId="0" xfId="0" applyFont="1" applyFill="1" applyBorder="1" applyAlignment="1" applyProtection="1">
      <alignment horizontal="left" vertical="top" wrapText="1"/>
      <protection hidden="1"/>
    </xf>
    <xf numFmtId="0" fontId="11" fillId="3" borderId="37" xfId="0" applyFont="1" applyFill="1" applyBorder="1" applyAlignment="1">
      <alignment horizontal="left"/>
    </xf>
    <xf numFmtId="0" fontId="11" fillId="3" borderId="42" xfId="0" applyFont="1" applyFill="1" applyBorder="1" applyAlignment="1">
      <alignment horizontal="left"/>
    </xf>
    <xf numFmtId="0" fontId="11" fillId="3" borderId="38" xfId="0" applyFont="1" applyFill="1" applyBorder="1" applyAlignment="1">
      <alignment horizontal="left"/>
    </xf>
    <xf numFmtId="0" fontId="3" fillId="6" borderId="91" xfId="0" applyFont="1" applyFill="1" applyBorder="1" applyAlignment="1">
      <alignment horizontal="center" vertical="center"/>
    </xf>
    <xf numFmtId="0" fontId="3" fillId="6" borderId="93" xfId="0" applyFont="1" applyFill="1" applyBorder="1" applyAlignment="1">
      <alignment horizontal="center" vertical="center"/>
    </xf>
    <xf numFmtId="0" fontId="3" fillId="3" borderId="103" xfId="0" applyFont="1" applyFill="1" applyBorder="1" applyAlignment="1">
      <alignment horizontal="left"/>
    </xf>
    <xf numFmtId="0" fontId="3" fillId="3" borderId="104" xfId="0" applyFont="1" applyFill="1" applyBorder="1" applyAlignment="1">
      <alignment horizontal="left"/>
    </xf>
    <xf numFmtId="0" fontId="3" fillId="3" borderId="37" xfId="0" applyFont="1" applyFill="1" applyBorder="1" applyAlignment="1">
      <alignment horizontal="left"/>
    </xf>
    <xf numFmtId="0" fontId="3" fillId="3" borderId="38" xfId="0" applyFont="1" applyFill="1" applyBorder="1" applyAlignment="1">
      <alignment horizontal="left"/>
    </xf>
    <xf numFmtId="0" fontId="9" fillId="0" borderId="48" xfId="0" applyFont="1" applyFill="1" applyBorder="1" applyAlignment="1" applyProtection="1">
      <alignment horizontal="left" vertical="center"/>
      <protection locked="0" hidden="1"/>
    </xf>
    <xf numFmtId="0" fontId="9" fillId="0" borderId="20" xfId="0" applyFont="1" applyFill="1" applyBorder="1" applyAlignment="1" applyProtection="1">
      <alignment horizontal="left" vertical="center"/>
      <protection locked="0" hidden="1"/>
    </xf>
    <xf numFmtId="0" fontId="9" fillId="0" borderId="70" xfId="0" applyFont="1" applyFill="1" applyBorder="1" applyAlignment="1" applyProtection="1">
      <alignment horizontal="right" vertical="center"/>
      <protection locked="0"/>
    </xf>
    <xf numFmtId="0" fontId="9" fillId="0" borderId="6" xfId="0" applyFont="1" applyFill="1" applyBorder="1" applyAlignment="1" applyProtection="1">
      <alignment horizontal="right" vertical="center"/>
      <protection locked="0"/>
    </xf>
    <xf numFmtId="0" fontId="9" fillId="2" borderId="0" xfId="0" quotePrefix="1" applyFont="1" applyFill="1" applyBorder="1" applyAlignment="1" applyProtection="1">
      <alignment horizontal="center" vertical="center"/>
      <protection hidden="1"/>
    </xf>
    <xf numFmtId="0" fontId="9" fillId="0" borderId="70" xfId="0" applyFont="1" applyFill="1" applyBorder="1" applyAlignment="1" applyProtection="1">
      <alignment horizontal="center" vertical="center"/>
      <protection locked="0"/>
    </xf>
    <xf numFmtId="0" fontId="9" fillId="0" borderId="6" xfId="0" applyFont="1" applyFill="1" applyBorder="1" applyAlignment="1" applyProtection="1">
      <alignment horizontal="center" vertical="center"/>
      <protection locked="0"/>
    </xf>
    <xf numFmtId="0" fontId="11" fillId="6" borderId="80" xfId="0" applyFont="1" applyFill="1" applyBorder="1" applyAlignment="1" applyProtection="1">
      <alignment horizontal="center" vertical="center"/>
      <protection hidden="1"/>
    </xf>
    <xf numFmtId="0" fontId="11" fillId="6" borderId="54" xfId="0" applyFont="1" applyFill="1" applyBorder="1" applyAlignment="1" applyProtection="1">
      <alignment horizontal="center" vertical="center"/>
      <protection hidden="1"/>
    </xf>
    <xf numFmtId="0" fontId="11" fillId="6" borderId="81" xfId="0" applyFont="1" applyFill="1" applyBorder="1" applyAlignment="1" applyProtection="1">
      <alignment horizontal="center" vertical="center"/>
      <protection hidden="1"/>
    </xf>
    <xf numFmtId="0" fontId="9" fillId="0" borderId="48" xfId="0" applyFont="1" applyFill="1" applyBorder="1" applyAlignment="1" applyProtection="1">
      <alignment horizontal="left"/>
      <protection locked="0" hidden="1"/>
    </xf>
    <xf numFmtId="0" fontId="9" fillId="0" borderId="51" xfId="0" applyFont="1" applyFill="1" applyBorder="1" applyAlignment="1" applyProtection="1">
      <alignment horizontal="left"/>
      <protection locked="0" hidden="1"/>
    </xf>
    <xf numFmtId="0" fontId="9" fillId="0" borderId="20" xfId="0" applyFont="1" applyFill="1" applyBorder="1" applyAlignment="1" applyProtection="1">
      <alignment horizontal="left"/>
      <protection locked="0" hidden="1"/>
    </xf>
    <xf numFmtId="0" fontId="5" fillId="4" borderId="48" xfId="0" applyFont="1" applyFill="1" applyBorder="1" applyAlignment="1" applyProtection="1">
      <alignment horizontal="left"/>
      <protection locked="0" hidden="1"/>
    </xf>
    <xf numFmtId="0" fontId="5" fillId="4" borderId="20" xfId="0" applyFont="1" applyFill="1" applyBorder="1" applyAlignment="1" applyProtection="1">
      <alignment horizontal="left"/>
      <protection locked="0" hidden="1"/>
    </xf>
    <xf numFmtId="0" fontId="35" fillId="4" borderId="15" xfId="0" applyFont="1" applyFill="1" applyBorder="1" applyAlignment="1" applyProtection="1">
      <alignment horizontal="center" vertical="center"/>
      <protection locked="0"/>
    </xf>
    <xf numFmtId="0" fontId="35" fillId="4" borderId="61" xfId="0" applyFont="1" applyFill="1" applyBorder="1" applyAlignment="1" applyProtection="1">
      <alignment horizontal="center" vertical="center"/>
      <protection locked="0"/>
    </xf>
    <xf numFmtId="0" fontId="35" fillId="4" borderId="16" xfId="0" applyFont="1" applyFill="1" applyBorder="1" applyAlignment="1" applyProtection="1">
      <alignment horizontal="center" vertical="center"/>
      <protection locked="0"/>
    </xf>
    <xf numFmtId="0" fontId="35" fillId="4" borderId="17" xfId="0" applyFont="1" applyFill="1" applyBorder="1" applyAlignment="1" applyProtection="1">
      <alignment horizontal="center" vertical="center"/>
      <protection locked="0"/>
    </xf>
    <xf numFmtId="0" fontId="35" fillId="4" borderId="18" xfId="0" applyFont="1" applyFill="1" applyBorder="1" applyAlignment="1" applyProtection="1">
      <alignment horizontal="center" vertical="center"/>
      <protection locked="0"/>
    </xf>
    <xf numFmtId="0" fontId="35" fillId="4" borderId="19" xfId="0" applyFont="1" applyFill="1" applyBorder="1" applyAlignment="1" applyProtection="1">
      <alignment horizontal="center" vertical="center"/>
      <protection locked="0"/>
    </xf>
    <xf numFmtId="0" fontId="9" fillId="2" borderId="1" xfId="0" applyFont="1" applyFill="1" applyBorder="1" applyAlignment="1" applyProtection="1">
      <alignment horizontal="center" vertical="center"/>
      <protection locked="0"/>
    </xf>
    <xf numFmtId="1" fontId="9" fillId="2" borderId="17" xfId="0" applyNumberFormat="1" applyFont="1" applyFill="1" applyBorder="1" applyAlignment="1" applyProtection="1">
      <alignment horizontal="center"/>
      <protection locked="0" hidden="1"/>
    </xf>
    <xf numFmtId="1" fontId="9" fillId="2" borderId="18" xfId="0" applyNumberFormat="1" applyFont="1" applyFill="1" applyBorder="1" applyAlignment="1" applyProtection="1">
      <alignment horizontal="center"/>
      <protection locked="0" hidden="1"/>
    </xf>
    <xf numFmtId="1" fontId="9" fillId="2" borderId="19" xfId="0" applyNumberFormat="1" applyFont="1" applyFill="1" applyBorder="1" applyAlignment="1" applyProtection="1">
      <alignment horizontal="center"/>
      <protection locked="0" hidden="1"/>
    </xf>
    <xf numFmtId="0" fontId="9" fillId="0" borderId="48" xfId="0" applyFont="1" applyFill="1" applyBorder="1" applyAlignment="1" applyProtection="1">
      <alignment horizontal="center" vertical="center" shrinkToFit="1"/>
      <protection locked="0" hidden="1"/>
    </xf>
    <xf numFmtId="0" fontId="9" fillId="0" borderId="51" xfId="0" applyFont="1" applyFill="1" applyBorder="1" applyAlignment="1" applyProtection="1">
      <alignment horizontal="center" vertical="center" shrinkToFit="1"/>
      <protection locked="0" hidden="1"/>
    </xf>
    <xf numFmtId="0" fontId="9" fillId="0" borderId="20" xfId="0" applyFont="1" applyFill="1" applyBorder="1" applyAlignment="1" applyProtection="1">
      <alignment horizontal="center" vertical="center" shrinkToFit="1"/>
      <protection locked="0" hidden="1"/>
    </xf>
    <xf numFmtId="165" fontId="9" fillId="4" borderId="121" xfId="0" applyNumberFormat="1" applyFont="1" applyFill="1" applyBorder="1" applyAlignment="1" applyProtection="1">
      <alignment horizontal="left"/>
      <protection locked="0" hidden="1"/>
    </xf>
    <xf numFmtId="165" fontId="9" fillId="4" borderId="35" xfId="0" applyNumberFormat="1" applyFont="1" applyFill="1" applyBorder="1" applyAlignment="1" applyProtection="1">
      <alignment horizontal="left"/>
      <protection locked="0" hidden="1"/>
    </xf>
    <xf numFmtId="165" fontId="9" fillId="4" borderId="51" xfId="0" applyNumberFormat="1" applyFont="1" applyFill="1" applyBorder="1" applyAlignment="1" applyProtection="1">
      <alignment horizontal="left"/>
      <protection locked="0" hidden="1"/>
    </xf>
    <xf numFmtId="165" fontId="9" fillId="4" borderId="20" xfId="0" applyNumberFormat="1" applyFont="1" applyFill="1" applyBorder="1" applyAlignment="1" applyProtection="1">
      <alignment horizontal="left"/>
      <protection locked="0" hidden="1"/>
    </xf>
    <xf numFmtId="0" fontId="23" fillId="2" borderId="0" xfId="0" applyFont="1" applyFill="1" applyBorder="1" applyAlignment="1" applyProtection="1">
      <alignment horizontal="left" vertical="top" wrapText="1"/>
      <protection hidden="1"/>
    </xf>
    <xf numFmtId="0" fontId="9" fillId="4" borderId="43" xfId="0" applyFont="1" applyFill="1" applyBorder="1" applyAlignment="1" applyProtection="1">
      <alignment horizontal="left" vertical="top"/>
      <protection locked="0"/>
    </xf>
    <xf numFmtId="0" fontId="9" fillId="4" borderId="44" xfId="0" applyFont="1" applyFill="1" applyBorder="1" applyAlignment="1" applyProtection="1">
      <alignment horizontal="left" vertical="top"/>
      <protection locked="0"/>
    </xf>
    <xf numFmtId="0" fontId="9" fillId="4" borderId="45" xfId="0" applyFont="1" applyFill="1" applyBorder="1" applyAlignment="1" applyProtection="1">
      <alignment horizontal="left" vertical="top"/>
      <protection locked="0"/>
    </xf>
    <xf numFmtId="0" fontId="9" fillId="4" borderId="106" xfId="0" applyFont="1" applyFill="1" applyBorder="1" applyAlignment="1" applyProtection="1">
      <alignment horizontal="left"/>
      <protection locked="0" hidden="1"/>
    </xf>
    <xf numFmtId="0" fontId="9" fillId="4" borderId="107" xfId="0" applyFont="1" applyFill="1" applyBorder="1" applyAlignment="1" applyProtection="1">
      <alignment horizontal="left"/>
      <protection locked="0" hidden="1"/>
    </xf>
    <xf numFmtId="0" fontId="14" fillId="2" borderId="15" xfId="0" applyFont="1" applyFill="1" applyBorder="1" applyAlignment="1" applyProtection="1">
      <alignment horizontal="left" vertical="center"/>
      <protection hidden="1"/>
    </xf>
    <xf numFmtId="0" fontId="14" fillId="2" borderId="61" xfId="0" applyFont="1" applyFill="1" applyBorder="1" applyAlignment="1" applyProtection="1">
      <alignment horizontal="left" vertical="center"/>
      <protection hidden="1"/>
    </xf>
    <xf numFmtId="0" fontId="14" fillId="2" borderId="16" xfId="0" applyFont="1" applyFill="1" applyBorder="1" applyAlignment="1" applyProtection="1">
      <alignment horizontal="left" vertical="center"/>
      <protection hidden="1"/>
    </xf>
    <xf numFmtId="0" fontId="14" fillId="2" borderId="14" xfId="0" applyFont="1" applyFill="1" applyBorder="1" applyAlignment="1" applyProtection="1">
      <alignment horizontal="left" vertical="center"/>
      <protection hidden="1"/>
    </xf>
    <xf numFmtId="0" fontId="14" fillId="2" borderId="0" xfId="0" applyFont="1" applyFill="1" applyBorder="1" applyAlignment="1" applyProtection="1">
      <alignment horizontal="left" vertical="center"/>
      <protection hidden="1"/>
    </xf>
    <xf numFmtId="0" fontId="14" fillId="2" borderId="56" xfId="0" applyFont="1" applyFill="1" applyBorder="1" applyAlignment="1" applyProtection="1">
      <alignment horizontal="left" vertical="center"/>
      <protection hidden="1"/>
    </xf>
    <xf numFmtId="0" fontId="9" fillId="0" borderId="48" xfId="0" applyFont="1" applyFill="1" applyBorder="1" applyAlignment="1" applyProtection="1">
      <alignment horizontal="center" vertical="center"/>
      <protection locked="0" hidden="1"/>
    </xf>
    <xf numFmtId="0" fontId="9" fillId="0" borderId="20" xfId="0" applyFont="1" applyFill="1" applyBorder="1" applyAlignment="1" applyProtection="1">
      <alignment horizontal="center" vertical="center"/>
      <protection locked="0" hidden="1"/>
    </xf>
    <xf numFmtId="0" fontId="9" fillId="0" borderId="43" xfId="0" applyFont="1" applyFill="1" applyBorder="1" applyAlignment="1" applyProtection="1">
      <alignment horizontal="center"/>
      <protection locked="0"/>
    </xf>
    <xf numFmtId="0" fontId="9" fillId="0" borderId="45" xfId="0" applyFont="1" applyFill="1" applyBorder="1" applyAlignment="1" applyProtection="1">
      <alignment horizontal="center"/>
      <protection locked="0"/>
    </xf>
    <xf numFmtId="0" fontId="9" fillId="0" borderId="43" xfId="0" applyFont="1" applyFill="1" applyBorder="1" applyAlignment="1" applyProtection="1">
      <alignment horizontal="center" vertical="center"/>
      <protection locked="0" hidden="1"/>
    </xf>
    <xf numFmtId="0" fontId="9" fillId="0" borderId="45" xfId="0" applyFont="1" applyFill="1" applyBorder="1" applyAlignment="1" applyProtection="1">
      <alignment horizontal="center" vertical="center"/>
      <protection locked="0" hidden="1"/>
    </xf>
    <xf numFmtId="0" fontId="38" fillId="2" borderId="0" xfId="0" applyFont="1" applyFill="1" applyBorder="1" applyAlignment="1" applyProtection="1">
      <alignment horizontal="left" vertical="top" wrapText="1"/>
      <protection hidden="1"/>
    </xf>
    <xf numFmtId="0" fontId="38" fillId="2" borderId="56" xfId="0" applyFont="1" applyFill="1" applyBorder="1" applyAlignment="1" applyProtection="1">
      <alignment horizontal="left" vertical="top" wrapText="1"/>
      <protection hidden="1"/>
    </xf>
    <xf numFmtId="0" fontId="38" fillId="2" borderId="18" xfId="0" applyFont="1" applyFill="1" applyBorder="1" applyAlignment="1" applyProtection="1">
      <alignment horizontal="left" vertical="top" wrapText="1"/>
      <protection hidden="1"/>
    </xf>
    <xf numFmtId="0" fontId="38" fillId="2" borderId="19" xfId="0" applyFont="1" applyFill="1" applyBorder="1" applyAlignment="1" applyProtection="1">
      <alignment horizontal="left" vertical="top" wrapText="1"/>
      <protection hidden="1"/>
    </xf>
    <xf numFmtId="0" fontId="9" fillId="0" borderId="1" xfId="0" applyFont="1" applyFill="1" applyBorder="1" applyAlignment="1" applyProtection="1">
      <alignment horizontal="left" vertical="center"/>
      <protection locked="0" hidden="1"/>
    </xf>
    <xf numFmtId="49" fontId="22" fillId="2" borderId="0" xfId="1" applyNumberFormat="1" applyFont="1" applyFill="1" applyBorder="1" applyAlignment="1" applyProtection="1">
      <alignment horizontal="center"/>
      <protection locked="0"/>
    </xf>
    <xf numFmtId="0" fontId="22" fillId="2" borderId="0" xfId="0" applyFont="1" applyFill="1" applyBorder="1" applyAlignment="1" applyProtection="1">
      <alignment horizontal="left" vertical="center"/>
      <protection locked="0" hidden="1"/>
    </xf>
    <xf numFmtId="0" fontId="9" fillId="0" borderId="48" xfId="0" applyFont="1" applyFill="1" applyBorder="1" applyAlignment="1" applyProtection="1">
      <alignment horizontal="left" shrinkToFit="1"/>
      <protection locked="0" hidden="1"/>
    </xf>
    <xf numFmtId="0" fontId="9" fillId="0" borderId="51" xfId="0" applyFont="1" applyFill="1" applyBorder="1" applyAlignment="1" applyProtection="1">
      <alignment horizontal="left" shrinkToFit="1"/>
      <protection locked="0" hidden="1"/>
    </xf>
    <xf numFmtId="0" fontId="9" fillId="0" borderId="20" xfId="0" applyFont="1" applyFill="1" applyBorder="1" applyAlignment="1" applyProtection="1">
      <alignment horizontal="left" shrinkToFit="1"/>
      <protection locked="0" hidden="1"/>
    </xf>
    <xf numFmtId="0" fontId="11" fillId="0" borderId="48" xfId="0" applyFont="1" applyFill="1" applyBorder="1" applyAlignment="1" applyProtection="1">
      <alignment horizontal="center" vertical="center" shrinkToFit="1"/>
      <protection locked="0" hidden="1"/>
    </xf>
    <xf numFmtId="0" fontId="11" fillId="0" borderId="51" xfId="0" applyFont="1" applyFill="1" applyBorder="1" applyAlignment="1" applyProtection="1">
      <alignment horizontal="center" vertical="center" shrinkToFit="1"/>
      <protection locked="0" hidden="1"/>
    </xf>
    <xf numFmtId="0" fontId="11" fillId="0" borderId="20" xfId="0" applyFont="1" applyFill="1" applyBorder="1" applyAlignment="1" applyProtection="1">
      <alignment horizontal="center" vertical="center" shrinkToFit="1"/>
      <protection locked="0" hidden="1"/>
    </xf>
    <xf numFmtId="0" fontId="12" fillId="2" borderId="0" xfId="0" applyFont="1" applyFill="1" applyBorder="1" applyAlignment="1" applyProtection="1">
      <alignment horizontal="left" vertical="center"/>
      <protection hidden="1"/>
    </xf>
    <xf numFmtId="0" fontId="9" fillId="0" borderId="51" xfId="0" applyFont="1" applyFill="1" applyBorder="1" applyAlignment="1" applyProtection="1">
      <alignment horizontal="left" vertical="center"/>
      <protection locked="0" hidden="1"/>
    </xf>
    <xf numFmtId="0" fontId="22" fillId="2" borderId="21" xfId="0" applyFont="1" applyFill="1" applyBorder="1" applyAlignment="1" applyProtection="1">
      <alignment horizontal="left" vertical="center"/>
      <protection locked="0" hidden="1"/>
    </xf>
    <xf numFmtId="0" fontId="9" fillId="0" borderId="48" xfId="0" applyFont="1" applyFill="1" applyBorder="1" applyAlignment="1" applyProtection="1">
      <alignment horizontal="left" vertical="center" shrinkToFit="1"/>
      <protection locked="0" hidden="1"/>
    </xf>
    <xf numFmtId="0" fontId="9" fillId="0" borderId="51" xfId="0" applyFont="1" applyFill="1" applyBorder="1" applyAlignment="1" applyProtection="1">
      <alignment horizontal="left" vertical="center" shrinkToFit="1"/>
      <protection locked="0" hidden="1"/>
    </xf>
    <xf numFmtId="0" fontId="9" fillId="0" borderId="20" xfId="0" applyFont="1" applyFill="1" applyBorder="1" applyAlignment="1" applyProtection="1">
      <alignment horizontal="left" vertical="center" shrinkToFit="1"/>
      <protection locked="0" hidden="1"/>
    </xf>
    <xf numFmtId="0" fontId="9" fillId="4" borderId="48" xfId="0" applyFont="1" applyFill="1" applyBorder="1" applyAlignment="1" applyProtection="1">
      <alignment horizontal="left" vertical="center"/>
      <protection locked="0" hidden="1"/>
    </xf>
    <xf numFmtId="0" fontId="9" fillId="4" borderId="51" xfId="0" applyFont="1" applyFill="1" applyBorder="1" applyAlignment="1" applyProtection="1">
      <alignment horizontal="left" vertical="center"/>
      <protection locked="0" hidden="1"/>
    </xf>
    <xf numFmtId="0" fontId="9" fillId="4" borderId="20" xfId="0" applyFont="1" applyFill="1" applyBorder="1" applyAlignment="1" applyProtection="1">
      <alignment horizontal="left" vertical="center"/>
      <protection locked="0" hidden="1"/>
    </xf>
    <xf numFmtId="0" fontId="9" fillId="0" borderId="43" xfId="0" applyFont="1" applyFill="1" applyBorder="1" applyAlignment="1" applyProtection="1">
      <alignment horizontal="left"/>
      <protection locked="0"/>
    </xf>
    <xf numFmtId="0" fontId="9" fillId="0" borderId="44" xfId="0" applyFont="1" applyFill="1" applyBorder="1" applyAlignment="1" applyProtection="1">
      <alignment horizontal="left"/>
      <protection locked="0"/>
    </xf>
    <xf numFmtId="0" fontId="9" fillId="0" borderId="45" xfId="0" applyFont="1" applyFill="1" applyBorder="1" applyAlignment="1" applyProtection="1">
      <alignment horizontal="left"/>
      <protection locked="0"/>
    </xf>
    <xf numFmtId="0" fontId="9" fillId="2" borderId="0" xfId="0" applyFont="1" applyFill="1" applyBorder="1" applyAlignment="1" applyProtection="1">
      <alignment horizontal="left" vertical="center"/>
      <protection hidden="1"/>
    </xf>
    <xf numFmtId="164" fontId="9" fillId="2" borderId="0" xfId="0" applyNumberFormat="1" applyFont="1" applyFill="1" applyBorder="1" applyAlignment="1" applyProtection="1">
      <alignment horizontal="left" vertical="center"/>
      <protection hidden="1"/>
    </xf>
    <xf numFmtId="0" fontId="22" fillId="2" borderId="0" xfId="0" applyFont="1" applyFill="1" applyBorder="1" applyAlignment="1" applyProtection="1">
      <alignment horizontal="left" vertical="top" wrapText="1"/>
      <protection hidden="1"/>
    </xf>
    <xf numFmtId="0" fontId="22" fillId="2" borderId="18" xfId="0" applyFont="1" applyFill="1" applyBorder="1" applyAlignment="1" applyProtection="1">
      <alignment horizontal="left" vertical="top" wrapText="1"/>
      <protection hidden="1"/>
    </xf>
    <xf numFmtId="0" fontId="9" fillId="0" borderId="43" xfId="0" applyFont="1" applyFill="1" applyBorder="1" applyAlignment="1" applyProtection="1">
      <alignment horizontal="left" vertical="center"/>
      <protection locked="0"/>
    </xf>
    <xf numFmtId="0" fontId="9" fillId="0" borderId="44" xfId="0" applyFont="1" applyFill="1" applyBorder="1" applyAlignment="1" applyProtection="1">
      <alignment horizontal="left" vertical="center"/>
      <protection locked="0"/>
    </xf>
    <xf numFmtId="0" fontId="9" fillId="0" borderId="45" xfId="0" applyFont="1" applyFill="1" applyBorder="1" applyAlignment="1" applyProtection="1">
      <alignment horizontal="left" vertical="center"/>
      <protection locked="0"/>
    </xf>
    <xf numFmtId="0" fontId="11" fillId="2" borderId="0" xfId="0" applyFont="1" applyFill="1" applyBorder="1" applyAlignment="1" applyProtection="1">
      <alignment horizontal="center" textRotation="90"/>
      <protection hidden="1"/>
    </xf>
    <xf numFmtId="0" fontId="11" fillId="2" borderId="35" xfId="0" applyFont="1" applyFill="1" applyBorder="1" applyAlignment="1" applyProtection="1">
      <alignment horizontal="center" textRotation="90"/>
      <protection hidden="1"/>
    </xf>
    <xf numFmtId="0" fontId="11" fillId="2" borderId="21" xfId="0" applyFont="1" applyFill="1" applyBorder="1" applyAlignment="1" applyProtection="1">
      <alignment horizontal="center" vertical="top" textRotation="90"/>
      <protection hidden="1"/>
    </xf>
    <xf numFmtId="0" fontId="11" fillId="2" borderId="0" xfId="0" applyFont="1" applyFill="1" applyBorder="1" applyAlignment="1" applyProtection="1">
      <alignment horizontal="center" vertical="top" textRotation="90"/>
      <protection hidden="1"/>
    </xf>
    <xf numFmtId="0" fontId="11" fillId="0" borderId="57" xfId="0" applyFont="1" applyFill="1" applyBorder="1" applyAlignment="1" applyProtection="1">
      <alignment horizontal="center" vertical="center" textRotation="90"/>
      <protection locked="0" hidden="1"/>
    </xf>
    <xf numFmtId="0" fontId="11" fillId="0" borderId="58" xfId="0" applyFont="1" applyFill="1" applyBorder="1" applyAlignment="1" applyProtection="1">
      <alignment horizontal="center" vertical="center" textRotation="90"/>
      <protection locked="0" hidden="1"/>
    </xf>
    <xf numFmtId="0" fontId="11" fillId="0" borderId="59" xfId="0" applyFont="1" applyFill="1" applyBorder="1" applyAlignment="1" applyProtection="1">
      <alignment horizontal="center" vertical="center" textRotation="90"/>
      <protection locked="0" hidden="1"/>
    </xf>
    <xf numFmtId="0" fontId="9" fillId="4" borderId="43" xfId="0" applyFont="1" applyFill="1" applyBorder="1" applyAlignment="1" applyProtection="1">
      <alignment horizontal="left" vertical="center"/>
      <protection locked="0"/>
    </xf>
    <xf numFmtId="0" fontId="9" fillId="4" borderId="44" xfId="0" applyFont="1" applyFill="1" applyBorder="1" applyAlignment="1" applyProtection="1">
      <alignment horizontal="left" vertical="center"/>
      <protection locked="0"/>
    </xf>
    <xf numFmtId="0" fontId="9" fillId="4" borderId="45" xfId="0" applyFont="1" applyFill="1" applyBorder="1" applyAlignment="1" applyProtection="1">
      <alignment horizontal="left" vertical="center"/>
      <protection locked="0"/>
    </xf>
    <xf numFmtId="0" fontId="9" fillId="0" borderId="46" xfId="0" applyFont="1" applyFill="1" applyBorder="1" applyAlignment="1" applyProtection="1">
      <alignment horizontal="left" vertical="center"/>
      <protection locked="0" hidden="1"/>
    </xf>
    <xf numFmtId="0" fontId="9" fillId="0" borderId="64" xfId="0" applyFont="1" applyFill="1" applyBorder="1" applyAlignment="1" applyProtection="1">
      <alignment horizontal="left" vertical="center"/>
      <protection locked="0" hidden="1"/>
    </xf>
    <xf numFmtId="0" fontId="9" fillId="0" borderId="47" xfId="0" applyFont="1" applyFill="1" applyBorder="1" applyAlignment="1" applyProtection="1">
      <alignment horizontal="left" vertical="center"/>
      <protection locked="0" hidden="1"/>
    </xf>
    <xf numFmtId="0" fontId="30" fillId="4" borderId="76" xfId="0" applyFont="1" applyFill="1" applyBorder="1" applyAlignment="1" applyProtection="1">
      <alignment horizontal="left" wrapText="1"/>
      <protection hidden="1"/>
    </xf>
    <xf numFmtId="0" fontId="30" fillId="4" borderId="56" xfId="0" applyFont="1" applyFill="1" applyBorder="1" applyAlignment="1" applyProtection="1">
      <alignment horizontal="left" wrapText="1"/>
      <protection hidden="1"/>
    </xf>
    <xf numFmtId="0" fontId="30" fillId="4" borderId="77" xfId="0" applyFont="1" applyFill="1" applyBorder="1" applyAlignment="1" applyProtection="1">
      <alignment horizontal="left" wrapText="1"/>
      <protection hidden="1"/>
    </xf>
    <xf numFmtId="0" fontId="11" fillId="2" borderId="14" xfId="0" applyFont="1" applyFill="1" applyBorder="1" applyAlignment="1" applyProtection="1">
      <alignment horizontal="right" textRotation="90"/>
      <protection hidden="1"/>
    </xf>
    <xf numFmtId="0" fontId="11" fillId="2" borderId="17" xfId="0" applyFont="1" applyFill="1" applyBorder="1" applyAlignment="1" applyProtection="1">
      <alignment horizontal="right" textRotation="90"/>
      <protection hidden="1"/>
    </xf>
    <xf numFmtId="0" fontId="11" fillId="2" borderId="56" xfId="0" applyFont="1" applyFill="1" applyBorder="1" applyAlignment="1" applyProtection="1">
      <alignment horizontal="center" textRotation="90"/>
      <protection hidden="1"/>
    </xf>
    <xf numFmtId="0" fontId="11" fillId="2" borderId="19" xfId="0" applyFont="1" applyFill="1" applyBorder="1" applyAlignment="1" applyProtection="1">
      <alignment horizontal="center" textRotation="90"/>
      <protection hidden="1"/>
    </xf>
    <xf numFmtId="0" fontId="9" fillId="0" borderId="48" xfId="0" applyFont="1" applyFill="1" applyBorder="1" applyAlignment="1" applyProtection="1">
      <alignment horizontal="center" vertical="center" shrinkToFit="1"/>
      <protection locked="0"/>
    </xf>
    <xf numFmtId="0" fontId="9" fillId="0" borderId="20" xfId="0" applyFont="1" applyFill="1" applyBorder="1" applyAlignment="1" applyProtection="1">
      <alignment horizontal="center" vertical="center" shrinkToFit="1"/>
      <protection locked="0"/>
    </xf>
    <xf numFmtId="0" fontId="40" fillId="2" borderId="0" xfId="0" applyFont="1" applyFill="1" applyBorder="1" applyAlignment="1" applyProtection="1">
      <alignment horizontal="center" vertical="center"/>
      <protection locked="0"/>
    </xf>
    <xf numFmtId="0" fontId="22" fillId="2" borderId="35" xfId="0" applyFont="1" applyFill="1" applyBorder="1" applyAlignment="1" applyProtection="1">
      <alignment horizontal="center"/>
      <protection hidden="1"/>
    </xf>
    <xf numFmtId="0" fontId="34" fillId="2" borderId="41" xfId="0" applyFont="1" applyFill="1" applyBorder="1" applyAlignment="1" applyProtection="1">
      <alignment horizontal="center"/>
      <protection locked="0"/>
    </xf>
    <xf numFmtId="0" fontId="9" fillId="2" borderId="41" xfId="0" applyFont="1" applyFill="1" applyBorder="1" applyAlignment="1" applyProtection="1">
      <alignment horizontal="center"/>
      <protection hidden="1"/>
    </xf>
    <xf numFmtId="0" fontId="17" fillId="0" borderId="60" xfId="0" applyFont="1" applyFill="1" applyBorder="1" applyAlignment="1" applyProtection="1">
      <alignment horizontal="center" shrinkToFit="1"/>
      <protection locked="0" hidden="1"/>
    </xf>
    <xf numFmtId="0" fontId="17" fillId="0" borderId="40" xfId="0" applyFont="1" applyFill="1" applyBorder="1" applyAlignment="1" applyProtection="1">
      <alignment horizontal="center" shrinkToFit="1"/>
      <protection locked="0" hidden="1"/>
    </xf>
    <xf numFmtId="0" fontId="15" fillId="2" borderId="0" xfId="0" applyFont="1" applyFill="1" applyBorder="1" applyAlignment="1" applyProtection="1">
      <alignment horizontal="center" vertical="center"/>
      <protection hidden="1"/>
    </xf>
    <xf numFmtId="0" fontId="11"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left" vertical="center" shrinkToFit="1"/>
      <protection hidden="1"/>
    </xf>
    <xf numFmtId="49" fontId="9" fillId="0" borderId="53" xfId="0" applyNumberFormat="1" applyFont="1" applyFill="1" applyBorder="1" applyAlignment="1" applyProtection="1">
      <alignment horizontal="left"/>
      <protection locked="0"/>
    </xf>
    <xf numFmtId="49" fontId="9" fillId="0" borderId="54" xfId="0" applyNumberFormat="1" applyFont="1" applyFill="1" applyBorder="1" applyAlignment="1" applyProtection="1">
      <alignment horizontal="left"/>
      <protection locked="0"/>
    </xf>
    <xf numFmtId="49" fontId="9" fillId="0" borderId="55" xfId="0" applyNumberFormat="1" applyFont="1" applyFill="1" applyBorder="1" applyAlignment="1" applyProtection="1">
      <alignment horizontal="left"/>
      <protection locked="0"/>
    </xf>
    <xf numFmtId="0" fontId="9" fillId="4" borderId="53" xfId="0" applyFont="1" applyFill="1" applyBorder="1" applyAlignment="1" applyProtection="1">
      <alignment horizontal="left"/>
      <protection locked="0"/>
    </xf>
    <xf numFmtId="0" fontId="9" fillId="4" borderId="54" xfId="0" applyFont="1" applyFill="1" applyBorder="1" applyAlignment="1" applyProtection="1">
      <alignment horizontal="left"/>
      <protection locked="0"/>
    </xf>
    <xf numFmtId="0" fontId="9" fillId="4" borderId="55" xfId="0" applyFont="1" applyFill="1" applyBorder="1" applyAlignment="1" applyProtection="1">
      <alignment horizontal="left"/>
      <protection locked="0"/>
    </xf>
    <xf numFmtId="0" fontId="11" fillId="2" borderId="15" xfId="0" applyFont="1" applyFill="1" applyBorder="1" applyAlignment="1" applyProtection="1">
      <alignment horizontal="left" shrinkToFit="1"/>
      <protection hidden="1"/>
    </xf>
    <xf numFmtId="0" fontId="11" fillId="2" borderId="61" xfId="0" applyFont="1" applyFill="1" applyBorder="1" applyAlignment="1" applyProtection="1">
      <alignment horizontal="left" shrinkToFit="1"/>
      <protection hidden="1"/>
    </xf>
    <xf numFmtId="0" fontId="11" fillId="2" borderId="73" xfId="0" applyFont="1" applyFill="1" applyBorder="1" applyAlignment="1" applyProtection="1">
      <alignment horizontal="left" shrinkToFit="1"/>
      <protection hidden="1"/>
    </xf>
    <xf numFmtId="0" fontId="9" fillId="0" borderId="53" xfId="0" applyFont="1" applyFill="1" applyBorder="1" applyAlignment="1" applyProtection="1">
      <alignment horizontal="left"/>
      <protection locked="0"/>
    </xf>
    <xf numFmtId="0" fontId="9" fillId="0" borderId="54" xfId="0" applyFont="1" applyFill="1" applyBorder="1" applyAlignment="1" applyProtection="1">
      <alignment horizontal="left"/>
      <protection locked="0"/>
    </xf>
    <xf numFmtId="0" fontId="9" fillId="0" borderId="55" xfId="0" applyFont="1" applyFill="1" applyBorder="1" applyAlignment="1" applyProtection="1">
      <alignment horizontal="left"/>
      <protection locked="0"/>
    </xf>
    <xf numFmtId="1" fontId="9" fillId="0" borderId="53" xfId="0" applyNumberFormat="1" applyFont="1" applyFill="1" applyBorder="1" applyAlignment="1" applyProtection="1">
      <alignment horizontal="left"/>
      <protection locked="0"/>
    </xf>
    <xf numFmtId="1" fontId="9" fillId="0" borderId="54" xfId="0" applyNumberFormat="1" applyFont="1" applyFill="1" applyBorder="1" applyAlignment="1" applyProtection="1">
      <alignment horizontal="left"/>
      <protection locked="0"/>
    </xf>
    <xf numFmtId="1" fontId="9" fillId="0" borderId="55" xfId="0" applyNumberFormat="1" applyFont="1" applyFill="1" applyBorder="1" applyAlignment="1" applyProtection="1">
      <alignment horizontal="left"/>
      <protection locked="0"/>
    </xf>
    <xf numFmtId="14" fontId="9" fillId="0" borderId="71" xfId="0" applyNumberFormat="1" applyFont="1" applyFill="1" applyBorder="1" applyAlignment="1" applyProtection="1">
      <alignment horizontal="left"/>
      <protection locked="0"/>
    </xf>
    <xf numFmtId="14" fontId="9" fillId="0" borderId="18" xfId="0" applyNumberFormat="1" applyFont="1" applyFill="1" applyBorder="1" applyAlignment="1" applyProtection="1">
      <alignment horizontal="left"/>
      <protection locked="0"/>
    </xf>
    <xf numFmtId="14" fontId="9" fillId="0" borderId="72" xfId="0" applyNumberFormat="1" applyFont="1" applyFill="1" applyBorder="1" applyAlignment="1" applyProtection="1">
      <alignment horizontal="left"/>
      <protection locked="0"/>
    </xf>
    <xf numFmtId="0" fontId="9" fillId="4" borderId="43" xfId="0" applyFont="1" applyFill="1" applyBorder="1" applyAlignment="1" applyProtection="1">
      <alignment horizontal="left"/>
      <protection locked="0"/>
    </xf>
    <xf numFmtId="0" fontId="9" fillId="4" borderId="44" xfId="0" applyFont="1" applyFill="1" applyBorder="1" applyAlignment="1" applyProtection="1">
      <alignment horizontal="left"/>
      <protection locked="0"/>
    </xf>
    <xf numFmtId="0" fontId="9" fillId="4" borderId="45" xfId="0" applyFont="1" applyFill="1" applyBorder="1" applyAlignment="1" applyProtection="1">
      <alignment horizontal="left"/>
      <protection locked="0"/>
    </xf>
    <xf numFmtId="0" fontId="9" fillId="4" borderId="15" xfId="0" quotePrefix="1" applyFont="1" applyFill="1" applyBorder="1" applyAlignment="1" applyProtection="1">
      <alignment horizontal="left" vertical="top" wrapText="1"/>
      <protection locked="0"/>
    </xf>
    <xf numFmtId="0" fontId="9" fillId="4" borderId="61" xfId="0" applyFont="1" applyFill="1" applyBorder="1" applyAlignment="1" applyProtection="1">
      <alignment horizontal="left" vertical="top" wrapText="1"/>
      <protection locked="0"/>
    </xf>
    <xf numFmtId="0" fontId="9" fillId="4" borderId="16" xfId="0" applyFont="1" applyFill="1" applyBorder="1" applyAlignment="1" applyProtection="1">
      <alignment horizontal="left" vertical="top" wrapText="1"/>
      <protection locked="0"/>
    </xf>
    <xf numFmtId="0" fontId="9" fillId="4" borderId="14" xfId="0" applyFont="1" applyFill="1" applyBorder="1" applyAlignment="1" applyProtection="1">
      <alignment horizontal="left" vertical="top" wrapText="1"/>
      <protection locked="0"/>
    </xf>
    <xf numFmtId="0" fontId="9" fillId="4" borderId="0" xfId="0" applyFont="1" applyFill="1" applyBorder="1" applyAlignment="1" applyProtection="1">
      <alignment horizontal="left" vertical="top" wrapText="1"/>
      <protection locked="0"/>
    </xf>
    <xf numFmtId="0" fontId="9" fillId="4" borderId="56" xfId="0" applyFont="1" applyFill="1" applyBorder="1" applyAlignment="1" applyProtection="1">
      <alignment horizontal="left" vertical="top" wrapText="1"/>
      <protection locked="0"/>
    </xf>
    <xf numFmtId="0" fontId="9" fillId="4" borderId="17" xfId="0" applyFont="1" applyFill="1" applyBorder="1" applyAlignment="1" applyProtection="1">
      <alignment horizontal="left" vertical="top" wrapText="1"/>
      <protection locked="0"/>
    </xf>
    <xf numFmtId="0" fontId="9" fillId="4" borderId="18" xfId="0" applyFont="1" applyFill="1" applyBorder="1" applyAlignment="1" applyProtection="1">
      <alignment horizontal="left" vertical="top" wrapText="1"/>
      <protection locked="0"/>
    </xf>
    <xf numFmtId="0" fontId="9" fillId="4" borderId="19" xfId="0" applyFont="1" applyFill="1" applyBorder="1" applyAlignment="1" applyProtection="1">
      <alignment horizontal="left" vertical="top" wrapText="1"/>
      <protection locked="0"/>
    </xf>
    <xf numFmtId="0" fontId="18" fillId="2" borderId="41" xfId="0" applyFont="1" applyFill="1" applyBorder="1" applyAlignment="1" applyProtection="1">
      <alignment horizontal="center"/>
      <protection hidden="1"/>
    </xf>
    <xf numFmtId="0" fontId="36" fillId="2" borderId="61" xfId="0" applyFont="1" applyFill="1" applyBorder="1" applyAlignment="1" applyProtection="1">
      <alignment horizontal="left" vertical="center"/>
      <protection hidden="1"/>
    </xf>
    <xf numFmtId="0" fontId="36" fillId="2" borderId="114" xfId="0" applyFont="1" applyFill="1" applyBorder="1" applyAlignment="1" applyProtection="1">
      <alignment horizontal="left" vertical="center"/>
      <protection hidden="1"/>
    </xf>
    <xf numFmtId="0" fontId="25" fillId="2" borderId="109" xfId="0" applyFont="1" applyFill="1" applyBorder="1" applyAlignment="1" applyProtection="1">
      <alignment horizontal="left" vertical="center"/>
      <protection hidden="1"/>
    </xf>
    <xf numFmtId="0" fontId="25" fillId="2" borderId="0" xfId="0" applyFont="1" applyFill="1" applyBorder="1" applyAlignment="1" applyProtection="1">
      <alignment horizontal="left" vertical="center"/>
      <protection hidden="1"/>
    </xf>
    <xf numFmtId="0" fontId="30" fillId="2" borderId="0" xfId="0" applyFont="1" applyFill="1" applyBorder="1" applyAlignment="1" applyProtection="1">
      <alignment horizontal="left" vertical="top" wrapText="1"/>
      <protection hidden="1"/>
    </xf>
    <xf numFmtId="0" fontId="9" fillId="0" borderId="48" xfId="0" applyFont="1" applyFill="1" applyBorder="1" applyAlignment="1" applyProtection="1">
      <alignment horizontal="left" vertical="center"/>
      <protection locked="0"/>
    </xf>
    <xf numFmtId="0" fontId="9" fillId="0" borderId="51" xfId="0" applyFont="1" applyFill="1" applyBorder="1" applyAlignment="1" applyProtection="1">
      <alignment horizontal="left" vertical="center"/>
      <protection locked="0"/>
    </xf>
    <xf numFmtId="0" fontId="9" fillId="0" borderId="20" xfId="0" applyFont="1" applyFill="1" applyBorder="1" applyAlignment="1" applyProtection="1">
      <alignment horizontal="left" vertical="center"/>
      <protection locked="0"/>
    </xf>
    <xf numFmtId="0" fontId="5" fillId="4" borderId="48" xfId="0" applyFont="1" applyFill="1" applyBorder="1" applyAlignment="1" applyProtection="1">
      <alignment horizontal="left" vertical="center"/>
      <protection locked="0" hidden="1"/>
    </xf>
    <xf numFmtId="0" fontId="5" fillId="4" borderId="20" xfId="0" applyFont="1" applyFill="1" applyBorder="1" applyAlignment="1" applyProtection="1">
      <alignment horizontal="left" vertical="center"/>
      <protection locked="0" hidden="1"/>
    </xf>
    <xf numFmtId="49" fontId="1" fillId="4" borderId="43" xfId="0" applyNumberFormat="1" applyFont="1" applyFill="1" applyBorder="1" applyAlignment="1" applyProtection="1">
      <alignment horizontal="left" vertical="center"/>
      <protection locked="0" hidden="1"/>
    </xf>
    <xf numFmtId="49" fontId="5" fillId="4" borderId="45" xfId="0" applyNumberFormat="1" applyFont="1" applyFill="1" applyBorder="1" applyAlignment="1" applyProtection="1">
      <alignment horizontal="left" vertical="center"/>
      <protection locked="0" hidden="1"/>
    </xf>
    <xf numFmtId="0" fontId="5" fillId="4" borderId="51" xfId="0" applyFont="1" applyFill="1" applyBorder="1" applyAlignment="1" applyProtection="1">
      <alignment horizontal="left" vertical="center"/>
      <protection locked="0" hidden="1"/>
    </xf>
    <xf numFmtId="0" fontId="5" fillId="4" borderId="43" xfId="0" applyFont="1" applyFill="1" applyBorder="1" applyAlignment="1" applyProtection="1">
      <alignment horizontal="left" vertical="center"/>
      <protection locked="0"/>
    </xf>
    <xf numFmtId="0" fontId="5" fillId="4" borderId="44" xfId="0" applyFont="1" applyFill="1" applyBorder="1" applyAlignment="1" applyProtection="1">
      <alignment horizontal="left" vertical="center"/>
      <protection locked="0"/>
    </xf>
    <xf numFmtId="0" fontId="5" fillId="4" borderId="45" xfId="0" applyFont="1" applyFill="1" applyBorder="1" applyAlignment="1" applyProtection="1">
      <alignment horizontal="left" vertical="center"/>
      <protection locked="0"/>
    </xf>
    <xf numFmtId="0" fontId="9" fillId="2" borderId="18" xfId="0" applyFont="1" applyFill="1" applyBorder="1" applyAlignment="1" applyProtection="1">
      <alignment horizontal="center"/>
      <protection hidden="1"/>
    </xf>
    <xf numFmtId="0" fontId="9" fillId="5" borderId="0" xfId="0" applyFont="1" applyFill="1" applyBorder="1" applyAlignment="1" applyProtection="1">
      <alignment horizontal="left" vertical="center"/>
    </xf>
    <xf numFmtId="0" fontId="17" fillId="2" borderId="0" xfId="0" applyFont="1" applyFill="1" applyBorder="1" applyAlignment="1" applyProtection="1">
      <alignment horizontal="left" vertical="top" wrapText="1"/>
      <protection hidden="1"/>
    </xf>
    <xf numFmtId="0" fontId="17" fillId="2" borderId="56" xfId="0" applyFont="1" applyFill="1" applyBorder="1" applyAlignment="1" applyProtection="1">
      <alignment horizontal="left" vertical="top" wrapText="1"/>
      <protection hidden="1"/>
    </xf>
    <xf numFmtId="0" fontId="17" fillId="2" borderId="0" xfId="0" applyFont="1" applyFill="1" applyBorder="1" applyAlignment="1" applyProtection="1">
      <alignment horizontal="left" wrapText="1"/>
      <protection hidden="1"/>
    </xf>
    <xf numFmtId="0" fontId="17" fillId="2" borderId="56" xfId="0" applyFont="1" applyFill="1" applyBorder="1" applyAlignment="1" applyProtection="1">
      <alignment horizontal="left" wrapText="1"/>
      <protection hidden="1"/>
    </xf>
    <xf numFmtId="0" fontId="9" fillId="2" borderId="0" xfId="0" applyFont="1" applyFill="1" applyBorder="1" applyAlignment="1" applyProtection="1">
      <alignment horizontal="center" vertical="center"/>
      <protection locked="0" hidden="1"/>
    </xf>
    <xf numFmtId="0" fontId="9" fillId="2" borderId="90" xfId="0" applyFont="1" applyFill="1" applyBorder="1" applyAlignment="1" applyProtection="1">
      <alignment horizontal="left" vertical="center" shrinkToFit="1"/>
      <protection hidden="1"/>
    </xf>
    <xf numFmtId="0" fontId="11" fillId="0" borderId="43" xfId="0" applyFont="1" applyFill="1" applyBorder="1" applyAlignment="1" applyProtection="1">
      <alignment horizontal="center" vertical="center"/>
      <protection locked="0" hidden="1"/>
    </xf>
    <xf numFmtId="0" fontId="11" fillId="0" borderId="44" xfId="0" applyFont="1" applyFill="1" applyBorder="1" applyAlignment="1" applyProtection="1">
      <alignment horizontal="center" vertical="center"/>
      <protection locked="0" hidden="1"/>
    </xf>
    <xf numFmtId="0" fontId="11" fillId="0" borderId="45" xfId="0" applyFont="1" applyFill="1" applyBorder="1" applyAlignment="1" applyProtection="1">
      <alignment horizontal="center" vertical="center"/>
      <protection locked="0" hidden="1"/>
    </xf>
    <xf numFmtId="0" fontId="22" fillId="2" borderId="35" xfId="0" applyFont="1" applyFill="1" applyBorder="1" applyAlignment="1" applyProtection="1">
      <alignment horizontal="center" vertical="center"/>
      <protection locked="0" hidden="1"/>
    </xf>
    <xf numFmtId="0" fontId="11" fillId="2" borderId="0" xfId="0" applyFont="1" applyFill="1" applyBorder="1" applyAlignment="1" applyProtection="1">
      <alignment horizontal="right" wrapText="1"/>
      <protection hidden="1"/>
    </xf>
    <xf numFmtId="0" fontId="3" fillId="4" borderId="48" xfId="0" applyFont="1" applyFill="1" applyBorder="1" applyAlignment="1" applyProtection="1">
      <alignment horizontal="left" vertical="center"/>
      <protection locked="0" hidden="1"/>
    </xf>
    <xf numFmtId="0" fontId="3" fillId="4" borderId="51" xfId="0" applyFont="1" applyFill="1" applyBorder="1" applyAlignment="1" applyProtection="1">
      <alignment horizontal="left" vertical="center"/>
      <protection locked="0" hidden="1"/>
    </xf>
    <xf numFmtId="0" fontId="3" fillId="4" borderId="20" xfId="0" applyFont="1" applyFill="1" applyBorder="1" applyAlignment="1" applyProtection="1">
      <alignment horizontal="left" vertical="center"/>
      <protection locked="0" hidden="1"/>
    </xf>
    <xf numFmtId="0" fontId="9" fillId="2" borderId="0" xfId="0" applyFont="1" applyFill="1" applyBorder="1" applyAlignment="1" applyProtection="1">
      <alignment horizontal="center" vertical="center"/>
      <protection hidden="1"/>
    </xf>
    <xf numFmtId="0" fontId="1" fillId="4" borderId="48" xfId="0" applyFont="1" applyFill="1" applyBorder="1" applyAlignment="1" applyProtection="1">
      <alignment horizontal="left" vertical="center"/>
      <protection locked="0" hidden="1"/>
    </xf>
    <xf numFmtId="0" fontId="1" fillId="4" borderId="51" xfId="0" applyFont="1" applyFill="1" applyBorder="1" applyAlignment="1" applyProtection="1">
      <alignment horizontal="left" vertical="center"/>
      <protection locked="0" hidden="1"/>
    </xf>
    <xf numFmtId="0" fontId="1" fillId="4" borderId="20" xfId="0" applyFont="1" applyFill="1" applyBorder="1" applyAlignment="1" applyProtection="1">
      <alignment horizontal="left" vertical="center"/>
      <protection locked="0" hidden="1"/>
    </xf>
    <xf numFmtId="0" fontId="1" fillId="4" borderId="43" xfId="0" applyFont="1" applyFill="1" applyBorder="1" applyAlignment="1" applyProtection="1">
      <alignment horizontal="left" vertical="center"/>
      <protection locked="0"/>
    </xf>
    <xf numFmtId="0" fontId="1" fillId="4" borderId="44" xfId="0" applyFont="1" applyFill="1" applyBorder="1" applyAlignment="1" applyProtection="1">
      <alignment horizontal="left" vertical="center"/>
      <protection locked="0"/>
    </xf>
    <xf numFmtId="0" fontId="1" fillId="4" borderId="45" xfId="0" applyFont="1" applyFill="1" applyBorder="1" applyAlignment="1" applyProtection="1">
      <alignment horizontal="left" vertical="center"/>
      <protection locked="0"/>
    </xf>
    <xf numFmtId="49" fontId="1" fillId="4" borderId="45" xfId="0" applyNumberFormat="1" applyFont="1" applyFill="1" applyBorder="1" applyAlignment="1" applyProtection="1">
      <alignment horizontal="left" vertical="center"/>
      <protection locked="0" hidden="1"/>
    </xf>
    <xf numFmtId="0" fontId="1" fillId="4" borderId="48" xfId="0" applyFont="1" applyFill="1" applyBorder="1" applyAlignment="1" applyProtection="1">
      <alignment horizontal="left"/>
      <protection locked="0" hidden="1"/>
    </xf>
    <xf numFmtId="0" fontId="1" fillId="4" borderId="20" xfId="0" applyFont="1" applyFill="1" applyBorder="1" applyAlignment="1" applyProtection="1">
      <alignment horizontal="left"/>
      <protection locked="0" hidden="1"/>
    </xf>
    <xf numFmtId="0" fontId="47" fillId="8" borderId="61" xfId="0" applyFont="1" applyFill="1" applyBorder="1" applyAlignment="1" applyProtection="1">
      <alignment horizontal="left" vertical="center"/>
      <protection hidden="1"/>
    </xf>
    <xf numFmtId="0" fontId="47" fillId="8" borderId="35" xfId="0" applyFont="1" applyFill="1" applyBorder="1" applyAlignment="1" applyProtection="1">
      <alignment horizontal="left" vertical="center"/>
      <protection hidden="1"/>
    </xf>
    <xf numFmtId="0" fontId="47" fillId="7" borderId="61" xfId="0" applyFont="1" applyFill="1" applyBorder="1" applyAlignment="1" applyProtection="1">
      <alignment horizontal="left" vertical="center"/>
      <protection hidden="1"/>
    </xf>
    <xf numFmtId="0" fontId="47" fillId="7" borderId="35" xfId="0" applyFont="1" applyFill="1" applyBorder="1" applyAlignment="1" applyProtection="1">
      <alignment horizontal="left" vertical="center"/>
      <protection hidden="1"/>
    </xf>
  </cellXfs>
  <cellStyles count="3">
    <cellStyle name="Komma" xfId="1" builtinId="3"/>
    <cellStyle name="Link" xfId="2" builtinId="8"/>
    <cellStyle name="Standard" xfId="0" builtinId="0"/>
  </cellStyles>
  <dxfs count="1669">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bgColor theme="0" tint="-0.14996795556505021"/>
        </patternFill>
      </fill>
      <border>
        <left/>
        <right/>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0" tint="-0.14996795556505021"/>
        </patternFill>
      </fill>
      <border>
        <left/>
        <right/>
        <top/>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right style="thin">
          <color rgb="FFFF0000"/>
        </right>
        <bottom style="thin">
          <color rgb="FFFF0000"/>
        </bottom>
        <vertical/>
        <horizontal/>
      </border>
    </dxf>
    <dxf>
      <border>
        <right style="thin">
          <color auto="1"/>
        </right>
        <bottom style="thin">
          <color auto="1"/>
        </bottom>
        <vertical/>
        <horizontal/>
      </border>
    </dxf>
    <dxf>
      <border>
        <right style="thin">
          <color auto="1"/>
        </right>
        <vertical/>
        <horizontal/>
      </border>
    </dxf>
    <dxf>
      <border>
        <right style="thin">
          <color auto="1"/>
        </right>
        <vertical/>
        <horizontal/>
      </border>
    </dxf>
    <dxf>
      <border>
        <right style="thin">
          <color auto="1"/>
        </right>
        <vertical/>
        <horizontal/>
      </border>
    </dxf>
    <dxf>
      <border>
        <right style="thin">
          <color auto="1"/>
        </right>
        <top style="thin">
          <color auto="1"/>
        </top>
        <vertical/>
        <horizontal/>
      </border>
    </dxf>
    <dxf>
      <border>
        <left style="thin">
          <color auto="1"/>
        </left>
        <bottom style="thin">
          <color auto="1"/>
        </bottom>
        <vertical/>
        <horizontal/>
      </border>
    </dxf>
    <dxf>
      <border>
        <left style="thin">
          <color auto="1"/>
        </left>
        <vertical/>
        <horizontal/>
      </border>
    </dxf>
    <dxf>
      <border>
        <left style="thin">
          <color auto="1"/>
        </left>
        <vertical/>
        <horizontal/>
      </border>
    </dxf>
    <dxf>
      <border>
        <left style="thin">
          <color auto="1"/>
        </left>
        <vertical/>
        <horizontal/>
      </border>
    </dxf>
    <dxf>
      <border>
        <left style="thin">
          <color auto="1"/>
        </left>
        <top style="thin">
          <color auto="1"/>
        </top>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font>
        <color theme="0" tint="-0.14996795556505021"/>
      </font>
      <fill>
        <patternFill>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color theme="1"/>
      </font>
      <fill>
        <patternFill>
          <bgColor rgb="FFFF0000"/>
        </patternFill>
      </fill>
    </dxf>
    <dxf>
      <font>
        <b/>
        <i val="0"/>
        <color theme="1"/>
      </font>
      <fill>
        <patternFill>
          <bgColor rgb="FFFF0000"/>
        </patternFill>
      </fill>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rgb="FFFF0000"/>
        </patternFill>
      </fill>
    </dxf>
    <dxf>
      <border>
        <left style="thin">
          <color auto="1"/>
        </left>
        <vertical/>
        <horizontal/>
      </border>
    </dxf>
    <dxf>
      <border>
        <left style="thin">
          <color auto="1"/>
        </left>
        <vertical/>
        <horizontal/>
      </border>
    </dxf>
    <dxf>
      <border>
        <left style="thin">
          <color auto="1"/>
        </left>
        <vertical/>
        <horizontal/>
      </border>
    </dxf>
    <dxf>
      <border>
        <left style="thin">
          <color auto="1"/>
        </left>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bgColor theme="0" tint="-0.14996795556505021"/>
        </patternFill>
      </fill>
      <border>
        <left/>
        <right/>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0" tint="-0.14996795556505021"/>
        </patternFill>
      </fill>
      <border>
        <left/>
        <right/>
        <top/>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right style="thin">
          <color rgb="FFFF0000"/>
        </right>
        <bottom style="thin">
          <color rgb="FFFF0000"/>
        </bottom>
        <vertical/>
        <horizontal/>
      </border>
    </dxf>
    <dxf>
      <border>
        <right style="thin">
          <color auto="1"/>
        </right>
        <bottom style="thin">
          <color auto="1"/>
        </bottom>
        <vertical/>
        <horizontal/>
      </border>
    </dxf>
    <dxf>
      <border>
        <right style="thin">
          <color auto="1"/>
        </right>
        <vertical/>
        <horizontal/>
      </border>
    </dxf>
    <dxf>
      <border>
        <right style="thin">
          <color auto="1"/>
        </right>
        <vertical/>
        <horizontal/>
      </border>
    </dxf>
    <dxf>
      <border>
        <right style="thin">
          <color auto="1"/>
        </right>
        <vertical/>
        <horizontal/>
      </border>
    </dxf>
    <dxf>
      <border>
        <right style="thin">
          <color auto="1"/>
        </right>
        <top style="thin">
          <color auto="1"/>
        </top>
        <vertical/>
        <horizontal/>
      </border>
    </dxf>
    <dxf>
      <border>
        <left style="thin">
          <color auto="1"/>
        </left>
        <bottom style="thin">
          <color auto="1"/>
        </bottom>
        <vertical/>
        <horizontal/>
      </border>
    </dxf>
    <dxf>
      <border>
        <left style="thin">
          <color auto="1"/>
        </left>
        <vertical/>
        <horizontal/>
      </border>
    </dxf>
    <dxf>
      <border>
        <left style="thin">
          <color auto="1"/>
        </left>
        <vertical/>
        <horizontal/>
      </border>
    </dxf>
    <dxf>
      <border>
        <left style="thin">
          <color auto="1"/>
        </left>
        <vertical/>
        <horizontal/>
      </border>
    </dxf>
    <dxf>
      <border>
        <left style="thin">
          <color auto="1"/>
        </left>
        <top style="thin">
          <color auto="1"/>
        </top>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font>
        <color theme="0" tint="-0.14996795556505021"/>
      </font>
      <fill>
        <patternFill>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color theme="1"/>
      </font>
      <fill>
        <patternFill>
          <bgColor rgb="FFFF0000"/>
        </patternFill>
      </fill>
    </dxf>
    <dxf>
      <font>
        <b/>
        <i val="0"/>
        <color theme="1"/>
      </font>
      <fill>
        <patternFill>
          <bgColor rgb="FFFF0000"/>
        </patternFill>
      </fill>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rgb="FFFF0000"/>
        </patternFill>
      </fill>
    </dxf>
    <dxf>
      <border>
        <left style="thin">
          <color auto="1"/>
        </left>
        <vertical/>
        <horizontal/>
      </border>
    </dxf>
    <dxf>
      <border>
        <left style="thin">
          <color auto="1"/>
        </left>
        <vertical/>
        <horizontal/>
      </border>
    </dxf>
    <dxf>
      <border>
        <left style="thin">
          <color auto="1"/>
        </left>
        <vertical/>
        <horizontal/>
      </border>
    </dxf>
    <dxf>
      <border>
        <left style="thin">
          <color auto="1"/>
        </left>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bgColor theme="0" tint="-0.14996795556505021"/>
        </patternFill>
      </fill>
      <border>
        <left/>
        <right/>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0" tint="-0.14996795556505021"/>
        </patternFill>
      </fill>
      <border>
        <left/>
        <right/>
        <top/>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right style="thin">
          <color rgb="FFFF0000"/>
        </right>
        <bottom style="thin">
          <color rgb="FFFF0000"/>
        </bottom>
        <vertical/>
        <horizontal/>
      </border>
    </dxf>
    <dxf>
      <border>
        <right style="thin">
          <color auto="1"/>
        </right>
        <bottom style="thin">
          <color auto="1"/>
        </bottom>
        <vertical/>
        <horizontal/>
      </border>
    </dxf>
    <dxf>
      <border>
        <right style="thin">
          <color auto="1"/>
        </right>
        <vertical/>
        <horizontal/>
      </border>
    </dxf>
    <dxf>
      <border>
        <right style="thin">
          <color auto="1"/>
        </right>
        <vertical/>
        <horizontal/>
      </border>
    </dxf>
    <dxf>
      <border>
        <right style="thin">
          <color auto="1"/>
        </right>
        <vertical/>
        <horizontal/>
      </border>
    </dxf>
    <dxf>
      <border>
        <right style="thin">
          <color auto="1"/>
        </right>
        <top style="thin">
          <color auto="1"/>
        </top>
        <vertical/>
        <horizontal/>
      </border>
    </dxf>
    <dxf>
      <border>
        <left style="thin">
          <color auto="1"/>
        </left>
        <bottom style="thin">
          <color auto="1"/>
        </bottom>
        <vertical/>
        <horizontal/>
      </border>
    </dxf>
    <dxf>
      <border>
        <left style="thin">
          <color auto="1"/>
        </left>
        <vertical/>
        <horizontal/>
      </border>
    </dxf>
    <dxf>
      <border>
        <left style="thin">
          <color auto="1"/>
        </left>
        <vertical/>
        <horizontal/>
      </border>
    </dxf>
    <dxf>
      <border>
        <left style="thin">
          <color auto="1"/>
        </left>
        <vertical/>
        <horizontal/>
      </border>
    </dxf>
    <dxf>
      <border>
        <left style="thin">
          <color auto="1"/>
        </left>
        <top style="thin">
          <color auto="1"/>
        </top>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font>
        <color theme="0" tint="-0.14996795556505021"/>
      </font>
      <fill>
        <patternFill>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color theme="1"/>
      </font>
      <fill>
        <patternFill>
          <bgColor rgb="FFFF0000"/>
        </patternFill>
      </fill>
    </dxf>
    <dxf>
      <font>
        <b/>
        <i val="0"/>
        <color theme="1"/>
      </font>
      <fill>
        <patternFill>
          <bgColor rgb="FFFF0000"/>
        </patternFill>
      </fill>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rgb="FFFF0000"/>
        </patternFill>
      </fill>
    </dxf>
    <dxf>
      <border>
        <left style="thin">
          <color auto="1"/>
        </left>
        <vertical/>
        <horizontal/>
      </border>
    </dxf>
    <dxf>
      <border>
        <left style="thin">
          <color auto="1"/>
        </left>
        <vertical/>
        <horizontal/>
      </border>
    </dxf>
    <dxf>
      <border>
        <left style="thin">
          <color auto="1"/>
        </left>
        <vertical/>
        <horizontal/>
      </border>
    </dxf>
    <dxf>
      <border>
        <left style="thin">
          <color auto="1"/>
        </left>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bgColor theme="0" tint="-0.14996795556505021"/>
        </patternFill>
      </fill>
      <border>
        <left/>
        <right/>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0" tint="-0.14996795556505021"/>
        </patternFill>
      </fill>
      <border>
        <left/>
        <right/>
        <top/>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right style="thin">
          <color rgb="FFFF0000"/>
        </right>
        <bottom style="thin">
          <color rgb="FFFF0000"/>
        </bottom>
        <vertical/>
        <horizontal/>
      </border>
    </dxf>
    <dxf>
      <border>
        <right style="thin">
          <color auto="1"/>
        </right>
        <bottom style="thin">
          <color auto="1"/>
        </bottom>
        <vertical/>
        <horizontal/>
      </border>
    </dxf>
    <dxf>
      <border>
        <right style="thin">
          <color auto="1"/>
        </right>
        <vertical/>
        <horizontal/>
      </border>
    </dxf>
    <dxf>
      <border>
        <right style="thin">
          <color auto="1"/>
        </right>
        <vertical/>
        <horizontal/>
      </border>
    </dxf>
    <dxf>
      <border>
        <right style="thin">
          <color auto="1"/>
        </right>
        <vertical/>
        <horizontal/>
      </border>
    </dxf>
    <dxf>
      <border>
        <right style="thin">
          <color auto="1"/>
        </right>
        <top style="thin">
          <color auto="1"/>
        </top>
        <vertical/>
        <horizontal/>
      </border>
    </dxf>
    <dxf>
      <border>
        <left style="thin">
          <color auto="1"/>
        </left>
        <bottom style="thin">
          <color auto="1"/>
        </bottom>
        <vertical/>
        <horizontal/>
      </border>
    </dxf>
    <dxf>
      <border>
        <left style="thin">
          <color auto="1"/>
        </left>
        <vertical/>
        <horizontal/>
      </border>
    </dxf>
    <dxf>
      <border>
        <left style="thin">
          <color auto="1"/>
        </left>
        <vertical/>
        <horizontal/>
      </border>
    </dxf>
    <dxf>
      <border>
        <left style="thin">
          <color auto="1"/>
        </left>
        <vertical/>
        <horizontal/>
      </border>
    </dxf>
    <dxf>
      <border>
        <left style="thin">
          <color auto="1"/>
        </left>
        <top style="thin">
          <color auto="1"/>
        </top>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font>
        <color theme="0" tint="-0.14996795556505021"/>
      </font>
      <fill>
        <patternFill>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color theme="1"/>
      </font>
      <fill>
        <patternFill>
          <bgColor rgb="FFFF0000"/>
        </patternFill>
      </fill>
    </dxf>
    <dxf>
      <font>
        <b/>
        <i val="0"/>
        <color theme="1"/>
      </font>
      <fill>
        <patternFill>
          <bgColor rgb="FFFF0000"/>
        </patternFill>
      </fill>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rgb="FFFF0000"/>
        </patternFill>
      </fill>
    </dxf>
    <dxf>
      <border>
        <left style="thin">
          <color auto="1"/>
        </left>
        <vertical/>
        <horizontal/>
      </border>
    </dxf>
    <dxf>
      <border>
        <left style="thin">
          <color auto="1"/>
        </left>
        <vertical/>
        <horizontal/>
      </border>
    </dxf>
    <dxf>
      <border>
        <left style="thin">
          <color auto="1"/>
        </left>
        <vertical/>
        <horizontal/>
      </border>
    </dxf>
    <dxf>
      <border>
        <left style="thin">
          <color auto="1"/>
        </left>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bgColor theme="0" tint="-0.14996795556505021"/>
        </patternFill>
      </fill>
      <border>
        <left/>
        <right/>
        <top/>
        <bottom style="thin">
          <color auto="1"/>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border>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0" tint="-0.14996795556505021"/>
        </patternFill>
      </fill>
      <border>
        <left/>
        <right/>
        <top/>
        <bottom/>
        <vertical/>
        <horizontal/>
      </border>
    </dxf>
    <dxf>
      <border>
        <bottom style="thin">
          <color rgb="FFFF0000"/>
        </bottom>
        <vertical/>
        <horizontal/>
      </border>
    </dxf>
    <dxf>
      <border>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right style="thin">
          <color rgb="FFFF0000"/>
        </right>
        <vertical/>
        <horizontal/>
      </border>
    </dxf>
    <dxf>
      <border>
        <left style="thin">
          <color rgb="FFFF0000"/>
        </left>
        <vertical/>
        <horizontal/>
      </border>
    </dxf>
    <dxf>
      <border>
        <top style="thin">
          <color rgb="FFFF0000"/>
        </top>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right style="thin">
          <color rgb="FFFF0000"/>
        </right>
        <bottom style="thin">
          <color rgb="FFFF0000"/>
        </bottom>
        <vertical/>
        <horizontal/>
      </border>
    </dxf>
    <dxf>
      <border>
        <right style="thin">
          <color auto="1"/>
        </right>
        <bottom style="thin">
          <color auto="1"/>
        </bottom>
        <vertical/>
        <horizontal/>
      </border>
    </dxf>
    <dxf>
      <border>
        <right style="thin">
          <color auto="1"/>
        </right>
        <vertical/>
        <horizontal/>
      </border>
    </dxf>
    <dxf>
      <border>
        <right style="thin">
          <color auto="1"/>
        </right>
        <vertical/>
        <horizontal/>
      </border>
    </dxf>
    <dxf>
      <border>
        <right style="thin">
          <color auto="1"/>
        </right>
        <vertical/>
        <horizontal/>
      </border>
    </dxf>
    <dxf>
      <border>
        <right style="thin">
          <color auto="1"/>
        </right>
        <top style="thin">
          <color auto="1"/>
        </top>
        <vertical/>
        <horizontal/>
      </border>
    </dxf>
    <dxf>
      <border>
        <left style="thin">
          <color auto="1"/>
        </left>
        <bottom style="thin">
          <color auto="1"/>
        </bottom>
        <vertical/>
        <horizontal/>
      </border>
    </dxf>
    <dxf>
      <border>
        <left style="thin">
          <color auto="1"/>
        </left>
        <vertical/>
        <horizontal/>
      </border>
    </dxf>
    <dxf>
      <border>
        <left style="thin">
          <color auto="1"/>
        </left>
        <vertical/>
        <horizontal/>
      </border>
    </dxf>
    <dxf>
      <border>
        <left style="thin">
          <color auto="1"/>
        </left>
        <vertical/>
        <horizontal/>
      </border>
    </dxf>
    <dxf>
      <border>
        <left style="thin">
          <color auto="1"/>
        </left>
        <top style="thin">
          <color auto="1"/>
        </top>
        <vertical/>
        <horizontal/>
      </border>
    </dxf>
    <dxf>
      <font>
        <b/>
        <i val="0"/>
        <color theme="1"/>
      </font>
      <fill>
        <patternFill>
          <bgColor theme="0"/>
        </patternFill>
      </fill>
      <border>
        <left style="hair">
          <color auto="1"/>
        </left>
        <right style="hair">
          <color auto="1"/>
        </right>
        <top style="hair">
          <color auto="1"/>
        </top>
        <vertical/>
        <horizontal/>
      </border>
    </dxf>
    <dxf>
      <font>
        <color rgb="FFFF0000"/>
      </font>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border>
        <top style="thin">
          <color rgb="FFFF0000"/>
        </top>
        <vertical/>
        <horizontal/>
      </border>
    </dxf>
    <dxf>
      <font>
        <color theme="0" tint="-0.14996795556505021"/>
      </font>
      <fill>
        <patternFill>
          <bgColor theme="0" tint="-0.14996795556505021"/>
        </patternFill>
      </fill>
      <border>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font>
        <b/>
        <i val="0"/>
        <color theme="1"/>
      </font>
      <fill>
        <patternFill>
          <bgColor theme="0"/>
        </patternFill>
      </fill>
      <border>
        <left style="hair">
          <color auto="1"/>
        </left>
        <right style="hair">
          <color auto="1"/>
        </right>
        <top style="hair">
          <color auto="1"/>
        </top>
        <bottom style="thin">
          <color auto="1"/>
        </bottom>
        <vertical/>
        <horizontal/>
      </border>
    </dxf>
    <dxf>
      <border>
        <bottom/>
        <vertical/>
        <horizontal/>
      </border>
    </dxf>
    <dxf>
      <border>
        <top style="thin">
          <color rgb="FFFF0000"/>
        </top>
        <vertical/>
        <horizontal/>
      </border>
    </dxf>
    <dxf>
      <border>
        <top/>
        <vertical/>
        <horizontal/>
      </border>
    </dxf>
    <dxf>
      <border>
        <right style="thin">
          <color rgb="FFFF0000"/>
        </right>
        <vertical/>
        <horizontal/>
      </border>
    </dxf>
    <dxf>
      <border>
        <right/>
        <vertical/>
        <horizontal/>
      </border>
    </dxf>
    <dxf>
      <border>
        <top style="thin">
          <color rgb="FFFF0000"/>
        </top>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left style="thin">
          <color rgb="FFFF0000"/>
        </left>
        <right style="thin">
          <color rgb="FFFF0000"/>
        </right>
        <top style="thin">
          <color rgb="FFFF0000"/>
        </top>
        <vertical/>
        <horizontal/>
      </border>
    </dxf>
    <dxf>
      <border>
        <top/>
        <vertical/>
        <horizontal/>
      </border>
    </dxf>
    <dxf>
      <border>
        <top style="thin">
          <color rgb="FFFF0000"/>
        </top>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top style="thin">
          <color rgb="FFFF0000"/>
        </top>
        <vertical/>
        <horizontal/>
      </border>
    </dxf>
    <dxf>
      <border>
        <right style="thin">
          <color rgb="FFFF0000"/>
        </right>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top style="thin">
          <color rgb="FFFF0000"/>
        </top>
        <vertical/>
        <horizontal/>
      </border>
    </dxf>
    <dxf>
      <border>
        <left style="thin">
          <color rgb="FFFF0000"/>
        </left>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font>
        <color theme="0" tint="-0.14996795556505021"/>
      </font>
      <fill>
        <patternFill>
          <bgColor theme="0" tint="-0.14996795556505021"/>
        </patternFill>
      </fill>
      <border>
        <left/>
        <right/>
        <top/>
        <bottom/>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top style="thin">
          <color rgb="FFFF0000"/>
        </top>
        <vertical/>
        <horizontal/>
      </border>
    </dxf>
    <dxf>
      <border>
        <left style="thin">
          <color rgb="FFFF0000"/>
        </lef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left style="thin">
          <color rgb="FFFF0000"/>
        </left>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b/>
        <i val="0"/>
        <color theme="1"/>
      </font>
      <fill>
        <patternFill>
          <bgColor theme="0"/>
        </patternFill>
      </fill>
      <border>
        <left style="hair">
          <color auto="1"/>
        </left>
        <right style="hair">
          <color auto="1"/>
        </right>
        <top style="hair">
          <color auto="1"/>
        </top>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border>
        <right style="thin">
          <color rgb="FFFF0000"/>
        </right>
        <vertical/>
        <horizontal/>
      </border>
    </dxf>
    <dxf>
      <border>
        <right style="thin">
          <color rgb="FFFF0000"/>
        </righ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font>
        <color theme="1"/>
      </font>
    </dxf>
    <dxf>
      <border>
        <bottom style="thin">
          <color rgb="FFFF0000"/>
        </bottom>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right style="thin">
          <color rgb="FFFF0000"/>
        </righ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left style="thin">
          <color rgb="FFFF0000"/>
        </left>
        <vertical/>
        <horizontal/>
      </border>
    </dxf>
    <dxf>
      <border>
        <left style="thin">
          <color rgb="FFFF0000"/>
        </left>
        <vertical/>
        <horizontal/>
      </border>
    </dxf>
    <dxf>
      <border>
        <bottom style="thin">
          <color rgb="FFFF0000"/>
        </bottom>
        <vertical/>
        <horizontal/>
      </border>
    </dxf>
    <dxf>
      <border>
        <right style="thin">
          <color rgb="FFFF0000"/>
        </right>
      </border>
    </dxf>
    <dxf>
      <border>
        <top style="thin">
          <color rgb="FFFF0000"/>
        </top>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right style="thin">
          <color rgb="FFFF0000"/>
        </right>
        <vertical/>
        <horizontal/>
      </border>
    </dxf>
    <dxf>
      <border>
        <top style="thin">
          <color rgb="FFFF0000"/>
        </top>
        <vertical/>
        <horizontal/>
      </border>
    </dxf>
    <dxf>
      <border>
        <bottom style="thin">
          <color rgb="FFFF0000"/>
        </bottom>
        <vertical/>
        <horizontal/>
      </border>
    </dxf>
    <dxf>
      <border>
        <bottom style="thin">
          <color rgb="FFFF0000"/>
        </bottom>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border>
        <bottom style="thin">
          <color rgb="FFFF0000"/>
        </bottom>
        <vertical/>
        <horizontal/>
      </border>
    </dxf>
    <dxf>
      <border>
        <right style="thin">
          <color rgb="FFFF0000"/>
        </right>
        <vertical/>
        <horizontal/>
      </border>
    </dxf>
    <dxf>
      <border>
        <top style="thin">
          <color rgb="FFFF0000"/>
        </top>
        <vertical/>
        <horizontal/>
      </border>
    </dxf>
    <dxf>
      <border>
        <left style="thin">
          <color rgb="FFFF0000"/>
        </left>
        <vertical/>
        <horizontal/>
      </border>
    </dxf>
    <dxf>
      <font>
        <color theme="1"/>
      </font>
      <fill>
        <patternFill>
          <bgColor theme="0"/>
        </patternFill>
      </fill>
      <border>
        <left style="hair">
          <color auto="1"/>
        </left>
        <right style="hair">
          <color auto="1"/>
        </right>
        <top style="hair">
          <color auto="1"/>
        </top>
        <bottom style="hair">
          <color auto="1"/>
        </bottom>
        <vertical/>
        <horizontal/>
      </border>
    </dxf>
    <dxf>
      <font>
        <color auto="1"/>
      </font>
      <fill>
        <patternFill>
          <bgColor theme="0"/>
        </patternFill>
      </fill>
      <border>
        <left style="hair">
          <color auto="1"/>
        </left>
        <right style="hair">
          <color auto="1"/>
        </right>
        <top style="hair">
          <color auto="1"/>
        </top>
        <bottom style="hair">
          <color auto="1"/>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ont>
        <color theme="1"/>
      </font>
      <fill>
        <patternFill>
          <bgColor theme="0"/>
        </patternFill>
      </fill>
      <border>
        <left style="hair">
          <color auto="1"/>
        </left>
        <right style="hair">
          <color auto="1"/>
        </right>
        <top style="hair">
          <color auto="1"/>
        </top>
        <bottom style="thin">
          <color auto="1"/>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ont>
        <color theme="0" tint="-0.14996795556505021"/>
      </font>
      <fill>
        <patternFill patternType="solid">
          <bgColor theme="0" tint="-0.14996795556505021"/>
        </patternFill>
      </fill>
      <border>
        <left/>
        <right/>
        <top/>
        <bottom/>
        <vertical/>
        <horizontal/>
      </border>
    </dxf>
    <dxf>
      <font>
        <color theme="0" tint="-0.14996795556505021"/>
      </font>
      <fill>
        <patternFill patternType="solid">
          <bgColor theme="0" tint="-0.14996795556505021"/>
        </patternFill>
      </fill>
      <border>
        <left/>
        <right/>
        <bottom/>
        <vertical/>
        <horizontal/>
      </border>
    </dxf>
    <dxf>
      <font>
        <color theme="0" tint="-0.14996795556505021"/>
      </font>
      <fill>
        <patternFill>
          <bgColor theme="0" tint="-0.14996795556505021"/>
        </patternFill>
      </fill>
      <border>
        <left/>
        <right/>
        <bottom/>
        <vertical/>
        <horizontal/>
      </border>
    </dxf>
    <dxf>
      <border>
        <bottom style="thin">
          <color rgb="FFFF0000"/>
        </bottom>
        <vertical/>
        <horizontal/>
      </border>
    </dxf>
    <dxf>
      <font>
        <color theme="0" tint="-0.14996795556505021"/>
      </font>
      <fill>
        <patternFill>
          <bgColor theme="0" tint="-0.14996795556505021"/>
        </patternFill>
      </fill>
      <border>
        <left/>
        <right style="thin">
          <color auto="1"/>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color theme="1"/>
      </font>
      <fill>
        <patternFill>
          <bgColor rgb="FFFF0000"/>
        </patternFill>
      </fill>
    </dxf>
    <dxf>
      <font>
        <b/>
        <i val="0"/>
        <color theme="1"/>
      </font>
      <fill>
        <patternFill>
          <bgColor rgb="FFFF0000"/>
        </patternFill>
      </fill>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rgb="FFFF0000"/>
        </patternFill>
      </fill>
    </dxf>
    <dxf>
      <border>
        <left style="thin">
          <color auto="1"/>
        </left>
        <vertical/>
        <horizontal/>
      </border>
    </dxf>
    <dxf>
      <border>
        <left style="thin">
          <color auto="1"/>
        </left>
        <vertical/>
        <horizontal/>
      </border>
    </dxf>
    <dxf>
      <border>
        <left style="thin">
          <color auto="1"/>
        </left>
        <vertical/>
        <horizontal/>
      </border>
    </dxf>
    <dxf>
      <border>
        <left style="thin">
          <color auto="1"/>
        </left>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border>
        <top style="thin">
          <color auto="1"/>
        </top>
        <vertical/>
        <horizontal/>
      </border>
    </dxf>
    <dxf>
      <border>
        <bottom style="thin">
          <color auto="1"/>
        </bottom>
        <vertical/>
        <horizontal/>
      </border>
    </dxf>
    <dxf>
      <border>
        <top style="thin">
          <color auto="1"/>
        </top>
        <vertical/>
        <horizontal/>
      </border>
    </dxf>
    <dxf>
      <border>
        <right style="thin">
          <color auto="1"/>
        </right>
        <vertical/>
        <horizontal/>
      </border>
    </dxf>
    <dxf>
      <border>
        <bottom style="thin">
          <color auto="1"/>
        </bottom>
        <vertical/>
        <horizontal/>
      </border>
    </dxf>
    <dxf>
      <border>
        <left style="thin">
          <color auto="1"/>
        </left>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style="thin">
          <color auto="1"/>
        </right>
        <top/>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thin">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0" tint="-0.14996795556505021"/>
      </font>
      <fill>
        <patternFill>
          <bgColor theme="0" tint="-0.14996795556505021"/>
        </patternFill>
      </fill>
      <border>
        <left/>
        <right/>
        <top/>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val="0"/>
      </font>
      <fill>
        <patternFill>
          <bgColor rgb="FFFF0000"/>
        </patternFill>
      </fill>
      <border>
        <left style="thin">
          <color rgb="FFFF0000"/>
        </left>
        <bottom style="thin">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b/>
        <i/>
        <color rgb="FFFF0000"/>
      </font>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ill>
        <patternFill>
          <bgColor theme="5" tint="0.79998168889431442"/>
        </patternFill>
      </fill>
      <border>
        <left style="hair">
          <color rgb="FFFF0000"/>
        </left>
        <right style="hair">
          <color rgb="FFFF0000"/>
        </right>
        <top style="hair">
          <color rgb="FFFF0000"/>
        </top>
        <bottom style="hair">
          <color rgb="FFFF0000"/>
        </bottom>
        <vertical/>
        <horizontal/>
      </border>
    </dxf>
    <dxf>
      <font>
        <color theme="1"/>
      </font>
      <fill>
        <patternFill>
          <bgColor theme="0"/>
        </patternFill>
      </fill>
      <border>
        <top style="hair">
          <color auto="1"/>
        </top>
        <vertical/>
        <horizontal/>
      </border>
    </dxf>
    <dxf>
      <fill>
        <patternFill>
          <bgColor theme="9" tint="0.79998168889431442"/>
        </patternFill>
      </fill>
      <border>
        <left/>
        <right/>
        <top/>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ont>
        <color theme="1"/>
      </font>
      <fill>
        <patternFill>
          <bgColor theme="9" tint="0.59996337778862885"/>
        </patternFill>
      </fill>
    </dxf>
    <dxf>
      <font>
        <color theme="1"/>
      </font>
      <fill>
        <patternFill>
          <bgColor theme="9" tint="0.59996337778862885"/>
        </patternFill>
      </fill>
    </dxf>
    <dxf>
      <font>
        <color theme="1"/>
      </font>
      <fill>
        <patternFill>
          <bgColor theme="7" tint="0.79998168889431442"/>
        </patternFill>
      </fill>
    </dxf>
    <dxf>
      <font>
        <color theme="1"/>
      </font>
      <fill>
        <patternFill>
          <bgColor theme="9" tint="0.59996337778862885"/>
        </patternFill>
      </fill>
    </dxf>
    <dxf>
      <font>
        <color theme="1"/>
      </font>
      <fill>
        <patternFill>
          <bgColor theme="9" tint="0.59996337778862885"/>
        </patternFill>
      </fill>
    </dxf>
    <dxf>
      <font>
        <color theme="1"/>
      </font>
      <fill>
        <patternFill>
          <bgColor theme="7" tint="0.79998168889431442"/>
        </patternFill>
      </fill>
    </dxf>
    <dxf>
      <font>
        <color theme="1"/>
      </font>
      <fill>
        <patternFill>
          <bgColor theme="9" tint="0.59996337778862885"/>
        </patternFill>
      </fill>
    </dxf>
    <dxf>
      <font>
        <color theme="1"/>
      </font>
      <fill>
        <patternFill>
          <bgColor theme="9" tint="0.59996337778862885"/>
        </patternFill>
      </fill>
    </dxf>
    <dxf>
      <font>
        <color theme="1"/>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16" fmlaLink="'Sprachen &amp; Rückgabewerte'!$B$3:$B$6" fmlaRange="'Sprachen &amp; Rückgabewerte'!$C$3:$C$6" sel="1" val="0"/>
</file>

<file path=xl/ctrlProps/ctrlProp10.xml><?xml version="1.0" encoding="utf-8"?>
<formControlPr xmlns="http://schemas.microsoft.com/office/spreadsheetml/2009/9/main" objectType="CheckBox" fmlaLink="'Sprachen &amp; Rückgabewerte'!$I$15" lockText="1"/>
</file>

<file path=xl/ctrlProps/ctrlProp100.xml><?xml version="1.0" encoding="utf-8"?>
<formControlPr xmlns="http://schemas.microsoft.com/office/spreadsheetml/2009/9/main" objectType="CheckBox" checked="Checked" fmlaLink="'Sprachen &amp; Rückgabewerte(2)'!$C$53" lockText="1"/>
</file>

<file path=xl/ctrlProps/ctrlProp101.xml><?xml version="1.0" encoding="utf-8"?>
<formControlPr xmlns="http://schemas.microsoft.com/office/spreadsheetml/2009/9/main" objectType="CheckBox" fmlaLink="'Sprachen &amp; Rückgabewerte(2)'!$C$54" lockText="1"/>
</file>

<file path=xl/ctrlProps/ctrlProp102.xml><?xml version="1.0" encoding="utf-8"?>
<formControlPr xmlns="http://schemas.microsoft.com/office/spreadsheetml/2009/9/main" objectType="CheckBox" fmlaLink="'Sprachen &amp; Rückgabewerte(2)'!$I$125" lockText="1"/>
</file>

<file path=xl/ctrlProps/ctrlProp103.xml><?xml version="1.0" encoding="utf-8"?>
<formControlPr xmlns="http://schemas.microsoft.com/office/spreadsheetml/2009/9/main" objectType="CheckBox" fmlaLink="'Sprachen &amp; Rückgabewerte(2)'!$I$36" lockText="1"/>
</file>

<file path=xl/ctrlProps/ctrlProp104.xml><?xml version="1.0" encoding="utf-8"?>
<formControlPr xmlns="http://schemas.microsoft.com/office/spreadsheetml/2009/9/main" objectType="CheckBox" fmlaLink="'Sprachen &amp; Rückgabewerte(2)'!$I$39" lockText="1"/>
</file>

<file path=xl/ctrlProps/ctrlProp105.xml><?xml version="1.0" encoding="utf-8"?>
<formControlPr xmlns="http://schemas.microsoft.com/office/spreadsheetml/2009/9/main" objectType="CheckBox" fmlaLink="'Sprachen &amp; Rückgabewerte(2)'!$I$45" lockText="1"/>
</file>

<file path=xl/ctrlProps/ctrlProp106.xml><?xml version="1.0" encoding="utf-8"?>
<formControlPr xmlns="http://schemas.microsoft.com/office/spreadsheetml/2009/9/main" objectType="CheckBox" fmlaLink="'Sprachen &amp; Rückgabewerte(2)'!$I$71" lockText="1"/>
</file>

<file path=xl/ctrlProps/ctrlProp107.xml><?xml version="1.0" encoding="utf-8"?>
<formControlPr xmlns="http://schemas.microsoft.com/office/spreadsheetml/2009/9/main" objectType="CheckBox" fmlaLink="'Sprachen &amp; Rückgabewerte(2)'!$I$26" lockText="1"/>
</file>

<file path=xl/ctrlProps/ctrlProp108.xml><?xml version="1.0" encoding="utf-8"?>
<formControlPr xmlns="http://schemas.microsoft.com/office/spreadsheetml/2009/9/main" objectType="CheckBox" fmlaLink="'Sprachen &amp; Rückgabewerte(2)'!$I$27" lockText="1"/>
</file>

<file path=xl/ctrlProps/ctrlProp109.xml><?xml version="1.0" encoding="utf-8"?>
<formControlPr xmlns="http://schemas.microsoft.com/office/spreadsheetml/2009/9/main" objectType="CheckBox" fmlaLink="'Sprachen &amp; Rückgabewerte(2)'!$I$28" lockText="1"/>
</file>

<file path=xl/ctrlProps/ctrlProp11.xml><?xml version="1.0" encoding="utf-8"?>
<formControlPr xmlns="http://schemas.microsoft.com/office/spreadsheetml/2009/9/main" objectType="CheckBox" fmlaLink="'Sprachen &amp; Rückgabewerte'!$I$25" lockText="1"/>
</file>

<file path=xl/ctrlProps/ctrlProp110.xml><?xml version="1.0" encoding="utf-8"?>
<formControlPr xmlns="http://schemas.microsoft.com/office/spreadsheetml/2009/9/main" objectType="CheckBox" fmlaLink="'Sprachen &amp; Rückgabewerte(2)'!$I$29" lockText="1"/>
</file>

<file path=xl/ctrlProps/ctrlProp111.xml><?xml version="1.0" encoding="utf-8"?>
<formControlPr xmlns="http://schemas.microsoft.com/office/spreadsheetml/2009/9/main" objectType="Drop" dropStyle="combo" dx="16" fmlaLink="'Sprachen &amp; Rückgabewerte(3)'!$B$3:$B$6" fmlaRange="'Sprachen &amp; Rückgabewerte(3)'!$C$3:$C$6" sel="1" val="0"/>
</file>

<file path=xl/ctrlProps/ctrlProp112.xml><?xml version="1.0" encoding="utf-8"?>
<formControlPr xmlns="http://schemas.microsoft.com/office/spreadsheetml/2009/9/main" objectType="CheckBox" fmlaLink="'Sprachen &amp; Rückgabewerte(3)'!$I$30" lockText="1"/>
</file>

<file path=xl/ctrlProps/ctrlProp113.xml><?xml version="1.0" encoding="utf-8"?>
<formControlPr xmlns="http://schemas.microsoft.com/office/spreadsheetml/2009/9/main" objectType="CheckBox" fmlaLink="'Sprachen &amp; Rückgabewerte(3)'!$I$31" lockText="1"/>
</file>

<file path=xl/ctrlProps/ctrlProp114.xml><?xml version="1.0" encoding="utf-8"?>
<formControlPr xmlns="http://schemas.microsoft.com/office/spreadsheetml/2009/9/main" objectType="CheckBox" fmlaLink="'Sprachen &amp; Rückgabewerte(3)'!$I$16" lockText="1"/>
</file>

<file path=xl/ctrlProps/ctrlProp115.xml><?xml version="1.0" encoding="utf-8"?>
<formControlPr xmlns="http://schemas.microsoft.com/office/spreadsheetml/2009/9/main" objectType="CheckBox" fmlaLink="'Sprachen &amp; Rückgabewerte(3)'!$I$17" lockText="1"/>
</file>

<file path=xl/ctrlProps/ctrlProp116.xml><?xml version="1.0" encoding="utf-8"?>
<formControlPr xmlns="http://schemas.microsoft.com/office/spreadsheetml/2009/9/main" objectType="CheckBox" fmlaLink="'Sprachen &amp; Rückgabewerte(3)'!$I$18" lockText="1"/>
</file>

<file path=xl/ctrlProps/ctrlProp117.xml><?xml version="1.0" encoding="utf-8"?>
<formControlPr xmlns="http://schemas.microsoft.com/office/spreadsheetml/2009/9/main" objectType="CheckBox" fmlaLink="'Sprachen &amp; Rückgabewerte(3)'!$I$19" lockText="1"/>
</file>

<file path=xl/ctrlProps/ctrlProp118.xml><?xml version="1.0" encoding="utf-8"?>
<formControlPr xmlns="http://schemas.microsoft.com/office/spreadsheetml/2009/9/main" objectType="CheckBox" fmlaLink="'Sprachen &amp; Rückgabewerte(3)'!$I$20" lockText="1"/>
</file>

<file path=xl/ctrlProps/ctrlProp119.xml><?xml version="1.0" encoding="utf-8"?>
<formControlPr xmlns="http://schemas.microsoft.com/office/spreadsheetml/2009/9/main" objectType="CheckBox" fmlaLink="'Sprachen &amp; Rückgabewerte(3)'!$I$22" lockText="1"/>
</file>

<file path=xl/ctrlProps/ctrlProp12.xml><?xml version="1.0" encoding="utf-8"?>
<formControlPr xmlns="http://schemas.microsoft.com/office/spreadsheetml/2009/9/main" objectType="CheckBox" fmlaLink="'Sprachen &amp; Rückgabewerte'!$I$10" lockText="1"/>
</file>

<file path=xl/ctrlProps/ctrlProp120.xml><?xml version="1.0" encoding="utf-8"?>
<formControlPr xmlns="http://schemas.microsoft.com/office/spreadsheetml/2009/9/main" objectType="CheckBox" fmlaLink="'Sprachen &amp; Rückgabewerte(3)'!$I$15" lockText="1"/>
</file>

<file path=xl/ctrlProps/ctrlProp121.xml><?xml version="1.0" encoding="utf-8"?>
<formControlPr xmlns="http://schemas.microsoft.com/office/spreadsheetml/2009/9/main" objectType="CheckBox" fmlaLink="'Sprachen &amp; Rückgabewerte(3)'!$I$25" lockText="1"/>
</file>

<file path=xl/ctrlProps/ctrlProp122.xml><?xml version="1.0" encoding="utf-8"?>
<formControlPr xmlns="http://schemas.microsoft.com/office/spreadsheetml/2009/9/main" objectType="CheckBox" fmlaLink="'Sprachen &amp; Rückgabewerte(3)'!$I$10" lockText="1"/>
</file>

<file path=xl/ctrlProps/ctrlProp123.xml><?xml version="1.0" encoding="utf-8"?>
<formControlPr xmlns="http://schemas.microsoft.com/office/spreadsheetml/2009/9/main" objectType="CheckBox" fmlaLink="'Sprachen &amp; Rückgabewerte(3)'!$I$11" lockText="1"/>
</file>

<file path=xl/ctrlProps/ctrlProp124.xml><?xml version="1.0" encoding="utf-8"?>
<formControlPr xmlns="http://schemas.microsoft.com/office/spreadsheetml/2009/9/main" objectType="CheckBox" fmlaLink="'Sprachen &amp; Rückgabewerte(3)'!$I$13" lockText="1"/>
</file>

<file path=xl/ctrlProps/ctrlProp125.xml><?xml version="1.0" encoding="utf-8"?>
<formControlPr xmlns="http://schemas.microsoft.com/office/spreadsheetml/2009/9/main" objectType="CheckBox" fmlaLink="'Sprachen &amp; Rückgabewerte(3)'!$I$14" lockText="1"/>
</file>

<file path=xl/ctrlProps/ctrlProp126.xml><?xml version="1.0" encoding="utf-8"?>
<formControlPr xmlns="http://schemas.microsoft.com/office/spreadsheetml/2009/9/main" objectType="CheckBox" fmlaLink="'Sprachen &amp; Rückgabewerte(3)'!$I$5" lockText="1"/>
</file>

<file path=xl/ctrlProps/ctrlProp127.xml><?xml version="1.0" encoding="utf-8"?>
<formControlPr xmlns="http://schemas.microsoft.com/office/spreadsheetml/2009/9/main" objectType="CheckBox" fmlaLink="'Sprachen &amp; Rückgabewerte(3)'!$I$6" lockText="1"/>
</file>

<file path=xl/ctrlProps/ctrlProp128.xml><?xml version="1.0" encoding="utf-8"?>
<formControlPr xmlns="http://schemas.microsoft.com/office/spreadsheetml/2009/9/main" objectType="CheckBox" checked="Checked" fmlaLink="'Sprachen &amp; Rückgabewerte(3)'!$C$37" lockText="1"/>
</file>

<file path=xl/ctrlProps/ctrlProp129.xml><?xml version="1.0" encoding="utf-8"?>
<formControlPr xmlns="http://schemas.microsoft.com/office/spreadsheetml/2009/9/main" objectType="CheckBox" checked="Checked" fmlaLink="'Sprachen &amp; Rückgabewerte(3)'!$C$38" lockText="1"/>
</file>

<file path=xl/ctrlProps/ctrlProp13.xml><?xml version="1.0" encoding="utf-8"?>
<formControlPr xmlns="http://schemas.microsoft.com/office/spreadsheetml/2009/9/main" objectType="CheckBox" fmlaLink="'Sprachen &amp; Rückgabewerte'!$I$11" lockText="1"/>
</file>

<file path=xl/ctrlProps/ctrlProp130.xml><?xml version="1.0" encoding="utf-8"?>
<formControlPr xmlns="http://schemas.microsoft.com/office/spreadsheetml/2009/9/main" objectType="CheckBox" fmlaLink="'Sprachen &amp; Rückgabewerte(3)'!$C$39" lockText="1"/>
</file>

<file path=xl/ctrlProps/ctrlProp131.xml><?xml version="1.0" encoding="utf-8"?>
<formControlPr xmlns="http://schemas.microsoft.com/office/spreadsheetml/2009/9/main" objectType="CheckBox" fmlaLink="'Sprachen &amp; Rückgabewerte(3)'!$C$40" lockText="1"/>
</file>

<file path=xl/ctrlProps/ctrlProp132.xml><?xml version="1.0" encoding="utf-8"?>
<formControlPr xmlns="http://schemas.microsoft.com/office/spreadsheetml/2009/9/main" objectType="CheckBox" fmlaLink="'Sprachen &amp; Rückgabewerte(3)'!$I$43" lockText="1"/>
</file>

<file path=xl/ctrlProps/ctrlProp133.xml><?xml version="1.0" encoding="utf-8"?>
<formControlPr xmlns="http://schemas.microsoft.com/office/spreadsheetml/2009/9/main" objectType="CheckBox" fmlaLink="'Sprachen &amp; Rückgabewerte(3)'!$I$44" lockText="1"/>
</file>

<file path=xl/ctrlProps/ctrlProp134.xml><?xml version="1.0" encoding="utf-8"?>
<formControlPr xmlns="http://schemas.microsoft.com/office/spreadsheetml/2009/9/main" objectType="CheckBox" fmlaLink="'Sprachen &amp; Rückgabewerte(3)'!$C$60" lockText="1"/>
</file>

<file path=xl/ctrlProps/ctrlProp135.xml><?xml version="1.0" encoding="utf-8"?>
<formControlPr xmlns="http://schemas.microsoft.com/office/spreadsheetml/2009/9/main" objectType="CheckBox" fmlaLink="'Sprachen &amp; Rückgabewerte(3)'!$C$61" lockText="1"/>
</file>

<file path=xl/ctrlProps/ctrlProp136.xml><?xml version="1.0" encoding="utf-8"?>
<formControlPr xmlns="http://schemas.microsoft.com/office/spreadsheetml/2009/9/main" objectType="CheckBox" fmlaLink="'Sprachen &amp; Rückgabewerte(3)'!$C$62" lockText="1"/>
</file>

<file path=xl/ctrlProps/ctrlProp137.xml><?xml version="1.0" encoding="utf-8"?>
<formControlPr xmlns="http://schemas.microsoft.com/office/spreadsheetml/2009/9/main" objectType="CheckBox" fmlaLink="'Sprachen &amp; Rückgabewerte(3)'!$C$63" lockText="1"/>
</file>

<file path=xl/ctrlProps/ctrlProp138.xml><?xml version="1.0" encoding="utf-8"?>
<formControlPr xmlns="http://schemas.microsoft.com/office/spreadsheetml/2009/9/main" objectType="CheckBox" fmlaLink="'Sprachen &amp; Rückgabewerte(3)'!$I$50" lockText="1"/>
</file>

<file path=xl/ctrlProps/ctrlProp139.xml><?xml version="1.0" encoding="utf-8"?>
<formControlPr xmlns="http://schemas.microsoft.com/office/spreadsheetml/2009/9/main" objectType="CheckBox" fmlaLink="'Sprachen &amp; Rückgabewerte(3)'!$I$51" lockText="1"/>
</file>

<file path=xl/ctrlProps/ctrlProp14.xml><?xml version="1.0" encoding="utf-8"?>
<formControlPr xmlns="http://schemas.microsoft.com/office/spreadsheetml/2009/9/main" objectType="CheckBox" fmlaLink="'Sprachen &amp; Rückgabewerte'!$I$13" lockText="1"/>
</file>

<file path=xl/ctrlProps/ctrlProp140.xml><?xml version="1.0" encoding="utf-8"?>
<formControlPr xmlns="http://schemas.microsoft.com/office/spreadsheetml/2009/9/main" objectType="CheckBox" fmlaLink="'Sprachen &amp; Rückgabewerte(3)'!$I$110" lockText="1"/>
</file>

<file path=xl/ctrlProps/ctrlProp141.xml><?xml version="1.0" encoding="utf-8"?>
<formControlPr xmlns="http://schemas.microsoft.com/office/spreadsheetml/2009/9/main" objectType="CheckBox" fmlaLink="'Sprachen &amp; Rückgabewerte(3)'!$I$111" lockText="1"/>
</file>

<file path=xl/ctrlProps/ctrlProp142.xml><?xml version="1.0" encoding="utf-8"?>
<formControlPr xmlns="http://schemas.microsoft.com/office/spreadsheetml/2009/9/main" objectType="CheckBox" fmlaLink="'Sprachen &amp; Rückgabewerte(3)'!$C$41" lockText="1"/>
</file>

<file path=xl/ctrlProps/ctrlProp143.xml><?xml version="1.0" encoding="utf-8"?>
<formControlPr xmlns="http://schemas.microsoft.com/office/spreadsheetml/2009/9/main" objectType="CheckBox" fmlaLink="'Sprachen &amp; Rückgabewerte(3)'!$C$42" lockText="1"/>
</file>

<file path=xl/ctrlProps/ctrlProp144.xml><?xml version="1.0" encoding="utf-8"?>
<formControlPr xmlns="http://schemas.microsoft.com/office/spreadsheetml/2009/9/main" objectType="CheckBox" fmlaLink="'Sprachen &amp; Rückgabewerte(3)'!$C$43" lockText="1"/>
</file>

<file path=xl/ctrlProps/ctrlProp145.xml><?xml version="1.0" encoding="utf-8"?>
<formControlPr xmlns="http://schemas.microsoft.com/office/spreadsheetml/2009/9/main" objectType="CheckBox" fmlaLink="'Sprachen &amp; Rückgabewerte(3)'!$C$44" lockText="1"/>
</file>

<file path=xl/ctrlProps/ctrlProp146.xml><?xml version="1.0" encoding="utf-8"?>
<formControlPr xmlns="http://schemas.microsoft.com/office/spreadsheetml/2009/9/main" objectType="CheckBox" fmlaLink="'Sprachen &amp; Rückgabewerte(3)'!$C$45" lockText="1"/>
</file>

<file path=xl/ctrlProps/ctrlProp147.xml><?xml version="1.0" encoding="utf-8"?>
<formControlPr xmlns="http://schemas.microsoft.com/office/spreadsheetml/2009/9/main" objectType="CheckBox" fmlaLink="'Sprachen &amp; Rückgabewerte(3)'!$C$46" lockText="1"/>
</file>

<file path=xl/ctrlProps/ctrlProp148.xml><?xml version="1.0" encoding="utf-8"?>
<formControlPr xmlns="http://schemas.microsoft.com/office/spreadsheetml/2009/9/main" objectType="CheckBox" fmlaLink="'Sprachen &amp; Rückgabewerte(3)'!$C$47" lockText="1"/>
</file>

<file path=xl/ctrlProps/ctrlProp149.xml><?xml version="1.0" encoding="utf-8"?>
<formControlPr xmlns="http://schemas.microsoft.com/office/spreadsheetml/2009/9/main" objectType="CheckBox" fmlaLink="'Sprachen &amp; Rückgabewerte(3)'!$C$50" lockText="1"/>
</file>

<file path=xl/ctrlProps/ctrlProp15.xml><?xml version="1.0" encoding="utf-8"?>
<formControlPr xmlns="http://schemas.microsoft.com/office/spreadsheetml/2009/9/main" objectType="CheckBox" fmlaLink="'Sprachen &amp; Rückgabewerte'!$I$14" lockText="1"/>
</file>

<file path=xl/ctrlProps/ctrlProp150.xml><?xml version="1.0" encoding="utf-8"?>
<formControlPr xmlns="http://schemas.microsoft.com/office/spreadsheetml/2009/9/main" objectType="CheckBox" fmlaLink="'Sprachen &amp; Rückgabewerte(3)'!$C$51" lockText="1"/>
</file>

<file path=xl/ctrlProps/ctrlProp151.xml><?xml version="1.0" encoding="utf-8"?>
<formControlPr xmlns="http://schemas.microsoft.com/office/spreadsheetml/2009/9/main" objectType="CheckBox" fmlaLink="'Sprachen &amp; Rückgabewerte(3)'!$C$48" lockText="1"/>
</file>

<file path=xl/ctrlProps/ctrlProp152.xml><?xml version="1.0" encoding="utf-8"?>
<formControlPr xmlns="http://schemas.microsoft.com/office/spreadsheetml/2009/9/main" objectType="CheckBox" fmlaLink="'Sprachen &amp; Rückgabewerte(3)'!$C$49" lockText="1"/>
</file>

<file path=xl/ctrlProps/ctrlProp153.xml><?xml version="1.0" encoding="utf-8"?>
<formControlPr xmlns="http://schemas.microsoft.com/office/spreadsheetml/2009/9/main" objectType="CheckBox" fmlaLink="'Sprachen &amp; Rückgabewerte(3)'!$C$57" lockText="1"/>
</file>

<file path=xl/ctrlProps/ctrlProp154.xml><?xml version="1.0" encoding="utf-8"?>
<formControlPr xmlns="http://schemas.microsoft.com/office/spreadsheetml/2009/9/main" objectType="CheckBox" fmlaLink="'Sprachen &amp; Rückgabewerte(3)'!$C$58" lockText="1"/>
</file>

<file path=xl/ctrlProps/ctrlProp155.xml><?xml version="1.0" encoding="utf-8"?>
<formControlPr xmlns="http://schemas.microsoft.com/office/spreadsheetml/2009/9/main" objectType="CheckBox" checked="Checked" fmlaLink="'Sprachen &amp; Rückgabewerte(3)'!$C$53" lockText="1"/>
</file>

<file path=xl/ctrlProps/ctrlProp156.xml><?xml version="1.0" encoding="utf-8"?>
<formControlPr xmlns="http://schemas.microsoft.com/office/spreadsheetml/2009/9/main" objectType="CheckBox" fmlaLink="'Sprachen &amp; Rückgabewerte(3)'!$C$54" lockText="1"/>
</file>

<file path=xl/ctrlProps/ctrlProp157.xml><?xml version="1.0" encoding="utf-8"?>
<formControlPr xmlns="http://schemas.microsoft.com/office/spreadsheetml/2009/9/main" objectType="CheckBox" fmlaLink="'Sprachen &amp; Rückgabewerte(3)'!$I$125" lockText="1"/>
</file>

<file path=xl/ctrlProps/ctrlProp158.xml><?xml version="1.0" encoding="utf-8"?>
<formControlPr xmlns="http://schemas.microsoft.com/office/spreadsheetml/2009/9/main" objectType="CheckBox" fmlaLink="'Sprachen &amp; Rückgabewerte(3)'!$I$36" lockText="1"/>
</file>

<file path=xl/ctrlProps/ctrlProp159.xml><?xml version="1.0" encoding="utf-8"?>
<formControlPr xmlns="http://schemas.microsoft.com/office/spreadsheetml/2009/9/main" objectType="CheckBox" fmlaLink="'Sprachen &amp; Rückgabewerte(3)'!$I$39" lockText="1"/>
</file>

<file path=xl/ctrlProps/ctrlProp16.xml><?xml version="1.0" encoding="utf-8"?>
<formControlPr xmlns="http://schemas.microsoft.com/office/spreadsheetml/2009/9/main" objectType="CheckBox" fmlaLink="'Sprachen &amp; Rückgabewerte'!$I$5" lockText="1"/>
</file>

<file path=xl/ctrlProps/ctrlProp160.xml><?xml version="1.0" encoding="utf-8"?>
<formControlPr xmlns="http://schemas.microsoft.com/office/spreadsheetml/2009/9/main" objectType="CheckBox" fmlaLink="'Sprachen &amp; Rückgabewerte(3)'!$I$45" lockText="1"/>
</file>

<file path=xl/ctrlProps/ctrlProp161.xml><?xml version="1.0" encoding="utf-8"?>
<formControlPr xmlns="http://schemas.microsoft.com/office/spreadsheetml/2009/9/main" objectType="CheckBox" fmlaLink="'Sprachen &amp; Rückgabewerte(3)'!$I$71" lockText="1"/>
</file>

<file path=xl/ctrlProps/ctrlProp162.xml><?xml version="1.0" encoding="utf-8"?>
<formControlPr xmlns="http://schemas.microsoft.com/office/spreadsheetml/2009/9/main" objectType="CheckBox" fmlaLink="'Sprachen &amp; Rückgabewerte(3)'!$I$26" lockText="1"/>
</file>

<file path=xl/ctrlProps/ctrlProp163.xml><?xml version="1.0" encoding="utf-8"?>
<formControlPr xmlns="http://schemas.microsoft.com/office/spreadsheetml/2009/9/main" objectType="CheckBox" fmlaLink="'Sprachen &amp; Rückgabewerte(3)'!$I$27" lockText="1"/>
</file>

<file path=xl/ctrlProps/ctrlProp164.xml><?xml version="1.0" encoding="utf-8"?>
<formControlPr xmlns="http://schemas.microsoft.com/office/spreadsheetml/2009/9/main" objectType="CheckBox" fmlaLink="'Sprachen &amp; Rückgabewerte(3)'!$I$28" lockText="1"/>
</file>

<file path=xl/ctrlProps/ctrlProp165.xml><?xml version="1.0" encoding="utf-8"?>
<formControlPr xmlns="http://schemas.microsoft.com/office/spreadsheetml/2009/9/main" objectType="CheckBox" fmlaLink="'Sprachen &amp; Rückgabewerte(3)'!$I$29" lockText="1"/>
</file>

<file path=xl/ctrlProps/ctrlProp166.xml><?xml version="1.0" encoding="utf-8"?>
<formControlPr xmlns="http://schemas.microsoft.com/office/spreadsheetml/2009/9/main" objectType="Drop" dropStyle="combo" dx="16" fmlaLink="'Sprachen &amp; Rückgabewerte(4)'!$B$3:$B$6" fmlaRange="'Sprachen &amp; Rückgabewerte(4)'!$C$3:$C$6" sel="1" val="0"/>
</file>

<file path=xl/ctrlProps/ctrlProp167.xml><?xml version="1.0" encoding="utf-8"?>
<formControlPr xmlns="http://schemas.microsoft.com/office/spreadsheetml/2009/9/main" objectType="CheckBox" fmlaLink="'Sprachen &amp; Rückgabewerte(4)'!$I$30" lockText="1"/>
</file>

<file path=xl/ctrlProps/ctrlProp168.xml><?xml version="1.0" encoding="utf-8"?>
<formControlPr xmlns="http://schemas.microsoft.com/office/spreadsheetml/2009/9/main" objectType="CheckBox" fmlaLink="'Sprachen &amp; Rückgabewerte(4)'!$I$31" lockText="1"/>
</file>

<file path=xl/ctrlProps/ctrlProp169.xml><?xml version="1.0" encoding="utf-8"?>
<formControlPr xmlns="http://schemas.microsoft.com/office/spreadsheetml/2009/9/main" objectType="CheckBox" fmlaLink="'Sprachen &amp; Rückgabewerte(4)'!$I$16" lockText="1"/>
</file>

<file path=xl/ctrlProps/ctrlProp17.xml><?xml version="1.0" encoding="utf-8"?>
<formControlPr xmlns="http://schemas.microsoft.com/office/spreadsheetml/2009/9/main" objectType="CheckBox" fmlaLink="'Sprachen &amp; Rückgabewerte'!$I$6" lockText="1"/>
</file>

<file path=xl/ctrlProps/ctrlProp170.xml><?xml version="1.0" encoding="utf-8"?>
<formControlPr xmlns="http://schemas.microsoft.com/office/spreadsheetml/2009/9/main" objectType="CheckBox" fmlaLink="'Sprachen &amp; Rückgabewerte(4)'!$I$17" lockText="1"/>
</file>

<file path=xl/ctrlProps/ctrlProp171.xml><?xml version="1.0" encoding="utf-8"?>
<formControlPr xmlns="http://schemas.microsoft.com/office/spreadsheetml/2009/9/main" objectType="CheckBox" fmlaLink="'Sprachen &amp; Rückgabewerte(4)'!$I$18" lockText="1"/>
</file>

<file path=xl/ctrlProps/ctrlProp172.xml><?xml version="1.0" encoding="utf-8"?>
<formControlPr xmlns="http://schemas.microsoft.com/office/spreadsheetml/2009/9/main" objectType="CheckBox" fmlaLink="'Sprachen &amp; Rückgabewerte(4)'!$I$19" lockText="1"/>
</file>

<file path=xl/ctrlProps/ctrlProp173.xml><?xml version="1.0" encoding="utf-8"?>
<formControlPr xmlns="http://schemas.microsoft.com/office/spreadsheetml/2009/9/main" objectType="CheckBox" fmlaLink="'Sprachen &amp; Rückgabewerte(4)'!$I$20" lockText="1"/>
</file>

<file path=xl/ctrlProps/ctrlProp174.xml><?xml version="1.0" encoding="utf-8"?>
<formControlPr xmlns="http://schemas.microsoft.com/office/spreadsheetml/2009/9/main" objectType="CheckBox" fmlaLink="'Sprachen &amp; Rückgabewerte(4)'!$I$22" lockText="1"/>
</file>

<file path=xl/ctrlProps/ctrlProp175.xml><?xml version="1.0" encoding="utf-8"?>
<formControlPr xmlns="http://schemas.microsoft.com/office/spreadsheetml/2009/9/main" objectType="CheckBox" fmlaLink="'Sprachen &amp; Rückgabewerte(4)'!$I$15" lockText="1"/>
</file>

<file path=xl/ctrlProps/ctrlProp176.xml><?xml version="1.0" encoding="utf-8"?>
<formControlPr xmlns="http://schemas.microsoft.com/office/spreadsheetml/2009/9/main" objectType="CheckBox" fmlaLink="'Sprachen &amp; Rückgabewerte(4)'!$I$25" lockText="1"/>
</file>

<file path=xl/ctrlProps/ctrlProp177.xml><?xml version="1.0" encoding="utf-8"?>
<formControlPr xmlns="http://schemas.microsoft.com/office/spreadsheetml/2009/9/main" objectType="CheckBox" fmlaLink="'Sprachen &amp; Rückgabewerte(4)'!$I$10" lockText="1"/>
</file>

<file path=xl/ctrlProps/ctrlProp178.xml><?xml version="1.0" encoding="utf-8"?>
<formControlPr xmlns="http://schemas.microsoft.com/office/spreadsheetml/2009/9/main" objectType="CheckBox" fmlaLink="'Sprachen &amp; Rückgabewerte(4)'!$I$11" lockText="1"/>
</file>

<file path=xl/ctrlProps/ctrlProp179.xml><?xml version="1.0" encoding="utf-8"?>
<formControlPr xmlns="http://schemas.microsoft.com/office/spreadsheetml/2009/9/main" objectType="CheckBox" fmlaLink="'Sprachen &amp; Rückgabewerte(4)'!$I$13" lockText="1"/>
</file>

<file path=xl/ctrlProps/ctrlProp18.xml><?xml version="1.0" encoding="utf-8"?>
<formControlPr xmlns="http://schemas.microsoft.com/office/spreadsheetml/2009/9/main" objectType="CheckBox" checked="Checked" fmlaLink="'Sprachen &amp; Rückgabewerte'!$C$37" lockText="1"/>
</file>

<file path=xl/ctrlProps/ctrlProp180.xml><?xml version="1.0" encoding="utf-8"?>
<formControlPr xmlns="http://schemas.microsoft.com/office/spreadsheetml/2009/9/main" objectType="CheckBox" fmlaLink="'Sprachen &amp; Rückgabewerte(4)'!$I$14" lockText="1"/>
</file>

<file path=xl/ctrlProps/ctrlProp181.xml><?xml version="1.0" encoding="utf-8"?>
<formControlPr xmlns="http://schemas.microsoft.com/office/spreadsheetml/2009/9/main" objectType="CheckBox" fmlaLink="'Sprachen &amp; Rückgabewerte(4)'!$I$5" lockText="1"/>
</file>

<file path=xl/ctrlProps/ctrlProp182.xml><?xml version="1.0" encoding="utf-8"?>
<formControlPr xmlns="http://schemas.microsoft.com/office/spreadsheetml/2009/9/main" objectType="CheckBox" fmlaLink="'Sprachen &amp; Rückgabewerte(4)'!$I$6" lockText="1"/>
</file>

<file path=xl/ctrlProps/ctrlProp183.xml><?xml version="1.0" encoding="utf-8"?>
<formControlPr xmlns="http://schemas.microsoft.com/office/spreadsheetml/2009/9/main" objectType="CheckBox" checked="Checked" fmlaLink="'Sprachen &amp; Rückgabewerte(4)'!$C$37" lockText="1"/>
</file>

<file path=xl/ctrlProps/ctrlProp184.xml><?xml version="1.0" encoding="utf-8"?>
<formControlPr xmlns="http://schemas.microsoft.com/office/spreadsheetml/2009/9/main" objectType="CheckBox" checked="Checked" fmlaLink="'Sprachen &amp; Rückgabewerte(4)'!$C$38" lockText="1"/>
</file>

<file path=xl/ctrlProps/ctrlProp185.xml><?xml version="1.0" encoding="utf-8"?>
<formControlPr xmlns="http://schemas.microsoft.com/office/spreadsheetml/2009/9/main" objectType="CheckBox" fmlaLink="'Sprachen &amp; Rückgabewerte(4)'!$C$39" lockText="1"/>
</file>

<file path=xl/ctrlProps/ctrlProp186.xml><?xml version="1.0" encoding="utf-8"?>
<formControlPr xmlns="http://schemas.microsoft.com/office/spreadsheetml/2009/9/main" objectType="CheckBox" fmlaLink="'Sprachen &amp; Rückgabewerte(4)'!$C$40" lockText="1"/>
</file>

<file path=xl/ctrlProps/ctrlProp187.xml><?xml version="1.0" encoding="utf-8"?>
<formControlPr xmlns="http://schemas.microsoft.com/office/spreadsheetml/2009/9/main" objectType="CheckBox" fmlaLink="'Sprachen &amp; Rückgabewerte(4)'!$I$43" lockText="1"/>
</file>

<file path=xl/ctrlProps/ctrlProp188.xml><?xml version="1.0" encoding="utf-8"?>
<formControlPr xmlns="http://schemas.microsoft.com/office/spreadsheetml/2009/9/main" objectType="CheckBox" fmlaLink="'Sprachen &amp; Rückgabewerte(4)'!$I$44" lockText="1"/>
</file>

<file path=xl/ctrlProps/ctrlProp189.xml><?xml version="1.0" encoding="utf-8"?>
<formControlPr xmlns="http://schemas.microsoft.com/office/spreadsheetml/2009/9/main" objectType="CheckBox" fmlaLink="'Sprachen &amp; Rückgabewerte(4)'!$C$60" lockText="1"/>
</file>

<file path=xl/ctrlProps/ctrlProp19.xml><?xml version="1.0" encoding="utf-8"?>
<formControlPr xmlns="http://schemas.microsoft.com/office/spreadsheetml/2009/9/main" objectType="CheckBox" checked="Checked" fmlaLink="'Sprachen &amp; Rückgabewerte'!$C$38" lockText="1"/>
</file>

<file path=xl/ctrlProps/ctrlProp190.xml><?xml version="1.0" encoding="utf-8"?>
<formControlPr xmlns="http://schemas.microsoft.com/office/spreadsheetml/2009/9/main" objectType="CheckBox" fmlaLink="'Sprachen &amp; Rückgabewerte(4)'!$C$61" lockText="1"/>
</file>

<file path=xl/ctrlProps/ctrlProp191.xml><?xml version="1.0" encoding="utf-8"?>
<formControlPr xmlns="http://schemas.microsoft.com/office/spreadsheetml/2009/9/main" objectType="CheckBox" fmlaLink="'Sprachen &amp; Rückgabewerte(4)'!$C$62" lockText="1"/>
</file>

<file path=xl/ctrlProps/ctrlProp192.xml><?xml version="1.0" encoding="utf-8"?>
<formControlPr xmlns="http://schemas.microsoft.com/office/spreadsheetml/2009/9/main" objectType="CheckBox" fmlaLink="'Sprachen &amp; Rückgabewerte(4)'!$C$63" lockText="1"/>
</file>

<file path=xl/ctrlProps/ctrlProp193.xml><?xml version="1.0" encoding="utf-8"?>
<formControlPr xmlns="http://schemas.microsoft.com/office/spreadsheetml/2009/9/main" objectType="CheckBox" fmlaLink="'Sprachen &amp; Rückgabewerte(4)'!$I$50" lockText="1"/>
</file>

<file path=xl/ctrlProps/ctrlProp194.xml><?xml version="1.0" encoding="utf-8"?>
<formControlPr xmlns="http://schemas.microsoft.com/office/spreadsheetml/2009/9/main" objectType="CheckBox" fmlaLink="'Sprachen &amp; Rückgabewerte(4)'!$I$51" lockText="1"/>
</file>

<file path=xl/ctrlProps/ctrlProp195.xml><?xml version="1.0" encoding="utf-8"?>
<formControlPr xmlns="http://schemas.microsoft.com/office/spreadsheetml/2009/9/main" objectType="CheckBox" fmlaLink="'Sprachen &amp; Rückgabewerte(4)'!$I$110" lockText="1"/>
</file>

<file path=xl/ctrlProps/ctrlProp196.xml><?xml version="1.0" encoding="utf-8"?>
<formControlPr xmlns="http://schemas.microsoft.com/office/spreadsheetml/2009/9/main" objectType="CheckBox" fmlaLink="'Sprachen &amp; Rückgabewerte(4)'!$I$111" lockText="1"/>
</file>

<file path=xl/ctrlProps/ctrlProp197.xml><?xml version="1.0" encoding="utf-8"?>
<formControlPr xmlns="http://schemas.microsoft.com/office/spreadsheetml/2009/9/main" objectType="CheckBox" fmlaLink="'Sprachen &amp; Rückgabewerte(4)'!$C$41" lockText="1"/>
</file>

<file path=xl/ctrlProps/ctrlProp198.xml><?xml version="1.0" encoding="utf-8"?>
<formControlPr xmlns="http://schemas.microsoft.com/office/spreadsheetml/2009/9/main" objectType="CheckBox" fmlaLink="'Sprachen &amp; Rückgabewerte(4)'!$C$42" lockText="1"/>
</file>

<file path=xl/ctrlProps/ctrlProp199.xml><?xml version="1.0" encoding="utf-8"?>
<formControlPr xmlns="http://schemas.microsoft.com/office/spreadsheetml/2009/9/main" objectType="CheckBox" fmlaLink="'Sprachen &amp; Rückgabewerte(4)'!$C$43" lockText="1"/>
</file>

<file path=xl/ctrlProps/ctrlProp2.xml><?xml version="1.0" encoding="utf-8"?>
<formControlPr xmlns="http://schemas.microsoft.com/office/spreadsheetml/2009/9/main" objectType="CheckBox" fmlaLink="'Sprachen &amp; Rückgabewerte'!$I$30" lockText="1"/>
</file>

<file path=xl/ctrlProps/ctrlProp20.xml><?xml version="1.0" encoding="utf-8"?>
<formControlPr xmlns="http://schemas.microsoft.com/office/spreadsheetml/2009/9/main" objectType="CheckBox" fmlaLink="'Sprachen &amp; Rückgabewerte'!$C$39" lockText="1"/>
</file>

<file path=xl/ctrlProps/ctrlProp200.xml><?xml version="1.0" encoding="utf-8"?>
<formControlPr xmlns="http://schemas.microsoft.com/office/spreadsheetml/2009/9/main" objectType="CheckBox" fmlaLink="'Sprachen &amp; Rückgabewerte(4)'!$C$44" lockText="1"/>
</file>

<file path=xl/ctrlProps/ctrlProp201.xml><?xml version="1.0" encoding="utf-8"?>
<formControlPr xmlns="http://schemas.microsoft.com/office/spreadsheetml/2009/9/main" objectType="CheckBox" fmlaLink="'Sprachen &amp; Rückgabewerte(4)'!$C$45" lockText="1"/>
</file>

<file path=xl/ctrlProps/ctrlProp202.xml><?xml version="1.0" encoding="utf-8"?>
<formControlPr xmlns="http://schemas.microsoft.com/office/spreadsheetml/2009/9/main" objectType="CheckBox" fmlaLink="'Sprachen &amp; Rückgabewerte(4)'!$C$46" lockText="1"/>
</file>

<file path=xl/ctrlProps/ctrlProp203.xml><?xml version="1.0" encoding="utf-8"?>
<formControlPr xmlns="http://schemas.microsoft.com/office/spreadsheetml/2009/9/main" objectType="CheckBox" fmlaLink="'Sprachen &amp; Rückgabewerte(4)'!$C$47" lockText="1"/>
</file>

<file path=xl/ctrlProps/ctrlProp204.xml><?xml version="1.0" encoding="utf-8"?>
<formControlPr xmlns="http://schemas.microsoft.com/office/spreadsheetml/2009/9/main" objectType="CheckBox" fmlaLink="'Sprachen &amp; Rückgabewerte(4)'!$C$50" lockText="1"/>
</file>

<file path=xl/ctrlProps/ctrlProp205.xml><?xml version="1.0" encoding="utf-8"?>
<formControlPr xmlns="http://schemas.microsoft.com/office/spreadsheetml/2009/9/main" objectType="CheckBox" fmlaLink="'Sprachen &amp; Rückgabewerte(4)'!$C$51" lockText="1"/>
</file>

<file path=xl/ctrlProps/ctrlProp206.xml><?xml version="1.0" encoding="utf-8"?>
<formControlPr xmlns="http://schemas.microsoft.com/office/spreadsheetml/2009/9/main" objectType="CheckBox" fmlaLink="'Sprachen &amp; Rückgabewerte(4)'!$C$48" lockText="1"/>
</file>

<file path=xl/ctrlProps/ctrlProp207.xml><?xml version="1.0" encoding="utf-8"?>
<formControlPr xmlns="http://schemas.microsoft.com/office/spreadsheetml/2009/9/main" objectType="CheckBox" fmlaLink="'Sprachen &amp; Rückgabewerte(4)'!$C$49" lockText="1"/>
</file>

<file path=xl/ctrlProps/ctrlProp208.xml><?xml version="1.0" encoding="utf-8"?>
<formControlPr xmlns="http://schemas.microsoft.com/office/spreadsheetml/2009/9/main" objectType="CheckBox" fmlaLink="'Sprachen &amp; Rückgabewerte(4)'!$C$57" lockText="1"/>
</file>

<file path=xl/ctrlProps/ctrlProp209.xml><?xml version="1.0" encoding="utf-8"?>
<formControlPr xmlns="http://schemas.microsoft.com/office/spreadsheetml/2009/9/main" objectType="CheckBox" fmlaLink="'Sprachen &amp; Rückgabewerte(4)'!$C$58" lockText="1"/>
</file>

<file path=xl/ctrlProps/ctrlProp21.xml><?xml version="1.0" encoding="utf-8"?>
<formControlPr xmlns="http://schemas.microsoft.com/office/spreadsheetml/2009/9/main" objectType="CheckBox" fmlaLink="'Sprachen &amp; Rückgabewerte'!$C$40" lockText="1"/>
</file>

<file path=xl/ctrlProps/ctrlProp210.xml><?xml version="1.0" encoding="utf-8"?>
<formControlPr xmlns="http://schemas.microsoft.com/office/spreadsheetml/2009/9/main" objectType="CheckBox" checked="Checked" fmlaLink="'Sprachen &amp; Rückgabewerte(4)'!$C$53" lockText="1"/>
</file>

<file path=xl/ctrlProps/ctrlProp211.xml><?xml version="1.0" encoding="utf-8"?>
<formControlPr xmlns="http://schemas.microsoft.com/office/spreadsheetml/2009/9/main" objectType="CheckBox" fmlaLink="'Sprachen &amp; Rückgabewerte(4)'!$C$54" lockText="1"/>
</file>

<file path=xl/ctrlProps/ctrlProp212.xml><?xml version="1.0" encoding="utf-8"?>
<formControlPr xmlns="http://schemas.microsoft.com/office/spreadsheetml/2009/9/main" objectType="CheckBox" fmlaLink="'Sprachen &amp; Rückgabewerte(4)'!$I$125" lockText="1"/>
</file>

<file path=xl/ctrlProps/ctrlProp213.xml><?xml version="1.0" encoding="utf-8"?>
<formControlPr xmlns="http://schemas.microsoft.com/office/spreadsheetml/2009/9/main" objectType="CheckBox" fmlaLink="'Sprachen &amp; Rückgabewerte(4)'!$I$36" lockText="1"/>
</file>

<file path=xl/ctrlProps/ctrlProp214.xml><?xml version="1.0" encoding="utf-8"?>
<formControlPr xmlns="http://schemas.microsoft.com/office/spreadsheetml/2009/9/main" objectType="CheckBox" fmlaLink="'Sprachen &amp; Rückgabewerte(4)'!$I$39" lockText="1"/>
</file>

<file path=xl/ctrlProps/ctrlProp215.xml><?xml version="1.0" encoding="utf-8"?>
<formControlPr xmlns="http://schemas.microsoft.com/office/spreadsheetml/2009/9/main" objectType="CheckBox" fmlaLink="'Sprachen &amp; Rückgabewerte(4)'!$I$45" lockText="1"/>
</file>

<file path=xl/ctrlProps/ctrlProp216.xml><?xml version="1.0" encoding="utf-8"?>
<formControlPr xmlns="http://schemas.microsoft.com/office/spreadsheetml/2009/9/main" objectType="CheckBox" fmlaLink="'Sprachen &amp; Rückgabewerte(4)'!$I$71" lockText="1"/>
</file>

<file path=xl/ctrlProps/ctrlProp217.xml><?xml version="1.0" encoding="utf-8"?>
<formControlPr xmlns="http://schemas.microsoft.com/office/spreadsheetml/2009/9/main" objectType="CheckBox" fmlaLink="'Sprachen &amp; Rückgabewerte(4)'!$I$26" lockText="1"/>
</file>

<file path=xl/ctrlProps/ctrlProp218.xml><?xml version="1.0" encoding="utf-8"?>
<formControlPr xmlns="http://schemas.microsoft.com/office/spreadsheetml/2009/9/main" objectType="CheckBox" fmlaLink="'Sprachen &amp; Rückgabewerte(4)'!$I$27" lockText="1"/>
</file>

<file path=xl/ctrlProps/ctrlProp219.xml><?xml version="1.0" encoding="utf-8"?>
<formControlPr xmlns="http://schemas.microsoft.com/office/spreadsheetml/2009/9/main" objectType="CheckBox" fmlaLink="'Sprachen &amp; Rückgabewerte(4)'!$I$28" lockText="1"/>
</file>

<file path=xl/ctrlProps/ctrlProp22.xml><?xml version="1.0" encoding="utf-8"?>
<formControlPr xmlns="http://schemas.microsoft.com/office/spreadsheetml/2009/9/main" objectType="CheckBox" fmlaLink="'Sprachen &amp; Rückgabewerte'!$I$43" lockText="1"/>
</file>

<file path=xl/ctrlProps/ctrlProp220.xml><?xml version="1.0" encoding="utf-8"?>
<formControlPr xmlns="http://schemas.microsoft.com/office/spreadsheetml/2009/9/main" objectType="CheckBox" fmlaLink="'Sprachen &amp; Rückgabewerte(4)'!$I$29" lockText="1"/>
</file>

<file path=xl/ctrlProps/ctrlProp221.xml><?xml version="1.0" encoding="utf-8"?>
<formControlPr xmlns="http://schemas.microsoft.com/office/spreadsheetml/2009/9/main" objectType="Drop" dropStyle="combo" dx="16" fmlaLink="'Sprachen &amp; Rückgabewerte(5)'!$B$3:$B$6" fmlaRange="'Sprachen &amp; Rückgabewerte(5)'!$C$3:$C$6" sel="1" val="0"/>
</file>

<file path=xl/ctrlProps/ctrlProp222.xml><?xml version="1.0" encoding="utf-8"?>
<formControlPr xmlns="http://schemas.microsoft.com/office/spreadsheetml/2009/9/main" objectType="CheckBox" fmlaLink="'Sprachen &amp; Rückgabewerte(5)'!$I$30" lockText="1"/>
</file>

<file path=xl/ctrlProps/ctrlProp223.xml><?xml version="1.0" encoding="utf-8"?>
<formControlPr xmlns="http://schemas.microsoft.com/office/spreadsheetml/2009/9/main" objectType="CheckBox" fmlaLink="'Sprachen &amp; Rückgabewerte(5)'!$I$31" lockText="1"/>
</file>

<file path=xl/ctrlProps/ctrlProp224.xml><?xml version="1.0" encoding="utf-8"?>
<formControlPr xmlns="http://schemas.microsoft.com/office/spreadsheetml/2009/9/main" objectType="CheckBox" fmlaLink="'Sprachen &amp; Rückgabewerte(5)'!$I$16" lockText="1"/>
</file>

<file path=xl/ctrlProps/ctrlProp225.xml><?xml version="1.0" encoding="utf-8"?>
<formControlPr xmlns="http://schemas.microsoft.com/office/spreadsheetml/2009/9/main" objectType="CheckBox" fmlaLink="'Sprachen &amp; Rückgabewerte(5)'!$I$17" lockText="1"/>
</file>

<file path=xl/ctrlProps/ctrlProp226.xml><?xml version="1.0" encoding="utf-8"?>
<formControlPr xmlns="http://schemas.microsoft.com/office/spreadsheetml/2009/9/main" objectType="CheckBox" fmlaLink="'Sprachen &amp; Rückgabewerte(5)'!$I$18" lockText="1"/>
</file>

<file path=xl/ctrlProps/ctrlProp227.xml><?xml version="1.0" encoding="utf-8"?>
<formControlPr xmlns="http://schemas.microsoft.com/office/spreadsheetml/2009/9/main" objectType="CheckBox" fmlaLink="'Sprachen &amp; Rückgabewerte(5)'!$I$19" lockText="1"/>
</file>

<file path=xl/ctrlProps/ctrlProp228.xml><?xml version="1.0" encoding="utf-8"?>
<formControlPr xmlns="http://schemas.microsoft.com/office/spreadsheetml/2009/9/main" objectType="CheckBox" fmlaLink="'Sprachen &amp; Rückgabewerte(5)'!$I$20" lockText="1"/>
</file>

<file path=xl/ctrlProps/ctrlProp229.xml><?xml version="1.0" encoding="utf-8"?>
<formControlPr xmlns="http://schemas.microsoft.com/office/spreadsheetml/2009/9/main" objectType="CheckBox" fmlaLink="'Sprachen &amp; Rückgabewerte(5)'!$I$22" lockText="1"/>
</file>

<file path=xl/ctrlProps/ctrlProp23.xml><?xml version="1.0" encoding="utf-8"?>
<formControlPr xmlns="http://schemas.microsoft.com/office/spreadsheetml/2009/9/main" objectType="CheckBox" fmlaLink="'Sprachen &amp; Rückgabewerte'!$I$44" lockText="1"/>
</file>

<file path=xl/ctrlProps/ctrlProp230.xml><?xml version="1.0" encoding="utf-8"?>
<formControlPr xmlns="http://schemas.microsoft.com/office/spreadsheetml/2009/9/main" objectType="CheckBox" fmlaLink="'Sprachen &amp; Rückgabewerte(5)'!$I$15" lockText="1"/>
</file>

<file path=xl/ctrlProps/ctrlProp231.xml><?xml version="1.0" encoding="utf-8"?>
<formControlPr xmlns="http://schemas.microsoft.com/office/spreadsheetml/2009/9/main" objectType="CheckBox" fmlaLink="'Sprachen &amp; Rückgabewerte(5)'!$I$25" lockText="1"/>
</file>

<file path=xl/ctrlProps/ctrlProp232.xml><?xml version="1.0" encoding="utf-8"?>
<formControlPr xmlns="http://schemas.microsoft.com/office/spreadsheetml/2009/9/main" objectType="CheckBox" fmlaLink="'Sprachen &amp; Rückgabewerte(5)'!$I$10" lockText="1"/>
</file>

<file path=xl/ctrlProps/ctrlProp233.xml><?xml version="1.0" encoding="utf-8"?>
<formControlPr xmlns="http://schemas.microsoft.com/office/spreadsheetml/2009/9/main" objectType="CheckBox" fmlaLink="'Sprachen &amp; Rückgabewerte(5)'!$I$11" lockText="1"/>
</file>

<file path=xl/ctrlProps/ctrlProp234.xml><?xml version="1.0" encoding="utf-8"?>
<formControlPr xmlns="http://schemas.microsoft.com/office/spreadsheetml/2009/9/main" objectType="CheckBox" fmlaLink="'Sprachen &amp; Rückgabewerte(5)'!$I$13" lockText="1"/>
</file>

<file path=xl/ctrlProps/ctrlProp235.xml><?xml version="1.0" encoding="utf-8"?>
<formControlPr xmlns="http://schemas.microsoft.com/office/spreadsheetml/2009/9/main" objectType="CheckBox" fmlaLink="'Sprachen &amp; Rückgabewerte(5)'!$I$14" lockText="1"/>
</file>

<file path=xl/ctrlProps/ctrlProp236.xml><?xml version="1.0" encoding="utf-8"?>
<formControlPr xmlns="http://schemas.microsoft.com/office/spreadsheetml/2009/9/main" objectType="CheckBox" fmlaLink="'Sprachen &amp; Rückgabewerte(5)'!$I$5" lockText="1"/>
</file>

<file path=xl/ctrlProps/ctrlProp237.xml><?xml version="1.0" encoding="utf-8"?>
<formControlPr xmlns="http://schemas.microsoft.com/office/spreadsheetml/2009/9/main" objectType="CheckBox" fmlaLink="'Sprachen &amp; Rückgabewerte(5)'!$I$6" lockText="1"/>
</file>

<file path=xl/ctrlProps/ctrlProp238.xml><?xml version="1.0" encoding="utf-8"?>
<formControlPr xmlns="http://schemas.microsoft.com/office/spreadsheetml/2009/9/main" objectType="CheckBox" checked="Checked" fmlaLink="'Sprachen &amp; Rückgabewerte(5)'!$C$37" lockText="1"/>
</file>

<file path=xl/ctrlProps/ctrlProp239.xml><?xml version="1.0" encoding="utf-8"?>
<formControlPr xmlns="http://schemas.microsoft.com/office/spreadsheetml/2009/9/main" objectType="CheckBox" checked="Checked" fmlaLink="'Sprachen &amp; Rückgabewerte(5)'!$C$38" lockText="1"/>
</file>

<file path=xl/ctrlProps/ctrlProp24.xml><?xml version="1.0" encoding="utf-8"?>
<formControlPr xmlns="http://schemas.microsoft.com/office/spreadsheetml/2009/9/main" objectType="CheckBox" fmlaLink="'Sprachen &amp; Rückgabewerte'!$C$60" lockText="1"/>
</file>

<file path=xl/ctrlProps/ctrlProp240.xml><?xml version="1.0" encoding="utf-8"?>
<formControlPr xmlns="http://schemas.microsoft.com/office/spreadsheetml/2009/9/main" objectType="CheckBox" fmlaLink="'Sprachen &amp; Rückgabewerte(5)'!$C$39" lockText="1"/>
</file>

<file path=xl/ctrlProps/ctrlProp241.xml><?xml version="1.0" encoding="utf-8"?>
<formControlPr xmlns="http://schemas.microsoft.com/office/spreadsheetml/2009/9/main" objectType="CheckBox" fmlaLink="'Sprachen &amp; Rückgabewerte(5)'!$C$40" lockText="1"/>
</file>

<file path=xl/ctrlProps/ctrlProp242.xml><?xml version="1.0" encoding="utf-8"?>
<formControlPr xmlns="http://schemas.microsoft.com/office/spreadsheetml/2009/9/main" objectType="CheckBox" fmlaLink="'Sprachen &amp; Rückgabewerte(5)'!$I$43" lockText="1"/>
</file>

<file path=xl/ctrlProps/ctrlProp243.xml><?xml version="1.0" encoding="utf-8"?>
<formControlPr xmlns="http://schemas.microsoft.com/office/spreadsheetml/2009/9/main" objectType="CheckBox" fmlaLink="'Sprachen &amp; Rückgabewerte(5)'!$I$44" lockText="1"/>
</file>

<file path=xl/ctrlProps/ctrlProp244.xml><?xml version="1.0" encoding="utf-8"?>
<formControlPr xmlns="http://schemas.microsoft.com/office/spreadsheetml/2009/9/main" objectType="CheckBox" fmlaLink="'Sprachen &amp; Rückgabewerte(5)'!$C$60" lockText="1"/>
</file>

<file path=xl/ctrlProps/ctrlProp245.xml><?xml version="1.0" encoding="utf-8"?>
<formControlPr xmlns="http://schemas.microsoft.com/office/spreadsheetml/2009/9/main" objectType="CheckBox" fmlaLink="'Sprachen &amp; Rückgabewerte(5)'!$C$61" lockText="1"/>
</file>

<file path=xl/ctrlProps/ctrlProp246.xml><?xml version="1.0" encoding="utf-8"?>
<formControlPr xmlns="http://schemas.microsoft.com/office/spreadsheetml/2009/9/main" objectType="CheckBox" fmlaLink="'Sprachen &amp; Rückgabewerte(5)'!$C$62" lockText="1"/>
</file>

<file path=xl/ctrlProps/ctrlProp247.xml><?xml version="1.0" encoding="utf-8"?>
<formControlPr xmlns="http://schemas.microsoft.com/office/spreadsheetml/2009/9/main" objectType="CheckBox" fmlaLink="'Sprachen &amp; Rückgabewerte(5)'!$C$63" lockText="1"/>
</file>

<file path=xl/ctrlProps/ctrlProp248.xml><?xml version="1.0" encoding="utf-8"?>
<formControlPr xmlns="http://schemas.microsoft.com/office/spreadsheetml/2009/9/main" objectType="CheckBox" fmlaLink="'Sprachen &amp; Rückgabewerte(5)'!$I$50" lockText="1"/>
</file>

<file path=xl/ctrlProps/ctrlProp249.xml><?xml version="1.0" encoding="utf-8"?>
<formControlPr xmlns="http://schemas.microsoft.com/office/spreadsheetml/2009/9/main" objectType="CheckBox" fmlaLink="'Sprachen &amp; Rückgabewerte(5)'!$I$51" lockText="1"/>
</file>

<file path=xl/ctrlProps/ctrlProp25.xml><?xml version="1.0" encoding="utf-8"?>
<formControlPr xmlns="http://schemas.microsoft.com/office/spreadsheetml/2009/9/main" objectType="CheckBox" fmlaLink="'Sprachen &amp; Rückgabewerte'!$C$61" lockText="1"/>
</file>

<file path=xl/ctrlProps/ctrlProp250.xml><?xml version="1.0" encoding="utf-8"?>
<formControlPr xmlns="http://schemas.microsoft.com/office/spreadsheetml/2009/9/main" objectType="CheckBox" fmlaLink="'Sprachen &amp; Rückgabewerte(5)'!$I$110" lockText="1"/>
</file>

<file path=xl/ctrlProps/ctrlProp251.xml><?xml version="1.0" encoding="utf-8"?>
<formControlPr xmlns="http://schemas.microsoft.com/office/spreadsheetml/2009/9/main" objectType="CheckBox" fmlaLink="'Sprachen &amp; Rückgabewerte(5)'!$I$111" lockText="1"/>
</file>

<file path=xl/ctrlProps/ctrlProp252.xml><?xml version="1.0" encoding="utf-8"?>
<formControlPr xmlns="http://schemas.microsoft.com/office/spreadsheetml/2009/9/main" objectType="CheckBox" fmlaLink="'Sprachen &amp; Rückgabewerte(5)'!$C$41" lockText="1"/>
</file>

<file path=xl/ctrlProps/ctrlProp253.xml><?xml version="1.0" encoding="utf-8"?>
<formControlPr xmlns="http://schemas.microsoft.com/office/spreadsheetml/2009/9/main" objectType="CheckBox" fmlaLink="'Sprachen &amp; Rückgabewerte(5)'!$C$42" lockText="1"/>
</file>

<file path=xl/ctrlProps/ctrlProp254.xml><?xml version="1.0" encoding="utf-8"?>
<formControlPr xmlns="http://schemas.microsoft.com/office/spreadsheetml/2009/9/main" objectType="CheckBox" fmlaLink="'Sprachen &amp; Rückgabewerte(5)'!$C$43" lockText="1"/>
</file>

<file path=xl/ctrlProps/ctrlProp255.xml><?xml version="1.0" encoding="utf-8"?>
<formControlPr xmlns="http://schemas.microsoft.com/office/spreadsheetml/2009/9/main" objectType="CheckBox" fmlaLink="'Sprachen &amp; Rückgabewerte(5)'!$C$44" lockText="1"/>
</file>

<file path=xl/ctrlProps/ctrlProp256.xml><?xml version="1.0" encoding="utf-8"?>
<formControlPr xmlns="http://schemas.microsoft.com/office/spreadsheetml/2009/9/main" objectType="CheckBox" fmlaLink="'Sprachen &amp; Rückgabewerte(5)'!$C$45" lockText="1"/>
</file>

<file path=xl/ctrlProps/ctrlProp257.xml><?xml version="1.0" encoding="utf-8"?>
<formControlPr xmlns="http://schemas.microsoft.com/office/spreadsheetml/2009/9/main" objectType="CheckBox" fmlaLink="'Sprachen &amp; Rückgabewerte(5)'!$C$46" lockText="1"/>
</file>

<file path=xl/ctrlProps/ctrlProp258.xml><?xml version="1.0" encoding="utf-8"?>
<formControlPr xmlns="http://schemas.microsoft.com/office/spreadsheetml/2009/9/main" objectType="CheckBox" fmlaLink="'Sprachen &amp; Rückgabewerte(5)'!$C$47" lockText="1"/>
</file>

<file path=xl/ctrlProps/ctrlProp259.xml><?xml version="1.0" encoding="utf-8"?>
<formControlPr xmlns="http://schemas.microsoft.com/office/spreadsheetml/2009/9/main" objectType="CheckBox" fmlaLink="'Sprachen &amp; Rückgabewerte(5)'!$C$50" lockText="1"/>
</file>

<file path=xl/ctrlProps/ctrlProp26.xml><?xml version="1.0" encoding="utf-8"?>
<formControlPr xmlns="http://schemas.microsoft.com/office/spreadsheetml/2009/9/main" objectType="CheckBox" fmlaLink="'Sprachen &amp; Rückgabewerte'!$C$62" lockText="1"/>
</file>

<file path=xl/ctrlProps/ctrlProp260.xml><?xml version="1.0" encoding="utf-8"?>
<formControlPr xmlns="http://schemas.microsoft.com/office/spreadsheetml/2009/9/main" objectType="CheckBox" fmlaLink="'Sprachen &amp; Rückgabewerte(5)'!$C$51" lockText="1"/>
</file>

<file path=xl/ctrlProps/ctrlProp261.xml><?xml version="1.0" encoding="utf-8"?>
<formControlPr xmlns="http://schemas.microsoft.com/office/spreadsheetml/2009/9/main" objectType="CheckBox" fmlaLink="'Sprachen &amp; Rückgabewerte(5)'!$C$48" lockText="1"/>
</file>

<file path=xl/ctrlProps/ctrlProp262.xml><?xml version="1.0" encoding="utf-8"?>
<formControlPr xmlns="http://schemas.microsoft.com/office/spreadsheetml/2009/9/main" objectType="CheckBox" fmlaLink="'Sprachen &amp; Rückgabewerte(5)'!$C$49" lockText="1"/>
</file>

<file path=xl/ctrlProps/ctrlProp263.xml><?xml version="1.0" encoding="utf-8"?>
<formControlPr xmlns="http://schemas.microsoft.com/office/spreadsheetml/2009/9/main" objectType="CheckBox" fmlaLink="'Sprachen &amp; Rückgabewerte(5)'!$C$57" lockText="1"/>
</file>

<file path=xl/ctrlProps/ctrlProp264.xml><?xml version="1.0" encoding="utf-8"?>
<formControlPr xmlns="http://schemas.microsoft.com/office/spreadsheetml/2009/9/main" objectType="CheckBox" fmlaLink="'Sprachen &amp; Rückgabewerte(5)'!$C$58" lockText="1"/>
</file>

<file path=xl/ctrlProps/ctrlProp265.xml><?xml version="1.0" encoding="utf-8"?>
<formControlPr xmlns="http://schemas.microsoft.com/office/spreadsheetml/2009/9/main" objectType="CheckBox" checked="Checked" fmlaLink="'Sprachen &amp; Rückgabewerte(5)'!$C$53" lockText="1"/>
</file>

<file path=xl/ctrlProps/ctrlProp266.xml><?xml version="1.0" encoding="utf-8"?>
<formControlPr xmlns="http://schemas.microsoft.com/office/spreadsheetml/2009/9/main" objectType="CheckBox" fmlaLink="'Sprachen &amp; Rückgabewerte(5)'!$C$54" lockText="1"/>
</file>

<file path=xl/ctrlProps/ctrlProp267.xml><?xml version="1.0" encoding="utf-8"?>
<formControlPr xmlns="http://schemas.microsoft.com/office/spreadsheetml/2009/9/main" objectType="CheckBox" fmlaLink="'Sprachen &amp; Rückgabewerte(5)'!$I$125" lockText="1"/>
</file>

<file path=xl/ctrlProps/ctrlProp268.xml><?xml version="1.0" encoding="utf-8"?>
<formControlPr xmlns="http://schemas.microsoft.com/office/spreadsheetml/2009/9/main" objectType="CheckBox" fmlaLink="'Sprachen &amp; Rückgabewerte(5)'!$I$36" lockText="1"/>
</file>

<file path=xl/ctrlProps/ctrlProp269.xml><?xml version="1.0" encoding="utf-8"?>
<formControlPr xmlns="http://schemas.microsoft.com/office/spreadsheetml/2009/9/main" objectType="CheckBox" fmlaLink="'Sprachen &amp; Rückgabewerte(5)'!$I$39" lockText="1"/>
</file>

<file path=xl/ctrlProps/ctrlProp27.xml><?xml version="1.0" encoding="utf-8"?>
<formControlPr xmlns="http://schemas.microsoft.com/office/spreadsheetml/2009/9/main" objectType="CheckBox" fmlaLink="'Sprachen &amp; Rückgabewerte'!$C$63" lockText="1"/>
</file>

<file path=xl/ctrlProps/ctrlProp270.xml><?xml version="1.0" encoding="utf-8"?>
<formControlPr xmlns="http://schemas.microsoft.com/office/spreadsheetml/2009/9/main" objectType="CheckBox" fmlaLink="'Sprachen &amp; Rückgabewerte(5)'!$I$45" lockText="1"/>
</file>

<file path=xl/ctrlProps/ctrlProp271.xml><?xml version="1.0" encoding="utf-8"?>
<formControlPr xmlns="http://schemas.microsoft.com/office/spreadsheetml/2009/9/main" objectType="CheckBox" fmlaLink="'Sprachen &amp; Rückgabewerte(5)'!$I$71" lockText="1"/>
</file>

<file path=xl/ctrlProps/ctrlProp272.xml><?xml version="1.0" encoding="utf-8"?>
<formControlPr xmlns="http://schemas.microsoft.com/office/spreadsheetml/2009/9/main" objectType="CheckBox" fmlaLink="'Sprachen &amp; Rückgabewerte(5)'!$I$26" lockText="1"/>
</file>

<file path=xl/ctrlProps/ctrlProp273.xml><?xml version="1.0" encoding="utf-8"?>
<formControlPr xmlns="http://schemas.microsoft.com/office/spreadsheetml/2009/9/main" objectType="CheckBox" fmlaLink="'Sprachen &amp; Rückgabewerte(5)'!$I$27" lockText="1"/>
</file>

<file path=xl/ctrlProps/ctrlProp274.xml><?xml version="1.0" encoding="utf-8"?>
<formControlPr xmlns="http://schemas.microsoft.com/office/spreadsheetml/2009/9/main" objectType="CheckBox" fmlaLink="'Sprachen &amp; Rückgabewerte(5)'!$I$28" lockText="1"/>
</file>

<file path=xl/ctrlProps/ctrlProp275.xml><?xml version="1.0" encoding="utf-8"?>
<formControlPr xmlns="http://schemas.microsoft.com/office/spreadsheetml/2009/9/main" objectType="CheckBox" fmlaLink="'Sprachen &amp; Rückgabewerte(5)'!$I$29" lockText="1"/>
</file>

<file path=xl/ctrlProps/ctrlProp28.xml><?xml version="1.0" encoding="utf-8"?>
<formControlPr xmlns="http://schemas.microsoft.com/office/spreadsheetml/2009/9/main" objectType="CheckBox" fmlaLink="'Sprachen &amp; Rückgabewerte'!$I$50" lockText="1"/>
</file>

<file path=xl/ctrlProps/ctrlProp29.xml><?xml version="1.0" encoding="utf-8"?>
<formControlPr xmlns="http://schemas.microsoft.com/office/spreadsheetml/2009/9/main" objectType="CheckBox" fmlaLink="'Sprachen &amp; Rückgabewerte'!$I$51" lockText="1"/>
</file>

<file path=xl/ctrlProps/ctrlProp3.xml><?xml version="1.0" encoding="utf-8"?>
<formControlPr xmlns="http://schemas.microsoft.com/office/spreadsheetml/2009/9/main" objectType="CheckBox" fmlaLink="'Sprachen &amp; Rückgabewerte'!$I$31" lockText="1"/>
</file>

<file path=xl/ctrlProps/ctrlProp30.xml><?xml version="1.0" encoding="utf-8"?>
<formControlPr xmlns="http://schemas.microsoft.com/office/spreadsheetml/2009/9/main" objectType="CheckBox" fmlaLink="'Sprachen &amp; Rückgabewerte'!$I$110" lockText="1"/>
</file>

<file path=xl/ctrlProps/ctrlProp31.xml><?xml version="1.0" encoding="utf-8"?>
<formControlPr xmlns="http://schemas.microsoft.com/office/spreadsheetml/2009/9/main" objectType="CheckBox" fmlaLink="'Sprachen &amp; Rückgabewerte'!$I$111" lockText="1"/>
</file>

<file path=xl/ctrlProps/ctrlProp32.xml><?xml version="1.0" encoding="utf-8"?>
<formControlPr xmlns="http://schemas.microsoft.com/office/spreadsheetml/2009/9/main" objectType="CheckBox" fmlaLink="'Sprachen &amp; Rückgabewerte'!$C$41" lockText="1"/>
</file>

<file path=xl/ctrlProps/ctrlProp33.xml><?xml version="1.0" encoding="utf-8"?>
<formControlPr xmlns="http://schemas.microsoft.com/office/spreadsheetml/2009/9/main" objectType="CheckBox" fmlaLink="'Sprachen &amp; Rückgabewerte'!$C$42" lockText="1"/>
</file>

<file path=xl/ctrlProps/ctrlProp34.xml><?xml version="1.0" encoding="utf-8"?>
<formControlPr xmlns="http://schemas.microsoft.com/office/spreadsheetml/2009/9/main" objectType="CheckBox" fmlaLink="'Sprachen &amp; Rückgabewerte'!$C$43" lockText="1"/>
</file>

<file path=xl/ctrlProps/ctrlProp35.xml><?xml version="1.0" encoding="utf-8"?>
<formControlPr xmlns="http://schemas.microsoft.com/office/spreadsheetml/2009/9/main" objectType="CheckBox" fmlaLink="'Sprachen &amp; Rückgabewerte'!$C$44" lockText="1"/>
</file>

<file path=xl/ctrlProps/ctrlProp36.xml><?xml version="1.0" encoding="utf-8"?>
<formControlPr xmlns="http://schemas.microsoft.com/office/spreadsheetml/2009/9/main" objectType="CheckBox" fmlaLink="'Sprachen &amp; Rückgabewerte'!$C$45" lockText="1"/>
</file>

<file path=xl/ctrlProps/ctrlProp37.xml><?xml version="1.0" encoding="utf-8"?>
<formControlPr xmlns="http://schemas.microsoft.com/office/spreadsheetml/2009/9/main" objectType="CheckBox" fmlaLink="'Sprachen &amp; Rückgabewerte'!$C$46" lockText="1"/>
</file>

<file path=xl/ctrlProps/ctrlProp38.xml><?xml version="1.0" encoding="utf-8"?>
<formControlPr xmlns="http://schemas.microsoft.com/office/spreadsheetml/2009/9/main" objectType="CheckBox" fmlaLink="'Sprachen &amp; Rückgabewerte'!$C$47" lockText="1"/>
</file>

<file path=xl/ctrlProps/ctrlProp39.xml><?xml version="1.0" encoding="utf-8"?>
<formControlPr xmlns="http://schemas.microsoft.com/office/spreadsheetml/2009/9/main" objectType="CheckBox" fmlaLink="'Sprachen &amp; Rückgabewerte'!$C$50" lockText="1"/>
</file>

<file path=xl/ctrlProps/ctrlProp4.xml><?xml version="1.0" encoding="utf-8"?>
<formControlPr xmlns="http://schemas.microsoft.com/office/spreadsheetml/2009/9/main" objectType="CheckBox" fmlaLink="'Sprachen &amp; Rückgabewerte'!$I$16" lockText="1"/>
</file>

<file path=xl/ctrlProps/ctrlProp40.xml><?xml version="1.0" encoding="utf-8"?>
<formControlPr xmlns="http://schemas.microsoft.com/office/spreadsheetml/2009/9/main" objectType="CheckBox" fmlaLink="'Sprachen &amp; Rückgabewerte'!$C$51" lockText="1"/>
</file>

<file path=xl/ctrlProps/ctrlProp41.xml><?xml version="1.0" encoding="utf-8"?>
<formControlPr xmlns="http://schemas.microsoft.com/office/spreadsheetml/2009/9/main" objectType="CheckBox" fmlaLink="'Sprachen &amp; Rückgabewerte'!$C$48" lockText="1"/>
</file>

<file path=xl/ctrlProps/ctrlProp42.xml><?xml version="1.0" encoding="utf-8"?>
<formControlPr xmlns="http://schemas.microsoft.com/office/spreadsheetml/2009/9/main" objectType="CheckBox" fmlaLink="'Sprachen &amp; Rückgabewerte'!$C$49" lockText="1"/>
</file>

<file path=xl/ctrlProps/ctrlProp43.xml><?xml version="1.0" encoding="utf-8"?>
<formControlPr xmlns="http://schemas.microsoft.com/office/spreadsheetml/2009/9/main" objectType="CheckBox" fmlaLink="'Sprachen &amp; Rückgabewerte'!$C$57" lockText="1"/>
</file>

<file path=xl/ctrlProps/ctrlProp44.xml><?xml version="1.0" encoding="utf-8"?>
<formControlPr xmlns="http://schemas.microsoft.com/office/spreadsheetml/2009/9/main" objectType="CheckBox" fmlaLink="'Sprachen &amp; Rückgabewerte'!$C$58" lockText="1"/>
</file>

<file path=xl/ctrlProps/ctrlProp45.xml><?xml version="1.0" encoding="utf-8"?>
<formControlPr xmlns="http://schemas.microsoft.com/office/spreadsheetml/2009/9/main" objectType="CheckBox" checked="Checked" fmlaLink="'Sprachen &amp; Rückgabewerte'!$C$53" lockText="1"/>
</file>

<file path=xl/ctrlProps/ctrlProp46.xml><?xml version="1.0" encoding="utf-8"?>
<formControlPr xmlns="http://schemas.microsoft.com/office/spreadsheetml/2009/9/main" objectType="CheckBox" fmlaLink="'Sprachen &amp; Rückgabewerte'!$C$54" lockText="1"/>
</file>

<file path=xl/ctrlProps/ctrlProp47.xml><?xml version="1.0" encoding="utf-8"?>
<formControlPr xmlns="http://schemas.microsoft.com/office/spreadsheetml/2009/9/main" objectType="CheckBox" fmlaLink="'Sprachen &amp; Rückgabewerte'!$I$125" lockText="1"/>
</file>

<file path=xl/ctrlProps/ctrlProp48.xml><?xml version="1.0" encoding="utf-8"?>
<formControlPr xmlns="http://schemas.microsoft.com/office/spreadsheetml/2009/9/main" objectType="CheckBox" fmlaLink="'Sprachen &amp; Rückgabewerte'!$I$36" lockText="1"/>
</file>

<file path=xl/ctrlProps/ctrlProp49.xml><?xml version="1.0" encoding="utf-8"?>
<formControlPr xmlns="http://schemas.microsoft.com/office/spreadsheetml/2009/9/main" objectType="CheckBox" fmlaLink="'Sprachen &amp; Rückgabewerte'!$I$39" lockText="1"/>
</file>

<file path=xl/ctrlProps/ctrlProp5.xml><?xml version="1.0" encoding="utf-8"?>
<formControlPr xmlns="http://schemas.microsoft.com/office/spreadsheetml/2009/9/main" objectType="CheckBox" fmlaLink="'Sprachen &amp; Rückgabewerte'!$I$17" lockText="1"/>
</file>

<file path=xl/ctrlProps/ctrlProp50.xml><?xml version="1.0" encoding="utf-8"?>
<formControlPr xmlns="http://schemas.microsoft.com/office/spreadsheetml/2009/9/main" objectType="CheckBox" fmlaLink="'Sprachen &amp; Rückgabewerte'!$I$45" lockText="1"/>
</file>

<file path=xl/ctrlProps/ctrlProp51.xml><?xml version="1.0" encoding="utf-8"?>
<formControlPr xmlns="http://schemas.microsoft.com/office/spreadsheetml/2009/9/main" objectType="CheckBox" fmlaLink="'Sprachen &amp; Rückgabewerte'!$I$71" lockText="1"/>
</file>

<file path=xl/ctrlProps/ctrlProp52.xml><?xml version="1.0" encoding="utf-8"?>
<formControlPr xmlns="http://schemas.microsoft.com/office/spreadsheetml/2009/9/main" objectType="CheckBox" fmlaLink="'Sprachen &amp; Rückgabewerte'!$I$26" lockText="1"/>
</file>

<file path=xl/ctrlProps/ctrlProp53.xml><?xml version="1.0" encoding="utf-8"?>
<formControlPr xmlns="http://schemas.microsoft.com/office/spreadsheetml/2009/9/main" objectType="CheckBox" fmlaLink="'Sprachen &amp; Rückgabewerte'!$I$27" lockText="1"/>
</file>

<file path=xl/ctrlProps/ctrlProp54.xml><?xml version="1.0" encoding="utf-8"?>
<formControlPr xmlns="http://schemas.microsoft.com/office/spreadsheetml/2009/9/main" objectType="CheckBox" fmlaLink="'Sprachen &amp; Rückgabewerte'!$I$28" lockText="1"/>
</file>

<file path=xl/ctrlProps/ctrlProp55.xml><?xml version="1.0" encoding="utf-8"?>
<formControlPr xmlns="http://schemas.microsoft.com/office/spreadsheetml/2009/9/main" objectType="CheckBox" fmlaLink="'Sprachen &amp; Rückgabewerte'!$I$29" lockText="1"/>
</file>

<file path=xl/ctrlProps/ctrlProp56.xml><?xml version="1.0" encoding="utf-8"?>
<formControlPr xmlns="http://schemas.microsoft.com/office/spreadsheetml/2009/9/main" objectType="Drop" dropStyle="combo" dx="16" fmlaLink="'Sprachen &amp; Rückgabewerte(2)'!$B$3:$B$6" fmlaRange="'Sprachen &amp; Rückgabewerte(2)'!$C$3:$C$6" sel="1" val="0"/>
</file>

<file path=xl/ctrlProps/ctrlProp57.xml><?xml version="1.0" encoding="utf-8"?>
<formControlPr xmlns="http://schemas.microsoft.com/office/spreadsheetml/2009/9/main" objectType="CheckBox" fmlaLink="'Sprachen &amp; Rückgabewerte(2)'!$I$30" lockText="1"/>
</file>

<file path=xl/ctrlProps/ctrlProp58.xml><?xml version="1.0" encoding="utf-8"?>
<formControlPr xmlns="http://schemas.microsoft.com/office/spreadsheetml/2009/9/main" objectType="CheckBox" fmlaLink="'Sprachen &amp; Rückgabewerte(2)'!$I$31" lockText="1"/>
</file>

<file path=xl/ctrlProps/ctrlProp59.xml><?xml version="1.0" encoding="utf-8"?>
<formControlPr xmlns="http://schemas.microsoft.com/office/spreadsheetml/2009/9/main" objectType="CheckBox" fmlaLink="'Sprachen &amp; Rückgabewerte(2)'!$I$16" lockText="1"/>
</file>

<file path=xl/ctrlProps/ctrlProp6.xml><?xml version="1.0" encoding="utf-8"?>
<formControlPr xmlns="http://schemas.microsoft.com/office/spreadsheetml/2009/9/main" objectType="CheckBox" fmlaLink="'Sprachen &amp; Rückgabewerte'!$I$18" lockText="1"/>
</file>

<file path=xl/ctrlProps/ctrlProp60.xml><?xml version="1.0" encoding="utf-8"?>
<formControlPr xmlns="http://schemas.microsoft.com/office/spreadsheetml/2009/9/main" objectType="CheckBox" fmlaLink="'Sprachen &amp; Rückgabewerte(2)'!$I$17" lockText="1"/>
</file>

<file path=xl/ctrlProps/ctrlProp61.xml><?xml version="1.0" encoding="utf-8"?>
<formControlPr xmlns="http://schemas.microsoft.com/office/spreadsheetml/2009/9/main" objectType="CheckBox" fmlaLink="'Sprachen &amp; Rückgabewerte(2)'!$I$18" lockText="1"/>
</file>

<file path=xl/ctrlProps/ctrlProp62.xml><?xml version="1.0" encoding="utf-8"?>
<formControlPr xmlns="http://schemas.microsoft.com/office/spreadsheetml/2009/9/main" objectType="CheckBox" fmlaLink="'Sprachen &amp; Rückgabewerte(2)'!$I$19" lockText="1"/>
</file>

<file path=xl/ctrlProps/ctrlProp63.xml><?xml version="1.0" encoding="utf-8"?>
<formControlPr xmlns="http://schemas.microsoft.com/office/spreadsheetml/2009/9/main" objectType="CheckBox" fmlaLink="'Sprachen &amp; Rückgabewerte(2)'!$I$20" lockText="1"/>
</file>

<file path=xl/ctrlProps/ctrlProp64.xml><?xml version="1.0" encoding="utf-8"?>
<formControlPr xmlns="http://schemas.microsoft.com/office/spreadsheetml/2009/9/main" objectType="CheckBox" fmlaLink="'Sprachen &amp; Rückgabewerte(2)'!$I$22" lockText="1"/>
</file>

<file path=xl/ctrlProps/ctrlProp65.xml><?xml version="1.0" encoding="utf-8"?>
<formControlPr xmlns="http://schemas.microsoft.com/office/spreadsheetml/2009/9/main" objectType="CheckBox" fmlaLink="'Sprachen &amp; Rückgabewerte(2)'!$I$15" lockText="1"/>
</file>

<file path=xl/ctrlProps/ctrlProp66.xml><?xml version="1.0" encoding="utf-8"?>
<formControlPr xmlns="http://schemas.microsoft.com/office/spreadsheetml/2009/9/main" objectType="CheckBox" fmlaLink="'Sprachen &amp; Rückgabewerte(2)'!$I$25" lockText="1"/>
</file>

<file path=xl/ctrlProps/ctrlProp67.xml><?xml version="1.0" encoding="utf-8"?>
<formControlPr xmlns="http://schemas.microsoft.com/office/spreadsheetml/2009/9/main" objectType="CheckBox" fmlaLink="'Sprachen &amp; Rückgabewerte(2)'!$I$10" lockText="1"/>
</file>

<file path=xl/ctrlProps/ctrlProp68.xml><?xml version="1.0" encoding="utf-8"?>
<formControlPr xmlns="http://schemas.microsoft.com/office/spreadsheetml/2009/9/main" objectType="CheckBox" fmlaLink="'Sprachen &amp; Rückgabewerte(2)'!$I$11" lockText="1"/>
</file>

<file path=xl/ctrlProps/ctrlProp69.xml><?xml version="1.0" encoding="utf-8"?>
<formControlPr xmlns="http://schemas.microsoft.com/office/spreadsheetml/2009/9/main" objectType="CheckBox" fmlaLink="'Sprachen &amp; Rückgabewerte(2)'!$I$13" lockText="1"/>
</file>

<file path=xl/ctrlProps/ctrlProp7.xml><?xml version="1.0" encoding="utf-8"?>
<formControlPr xmlns="http://schemas.microsoft.com/office/spreadsheetml/2009/9/main" objectType="CheckBox" fmlaLink="'Sprachen &amp; Rückgabewerte'!$I$19" lockText="1"/>
</file>

<file path=xl/ctrlProps/ctrlProp70.xml><?xml version="1.0" encoding="utf-8"?>
<formControlPr xmlns="http://schemas.microsoft.com/office/spreadsheetml/2009/9/main" objectType="CheckBox" fmlaLink="'Sprachen &amp; Rückgabewerte(2)'!$I$14" lockText="1"/>
</file>

<file path=xl/ctrlProps/ctrlProp71.xml><?xml version="1.0" encoding="utf-8"?>
<formControlPr xmlns="http://schemas.microsoft.com/office/spreadsheetml/2009/9/main" objectType="CheckBox" fmlaLink="'Sprachen &amp; Rückgabewerte(2)'!$I$5" lockText="1"/>
</file>

<file path=xl/ctrlProps/ctrlProp72.xml><?xml version="1.0" encoding="utf-8"?>
<formControlPr xmlns="http://schemas.microsoft.com/office/spreadsheetml/2009/9/main" objectType="CheckBox" fmlaLink="'Sprachen &amp; Rückgabewerte(2)'!$I$6" lockText="1"/>
</file>

<file path=xl/ctrlProps/ctrlProp73.xml><?xml version="1.0" encoding="utf-8"?>
<formControlPr xmlns="http://schemas.microsoft.com/office/spreadsheetml/2009/9/main" objectType="CheckBox" checked="Checked" fmlaLink="'Sprachen &amp; Rückgabewerte(2)'!$C$37" lockText="1"/>
</file>

<file path=xl/ctrlProps/ctrlProp74.xml><?xml version="1.0" encoding="utf-8"?>
<formControlPr xmlns="http://schemas.microsoft.com/office/spreadsheetml/2009/9/main" objectType="CheckBox" checked="Checked" fmlaLink="'Sprachen &amp; Rückgabewerte(2)'!$C$38" lockText="1"/>
</file>

<file path=xl/ctrlProps/ctrlProp75.xml><?xml version="1.0" encoding="utf-8"?>
<formControlPr xmlns="http://schemas.microsoft.com/office/spreadsheetml/2009/9/main" objectType="CheckBox" fmlaLink="'Sprachen &amp; Rückgabewerte(2)'!$C$39" lockText="1"/>
</file>

<file path=xl/ctrlProps/ctrlProp76.xml><?xml version="1.0" encoding="utf-8"?>
<formControlPr xmlns="http://schemas.microsoft.com/office/spreadsheetml/2009/9/main" objectType="CheckBox" fmlaLink="'Sprachen &amp; Rückgabewerte(2)'!$C$40" lockText="1"/>
</file>

<file path=xl/ctrlProps/ctrlProp77.xml><?xml version="1.0" encoding="utf-8"?>
<formControlPr xmlns="http://schemas.microsoft.com/office/spreadsheetml/2009/9/main" objectType="CheckBox" fmlaLink="'Sprachen &amp; Rückgabewerte(2)'!$I$43" lockText="1"/>
</file>

<file path=xl/ctrlProps/ctrlProp78.xml><?xml version="1.0" encoding="utf-8"?>
<formControlPr xmlns="http://schemas.microsoft.com/office/spreadsheetml/2009/9/main" objectType="CheckBox" fmlaLink="'Sprachen &amp; Rückgabewerte(2)'!$I$44" lockText="1"/>
</file>

<file path=xl/ctrlProps/ctrlProp79.xml><?xml version="1.0" encoding="utf-8"?>
<formControlPr xmlns="http://schemas.microsoft.com/office/spreadsheetml/2009/9/main" objectType="CheckBox" fmlaLink="'Sprachen &amp; Rückgabewerte(2)'!$C$60" lockText="1"/>
</file>

<file path=xl/ctrlProps/ctrlProp8.xml><?xml version="1.0" encoding="utf-8"?>
<formControlPr xmlns="http://schemas.microsoft.com/office/spreadsheetml/2009/9/main" objectType="CheckBox" fmlaLink="'Sprachen &amp; Rückgabewerte'!$I$20" lockText="1"/>
</file>

<file path=xl/ctrlProps/ctrlProp80.xml><?xml version="1.0" encoding="utf-8"?>
<formControlPr xmlns="http://schemas.microsoft.com/office/spreadsheetml/2009/9/main" objectType="CheckBox" fmlaLink="'Sprachen &amp; Rückgabewerte(2)'!$C$61" lockText="1"/>
</file>

<file path=xl/ctrlProps/ctrlProp81.xml><?xml version="1.0" encoding="utf-8"?>
<formControlPr xmlns="http://schemas.microsoft.com/office/spreadsheetml/2009/9/main" objectType="CheckBox" fmlaLink="'Sprachen &amp; Rückgabewerte(2)'!$C$62" lockText="1"/>
</file>

<file path=xl/ctrlProps/ctrlProp82.xml><?xml version="1.0" encoding="utf-8"?>
<formControlPr xmlns="http://schemas.microsoft.com/office/spreadsheetml/2009/9/main" objectType="CheckBox" fmlaLink="'Sprachen &amp; Rückgabewerte(2)'!$C$63" lockText="1"/>
</file>

<file path=xl/ctrlProps/ctrlProp83.xml><?xml version="1.0" encoding="utf-8"?>
<formControlPr xmlns="http://schemas.microsoft.com/office/spreadsheetml/2009/9/main" objectType="CheckBox" fmlaLink="'Sprachen &amp; Rückgabewerte(2)'!$I$50" lockText="1"/>
</file>

<file path=xl/ctrlProps/ctrlProp84.xml><?xml version="1.0" encoding="utf-8"?>
<formControlPr xmlns="http://schemas.microsoft.com/office/spreadsheetml/2009/9/main" objectType="CheckBox" fmlaLink="'Sprachen &amp; Rückgabewerte(2)'!$I$51" lockText="1"/>
</file>

<file path=xl/ctrlProps/ctrlProp85.xml><?xml version="1.0" encoding="utf-8"?>
<formControlPr xmlns="http://schemas.microsoft.com/office/spreadsheetml/2009/9/main" objectType="CheckBox" fmlaLink="'Sprachen &amp; Rückgabewerte(2)'!$I$110" lockText="1"/>
</file>

<file path=xl/ctrlProps/ctrlProp86.xml><?xml version="1.0" encoding="utf-8"?>
<formControlPr xmlns="http://schemas.microsoft.com/office/spreadsheetml/2009/9/main" objectType="CheckBox" fmlaLink="'Sprachen &amp; Rückgabewerte(2)'!$I$111" lockText="1"/>
</file>

<file path=xl/ctrlProps/ctrlProp87.xml><?xml version="1.0" encoding="utf-8"?>
<formControlPr xmlns="http://schemas.microsoft.com/office/spreadsheetml/2009/9/main" objectType="CheckBox" fmlaLink="'Sprachen &amp; Rückgabewerte(2)'!$C$41" lockText="1"/>
</file>

<file path=xl/ctrlProps/ctrlProp88.xml><?xml version="1.0" encoding="utf-8"?>
<formControlPr xmlns="http://schemas.microsoft.com/office/spreadsheetml/2009/9/main" objectType="CheckBox" fmlaLink="'Sprachen &amp; Rückgabewerte(2)'!$C$42" lockText="1"/>
</file>

<file path=xl/ctrlProps/ctrlProp89.xml><?xml version="1.0" encoding="utf-8"?>
<formControlPr xmlns="http://schemas.microsoft.com/office/spreadsheetml/2009/9/main" objectType="CheckBox" fmlaLink="'Sprachen &amp; Rückgabewerte(2)'!$C$43" lockText="1"/>
</file>

<file path=xl/ctrlProps/ctrlProp9.xml><?xml version="1.0" encoding="utf-8"?>
<formControlPr xmlns="http://schemas.microsoft.com/office/spreadsheetml/2009/9/main" objectType="CheckBox" fmlaLink="'Sprachen &amp; Rückgabewerte'!$I$22" lockText="1"/>
</file>

<file path=xl/ctrlProps/ctrlProp90.xml><?xml version="1.0" encoding="utf-8"?>
<formControlPr xmlns="http://schemas.microsoft.com/office/spreadsheetml/2009/9/main" objectType="CheckBox" fmlaLink="'Sprachen &amp; Rückgabewerte(2)'!$C$44" lockText="1"/>
</file>

<file path=xl/ctrlProps/ctrlProp91.xml><?xml version="1.0" encoding="utf-8"?>
<formControlPr xmlns="http://schemas.microsoft.com/office/spreadsheetml/2009/9/main" objectType="CheckBox" fmlaLink="'Sprachen &amp; Rückgabewerte(2)'!$C$45" lockText="1"/>
</file>

<file path=xl/ctrlProps/ctrlProp92.xml><?xml version="1.0" encoding="utf-8"?>
<formControlPr xmlns="http://schemas.microsoft.com/office/spreadsheetml/2009/9/main" objectType="CheckBox" fmlaLink="'Sprachen &amp; Rückgabewerte(2)'!$C$46" lockText="1"/>
</file>

<file path=xl/ctrlProps/ctrlProp93.xml><?xml version="1.0" encoding="utf-8"?>
<formControlPr xmlns="http://schemas.microsoft.com/office/spreadsheetml/2009/9/main" objectType="CheckBox" fmlaLink="'Sprachen &amp; Rückgabewerte(2)'!$C$47" lockText="1"/>
</file>

<file path=xl/ctrlProps/ctrlProp94.xml><?xml version="1.0" encoding="utf-8"?>
<formControlPr xmlns="http://schemas.microsoft.com/office/spreadsheetml/2009/9/main" objectType="CheckBox" fmlaLink="'Sprachen &amp; Rückgabewerte(2)'!$C$50" lockText="1"/>
</file>

<file path=xl/ctrlProps/ctrlProp95.xml><?xml version="1.0" encoding="utf-8"?>
<formControlPr xmlns="http://schemas.microsoft.com/office/spreadsheetml/2009/9/main" objectType="CheckBox" fmlaLink="'Sprachen &amp; Rückgabewerte(2)'!$C$51" lockText="1"/>
</file>

<file path=xl/ctrlProps/ctrlProp96.xml><?xml version="1.0" encoding="utf-8"?>
<formControlPr xmlns="http://schemas.microsoft.com/office/spreadsheetml/2009/9/main" objectType="CheckBox" fmlaLink="'Sprachen &amp; Rückgabewerte(2)'!$C$48" lockText="1"/>
</file>

<file path=xl/ctrlProps/ctrlProp97.xml><?xml version="1.0" encoding="utf-8"?>
<formControlPr xmlns="http://schemas.microsoft.com/office/spreadsheetml/2009/9/main" objectType="CheckBox" fmlaLink="'Sprachen &amp; Rückgabewerte(2)'!$C$49" lockText="1"/>
</file>

<file path=xl/ctrlProps/ctrlProp98.xml><?xml version="1.0" encoding="utf-8"?>
<formControlPr xmlns="http://schemas.microsoft.com/office/spreadsheetml/2009/9/main" objectType="CheckBox" fmlaLink="'Sprachen &amp; Rückgabewerte(2)'!$C$57" lockText="1"/>
</file>

<file path=xl/ctrlProps/ctrlProp99.xml><?xml version="1.0" encoding="utf-8"?>
<formControlPr xmlns="http://schemas.microsoft.com/office/spreadsheetml/2009/9/main" objectType="CheckBox" fmlaLink="'Sprachen &amp; Rückgabewerte(2)'!$C$58"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3" Type="http://schemas.openxmlformats.org/officeDocument/2006/relationships/image" Target="../media/image8.png"/><Relationship Id="rId18" Type="http://schemas.microsoft.com/office/2007/relationships/hdphoto" Target="../media/hdphoto9.wdp"/><Relationship Id="rId26" Type="http://schemas.microsoft.com/office/2007/relationships/hdphoto" Target="../media/hdphoto13.wdp"/><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5.wdp"/><Relationship Id="rId42" Type="http://schemas.microsoft.com/office/2007/relationships/hdphoto" Target="../media/hdphoto19.wdp"/><Relationship Id="rId47" Type="http://schemas.openxmlformats.org/officeDocument/2006/relationships/image" Target="../media/image25.png"/><Relationship Id="rId50" Type="http://schemas.microsoft.com/office/2007/relationships/hdphoto" Target="../media/hdphoto23.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microsoft.com/office/2007/relationships/hdphoto" Target="../media/hdphoto17.wdp"/><Relationship Id="rId46" Type="http://schemas.microsoft.com/office/2007/relationships/hdphoto" Target="../media/hdphoto21.wdp"/><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png"/><Relationship Id="rId41" Type="http://schemas.openxmlformats.org/officeDocument/2006/relationships/image" Target="../media/image22.png"/><Relationship Id="rId54" Type="http://schemas.microsoft.com/office/2007/relationships/hdphoto" Target="../media/hdphoto25.wdp"/><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openxmlformats.org/officeDocument/2006/relationships/hyperlink" Target="http://b2b.sky-frame.ch/b2b/" TargetMode="External"/><Relationship Id="rId37" Type="http://schemas.openxmlformats.org/officeDocument/2006/relationships/image" Target="../media/image20.png"/><Relationship Id="rId40" Type="http://schemas.microsoft.com/office/2007/relationships/hdphoto" Target="../media/hdphoto18.wdp"/><Relationship Id="rId45" Type="http://schemas.openxmlformats.org/officeDocument/2006/relationships/image" Target="../media/image24.png"/><Relationship Id="rId53" Type="http://schemas.openxmlformats.org/officeDocument/2006/relationships/image" Target="../media/image28.png"/><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openxmlformats.org/officeDocument/2006/relationships/image" Target="../media/image15.tif"/><Relationship Id="rId36" Type="http://schemas.microsoft.com/office/2007/relationships/hdphoto" Target="../media/hdphoto16.wdp"/><Relationship Id="rId49" Type="http://schemas.openxmlformats.org/officeDocument/2006/relationships/image" Target="../media/image26.png"/><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tif"/><Relationship Id="rId44" Type="http://schemas.microsoft.com/office/2007/relationships/hdphoto" Target="../media/hdphoto20.wdp"/><Relationship Id="rId52" Type="http://schemas.microsoft.com/office/2007/relationships/hdphoto" Target="../media/hdphoto24.wdp"/><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jpeg"/><Relationship Id="rId30" Type="http://schemas.microsoft.com/office/2007/relationships/hdphoto" Target="../media/hdphoto14.wdp"/><Relationship Id="rId35" Type="http://schemas.openxmlformats.org/officeDocument/2006/relationships/image" Target="../media/image19.png"/><Relationship Id="rId43" Type="http://schemas.openxmlformats.org/officeDocument/2006/relationships/image" Target="../media/image23.png"/><Relationship Id="rId48" Type="http://schemas.microsoft.com/office/2007/relationships/hdphoto" Target="../media/hdphoto22.wdp"/><Relationship Id="rId8" Type="http://schemas.microsoft.com/office/2007/relationships/hdphoto" Target="../media/hdphoto4.wdp"/><Relationship Id="rId51" Type="http://schemas.openxmlformats.org/officeDocument/2006/relationships/image" Target="../media/image27.png"/></Relationships>
</file>

<file path=xl/drawings/_rels/drawing3.xml.rels><?xml version="1.0" encoding="UTF-8" standalone="yes"?>
<Relationships xmlns="http://schemas.openxmlformats.org/package/2006/relationships"><Relationship Id="rId13" Type="http://schemas.openxmlformats.org/officeDocument/2006/relationships/image" Target="../media/image8.png"/><Relationship Id="rId18" Type="http://schemas.microsoft.com/office/2007/relationships/hdphoto" Target="../media/hdphoto9.wdp"/><Relationship Id="rId26" Type="http://schemas.microsoft.com/office/2007/relationships/hdphoto" Target="../media/hdphoto13.wdp"/><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5.wdp"/><Relationship Id="rId42" Type="http://schemas.microsoft.com/office/2007/relationships/hdphoto" Target="../media/hdphoto19.wdp"/><Relationship Id="rId47" Type="http://schemas.openxmlformats.org/officeDocument/2006/relationships/image" Target="../media/image25.png"/><Relationship Id="rId50" Type="http://schemas.microsoft.com/office/2007/relationships/hdphoto" Target="../media/hdphoto23.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microsoft.com/office/2007/relationships/hdphoto" Target="../media/hdphoto17.wdp"/><Relationship Id="rId46" Type="http://schemas.microsoft.com/office/2007/relationships/hdphoto" Target="../media/hdphoto21.wdp"/><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png"/><Relationship Id="rId41" Type="http://schemas.openxmlformats.org/officeDocument/2006/relationships/image" Target="../media/image22.png"/><Relationship Id="rId54" Type="http://schemas.microsoft.com/office/2007/relationships/hdphoto" Target="../media/hdphoto25.wdp"/><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openxmlformats.org/officeDocument/2006/relationships/hyperlink" Target="http://b2b.sky-frame.ch/b2b/" TargetMode="External"/><Relationship Id="rId37" Type="http://schemas.openxmlformats.org/officeDocument/2006/relationships/image" Target="../media/image20.png"/><Relationship Id="rId40" Type="http://schemas.microsoft.com/office/2007/relationships/hdphoto" Target="../media/hdphoto18.wdp"/><Relationship Id="rId45" Type="http://schemas.openxmlformats.org/officeDocument/2006/relationships/image" Target="../media/image24.png"/><Relationship Id="rId53" Type="http://schemas.openxmlformats.org/officeDocument/2006/relationships/image" Target="../media/image28.png"/><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openxmlformats.org/officeDocument/2006/relationships/image" Target="../media/image15.tif"/><Relationship Id="rId36" Type="http://schemas.microsoft.com/office/2007/relationships/hdphoto" Target="../media/hdphoto16.wdp"/><Relationship Id="rId49" Type="http://schemas.openxmlformats.org/officeDocument/2006/relationships/image" Target="../media/image26.png"/><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tif"/><Relationship Id="rId44" Type="http://schemas.microsoft.com/office/2007/relationships/hdphoto" Target="../media/hdphoto20.wdp"/><Relationship Id="rId52" Type="http://schemas.microsoft.com/office/2007/relationships/hdphoto" Target="../media/hdphoto24.wdp"/><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jpeg"/><Relationship Id="rId30" Type="http://schemas.microsoft.com/office/2007/relationships/hdphoto" Target="../media/hdphoto14.wdp"/><Relationship Id="rId35" Type="http://schemas.openxmlformats.org/officeDocument/2006/relationships/image" Target="../media/image19.png"/><Relationship Id="rId43" Type="http://schemas.openxmlformats.org/officeDocument/2006/relationships/image" Target="../media/image23.png"/><Relationship Id="rId48" Type="http://schemas.microsoft.com/office/2007/relationships/hdphoto" Target="../media/hdphoto22.wdp"/><Relationship Id="rId8" Type="http://schemas.microsoft.com/office/2007/relationships/hdphoto" Target="../media/hdphoto4.wdp"/><Relationship Id="rId51" Type="http://schemas.openxmlformats.org/officeDocument/2006/relationships/image" Target="../media/image27.png"/></Relationships>
</file>

<file path=xl/drawings/_rels/drawing4.xml.rels><?xml version="1.0" encoding="UTF-8" standalone="yes"?>
<Relationships xmlns="http://schemas.openxmlformats.org/package/2006/relationships"><Relationship Id="rId13" Type="http://schemas.openxmlformats.org/officeDocument/2006/relationships/image" Target="../media/image8.png"/><Relationship Id="rId18" Type="http://schemas.microsoft.com/office/2007/relationships/hdphoto" Target="../media/hdphoto9.wdp"/><Relationship Id="rId26" Type="http://schemas.microsoft.com/office/2007/relationships/hdphoto" Target="../media/hdphoto13.wdp"/><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5.wdp"/><Relationship Id="rId42" Type="http://schemas.microsoft.com/office/2007/relationships/hdphoto" Target="../media/hdphoto19.wdp"/><Relationship Id="rId47" Type="http://schemas.openxmlformats.org/officeDocument/2006/relationships/image" Target="../media/image25.png"/><Relationship Id="rId50" Type="http://schemas.microsoft.com/office/2007/relationships/hdphoto" Target="../media/hdphoto23.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microsoft.com/office/2007/relationships/hdphoto" Target="../media/hdphoto17.wdp"/><Relationship Id="rId46" Type="http://schemas.microsoft.com/office/2007/relationships/hdphoto" Target="../media/hdphoto21.wdp"/><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png"/><Relationship Id="rId41" Type="http://schemas.openxmlformats.org/officeDocument/2006/relationships/image" Target="../media/image22.png"/><Relationship Id="rId54" Type="http://schemas.microsoft.com/office/2007/relationships/hdphoto" Target="../media/hdphoto25.wdp"/><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openxmlformats.org/officeDocument/2006/relationships/hyperlink" Target="http://b2b.sky-frame.ch/b2b/" TargetMode="External"/><Relationship Id="rId37" Type="http://schemas.openxmlformats.org/officeDocument/2006/relationships/image" Target="../media/image20.png"/><Relationship Id="rId40" Type="http://schemas.microsoft.com/office/2007/relationships/hdphoto" Target="../media/hdphoto18.wdp"/><Relationship Id="rId45" Type="http://schemas.openxmlformats.org/officeDocument/2006/relationships/image" Target="../media/image24.png"/><Relationship Id="rId53" Type="http://schemas.openxmlformats.org/officeDocument/2006/relationships/image" Target="../media/image28.png"/><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openxmlformats.org/officeDocument/2006/relationships/image" Target="../media/image15.tif"/><Relationship Id="rId36" Type="http://schemas.microsoft.com/office/2007/relationships/hdphoto" Target="../media/hdphoto16.wdp"/><Relationship Id="rId49" Type="http://schemas.openxmlformats.org/officeDocument/2006/relationships/image" Target="../media/image26.png"/><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tif"/><Relationship Id="rId44" Type="http://schemas.microsoft.com/office/2007/relationships/hdphoto" Target="../media/hdphoto20.wdp"/><Relationship Id="rId52" Type="http://schemas.microsoft.com/office/2007/relationships/hdphoto" Target="../media/hdphoto24.wdp"/><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jpeg"/><Relationship Id="rId30" Type="http://schemas.microsoft.com/office/2007/relationships/hdphoto" Target="../media/hdphoto14.wdp"/><Relationship Id="rId35" Type="http://schemas.openxmlformats.org/officeDocument/2006/relationships/image" Target="../media/image19.png"/><Relationship Id="rId43" Type="http://schemas.openxmlformats.org/officeDocument/2006/relationships/image" Target="../media/image23.png"/><Relationship Id="rId48" Type="http://schemas.microsoft.com/office/2007/relationships/hdphoto" Target="../media/hdphoto22.wdp"/><Relationship Id="rId8" Type="http://schemas.microsoft.com/office/2007/relationships/hdphoto" Target="../media/hdphoto4.wdp"/><Relationship Id="rId51" Type="http://schemas.openxmlformats.org/officeDocument/2006/relationships/image" Target="../media/image27.png"/></Relationships>
</file>

<file path=xl/drawings/_rels/drawing5.xml.rels><?xml version="1.0" encoding="UTF-8" standalone="yes"?>
<Relationships xmlns="http://schemas.openxmlformats.org/package/2006/relationships"><Relationship Id="rId13" Type="http://schemas.openxmlformats.org/officeDocument/2006/relationships/image" Target="../media/image8.png"/><Relationship Id="rId18" Type="http://schemas.microsoft.com/office/2007/relationships/hdphoto" Target="../media/hdphoto9.wdp"/><Relationship Id="rId26" Type="http://schemas.microsoft.com/office/2007/relationships/hdphoto" Target="../media/hdphoto13.wdp"/><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5.wdp"/><Relationship Id="rId42" Type="http://schemas.microsoft.com/office/2007/relationships/hdphoto" Target="../media/hdphoto19.wdp"/><Relationship Id="rId47" Type="http://schemas.openxmlformats.org/officeDocument/2006/relationships/image" Target="../media/image25.png"/><Relationship Id="rId50" Type="http://schemas.microsoft.com/office/2007/relationships/hdphoto" Target="../media/hdphoto23.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microsoft.com/office/2007/relationships/hdphoto" Target="../media/hdphoto17.wdp"/><Relationship Id="rId46" Type="http://schemas.microsoft.com/office/2007/relationships/hdphoto" Target="../media/hdphoto21.wdp"/><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png"/><Relationship Id="rId41" Type="http://schemas.openxmlformats.org/officeDocument/2006/relationships/image" Target="../media/image22.png"/><Relationship Id="rId54" Type="http://schemas.microsoft.com/office/2007/relationships/hdphoto" Target="../media/hdphoto25.wdp"/><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openxmlformats.org/officeDocument/2006/relationships/hyperlink" Target="http://b2b.sky-frame.ch/b2b/" TargetMode="External"/><Relationship Id="rId37" Type="http://schemas.openxmlformats.org/officeDocument/2006/relationships/image" Target="../media/image20.png"/><Relationship Id="rId40" Type="http://schemas.microsoft.com/office/2007/relationships/hdphoto" Target="../media/hdphoto18.wdp"/><Relationship Id="rId45" Type="http://schemas.openxmlformats.org/officeDocument/2006/relationships/image" Target="../media/image24.png"/><Relationship Id="rId53" Type="http://schemas.openxmlformats.org/officeDocument/2006/relationships/image" Target="../media/image28.png"/><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openxmlformats.org/officeDocument/2006/relationships/image" Target="../media/image15.tif"/><Relationship Id="rId36" Type="http://schemas.microsoft.com/office/2007/relationships/hdphoto" Target="../media/hdphoto16.wdp"/><Relationship Id="rId49" Type="http://schemas.openxmlformats.org/officeDocument/2006/relationships/image" Target="../media/image26.png"/><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tif"/><Relationship Id="rId44" Type="http://schemas.microsoft.com/office/2007/relationships/hdphoto" Target="../media/hdphoto20.wdp"/><Relationship Id="rId52" Type="http://schemas.microsoft.com/office/2007/relationships/hdphoto" Target="../media/hdphoto24.wdp"/><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jpeg"/><Relationship Id="rId30" Type="http://schemas.microsoft.com/office/2007/relationships/hdphoto" Target="../media/hdphoto14.wdp"/><Relationship Id="rId35" Type="http://schemas.openxmlformats.org/officeDocument/2006/relationships/image" Target="../media/image19.png"/><Relationship Id="rId43" Type="http://schemas.openxmlformats.org/officeDocument/2006/relationships/image" Target="../media/image23.png"/><Relationship Id="rId48" Type="http://schemas.microsoft.com/office/2007/relationships/hdphoto" Target="../media/hdphoto22.wdp"/><Relationship Id="rId8" Type="http://schemas.microsoft.com/office/2007/relationships/hdphoto" Target="../media/hdphoto4.wdp"/><Relationship Id="rId51" Type="http://schemas.openxmlformats.org/officeDocument/2006/relationships/image" Target="../media/image27.png"/></Relationships>
</file>

<file path=xl/drawings/_rels/drawing6.xml.rels><?xml version="1.0" encoding="UTF-8" standalone="yes"?>
<Relationships xmlns="http://schemas.openxmlformats.org/package/2006/relationships"><Relationship Id="rId13" Type="http://schemas.openxmlformats.org/officeDocument/2006/relationships/image" Target="../media/image8.png"/><Relationship Id="rId18" Type="http://schemas.microsoft.com/office/2007/relationships/hdphoto" Target="../media/hdphoto9.wdp"/><Relationship Id="rId26" Type="http://schemas.microsoft.com/office/2007/relationships/hdphoto" Target="../media/hdphoto13.wdp"/><Relationship Id="rId39"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2.png"/><Relationship Id="rId34" Type="http://schemas.microsoft.com/office/2007/relationships/hdphoto" Target="../media/hdphoto15.wdp"/><Relationship Id="rId42" Type="http://schemas.microsoft.com/office/2007/relationships/hdphoto" Target="../media/hdphoto19.wdp"/><Relationship Id="rId47" Type="http://schemas.openxmlformats.org/officeDocument/2006/relationships/image" Target="../media/image25.png"/><Relationship Id="rId50" Type="http://schemas.microsoft.com/office/2007/relationships/hdphoto" Target="../media/hdphoto23.wdp"/><Relationship Id="rId7" Type="http://schemas.openxmlformats.org/officeDocument/2006/relationships/image" Target="../media/image5.png"/><Relationship Id="rId12" Type="http://schemas.microsoft.com/office/2007/relationships/hdphoto" Target="../media/hdphoto6.wdp"/><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microsoft.com/office/2007/relationships/hdphoto" Target="../media/hdphoto17.wdp"/><Relationship Id="rId46" Type="http://schemas.microsoft.com/office/2007/relationships/hdphoto" Target="../media/hdphoto21.wdp"/><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image" Target="../media/image16.png"/><Relationship Id="rId41" Type="http://schemas.openxmlformats.org/officeDocument/2006/relationships/image" Target="../media/image22.png"/><Relationship Id="rId54" Type="http://schemas.microsoft.com/office/2007/relationships/hdphoto" Target="../media/hdphoto25.wdp"/><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image" Target="../media/image7.png"/><Relationship Id="rId24" Type="http://schemas.microsoft.com/office/2007/relationships/hdphoto" Target="../media/hdphoto12.wdp"/><Relationship Id="rId32" Type="http://schemas.openxmlformats.org/officeDocument/2006/relationships/hyperlink" Target="http://b2b.sky-frame.ch/b2b/" TargetMode="External"/><Relationship Id="rId37" Type="http://schemas.openxmlformats.org/officeDocument/2006/relationships/image" Target="../media/image20.png"/><Relationship Id="rId40" Type="http://schemas.microsoft.com/office/2007/relationships/hdphoto" Target="../media/hdphoto18.wdp"/><Relationship Id="rId45" Type="http://schemas.openxmlformats.org/officeDocument/2006/relationships/image" Target="../media/image24.png"/><Relationship Id="rId53" Type="http://schemas.openxmlformats.org/officeDocument/2006/relationships/image" Target="../media/image28.png"/><Relationship Id="rId5" Type="http://schemas.openxmlformats.org/officeDocument/2006/relationships/image" Target="../media/image4.png"/><Relationship Id="rId15" Type="http://schemas.openxmlformats.org/officeDocument/2006/relationships/image" Target="../media/image9.png"/><Relationship Id="rId23" Type="http://schemas.openxmlformats.org/officeDocument/2006/relationships/image" Target="../media/image13.png"/><Relationship Id="rId28" Type="http://schemas.openxmlformats.org/officeDocument/2006/relationships/image" Target="../media/image15.tif"/><Relationship Id="rId36" Type="http://schemas.microsoft.com/office/2007/relationships/hdphoto" Target="../media/hdphoto16.wdp"/><Relationship Id="rId49" Type="http://schemas.openxmlformats.org/officeDocument/2006/relationships/image" Target="../media/image26.png"/><Relationship Id="rId10" Type="http://schemas.microsoft.com/office/2007/relationships/hdphoto" Target="../media/hdphoto5.wdp"/><Relationship Id="rId19" Type="http://schemas.openxmlformats.org/officeDocument/2006/relationships/image" Target="../media/image11.png"/><Relationship Id="rId31" Type="http://schemas.openxmlformats.org/officeDocument/2006/relationships/image" Target="../media/image17.tif"/><Relationship Id="rId44" Type="http://schemas.microsoft.com/office/2007/relationships/hdphoto" Target="../media/hdphoto20.wdp"/><Relationship Id="rId52" Type="http://schemas.microsoft.com/office/2007/relationships/hdphoto" Target="../media/hdphoto24.wdp"/><Relationship Id="rId4" Type="http://schemas.microsoft.com/office/2007/relationships/hdphoto" Target="../media/hdphoto2.wdp"/><Relationship Id="rId9" Type="http://schemas.openxmlformats.org/officeDocument/2006/relationships/image" Target="../media/image6.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image" Target="../media/image1.jpeg"/><Relationship Id="rId30" Type="http://schemas.microsoft.com/office/2007/relationships/hdphoto" Target="../media/hdphoto14.wdp"/><Relationship Id="rId35" Type="http://schemas.openxmlformats.org/officeDocument/2006/relationships/image" Target="../media/image19.png"/><Relationship Id="rId43" Type="http://schemas.openxmlformats.org/officeDocument/2006/relationships/image" Target="../media/image23.png"/><Relationship Id="rId48" Type="http://schemas.microsoft.com/office/2007/relationships/hdphoto" Target="../media/hdphoto22.wdp"/><Relationship Id="rId8" Type="http://schemas.microsoft.com/office/2007/relationships/hdphoto" Target="../media/hdphoto4.wdp"/><Relationship Id="rId5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8" Type="http://schemas.openxmlformats.org/officeDocument/2006/relationships/image" Target="../media/image34.png"/><Relationship Id="rId3" Type="http://schemas.microsoft.com/office/2007/relationships/hdphoto" Target="../media/hdphoto26.wdp"/><Relationship Id="rId7" Type="http://schemas.openxmlformats.org/officeDocument/2006/relationships/image" Target="../media/image33.png"/><Relationship Id="rId12" Type="http://schemas.openxmlformats.org/officeDocument/2006/relationships/image" Target="../media/image37.png"/><Relationship Id="rId2" Type="http://schemas.openxmlformats.org/officeDocument/2006/relationships/image" Target="../media/image29.png"/><Relationship Id="rId1" Type="http://schemas.openxmlformats.org/officeDocument/2006/relationships/image" Target="../media/image1.jpeg"/><Relationship Id="rId6" Type="http://schemas.openxmlformats.org/officeDocument/2006/relationships/image" Target="../media/image32.png"/><Relationship Id="rId11" Type="http://schemas.openxmlformats.org/officeDocument/2006/relationships/image" Target="../media/image36.png"/><Relationship Id="rId5" Type="http://schemas.openxmlformats.org/officeDocument/2006/relationships/image" Target="../media/image31.png"/><Relationship Id="rId10" Type="http://schemas.microsoft.com/office/2007/relationships/hdphoto" Target="../media/hdphoto27.wdp"/><Relationship Id="rId4" Type="http://schemas.openxmlformats.org/officeDocument/2006/relationships/image" Target="../media/image30.png"/><Relationship Id="rId9"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xdr:row>
      <xdr:rowOff>145677</xdr:rowOff>
    </xdr:from>
    <xdr:to>
      <xdr:col>5</xdr:col>
      <xdr:colOff>437030</xdr:colOff>
      <xdr:row>2</xdr:row>
      <xdr:rowOff>313068</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76326" y="317127"/>
          <a:ext cx="2723029" cy="3388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5442</xdr:colOff>
      <xdr:row>60</xdr:row>
      <xdr:rowOff>22963</xdr:rowOff>
    </xdr:from>
    <xdr:to>
      <xdr:col>45</xdr:col>
      <xdr:colOff>585</xdr:colOff>
      <xdr:row>67</xdr:row>
      <xdr:rowOff>100205</xdr:rowOff>
    </xdr:to>
    <xdr:pic>
      <xdr:nvPicPr>
        <xdr:cNvPr id="90" name="Grafik 89">
          <a:extLst>
            <a:ext uri="{FF2B5EF4-FFF2-40B4-BE49-F238E27FC236}">
              <a16:creationId xmlns:a16="http://schemas.microsoft.com/office/drawing/2014/main" id="{00000000-0008-0000-0300-00005A000000}"/>
            </a:ext>
          </a:extLst>
        </xdr:cNvPr>
        <xdr:cNvPicPr>
          <a:picLocks noChangeAspect="1"/>
        </xdr:cNvPicPr>
      </xdr:nvPicPr>
      <xdr:blipFill>
        <a:blip xmlns:r="http://schemas.openxmlformats.org/officeDocument/2006/relationships" r:embed="rId1">
          <a:duotone>
            <a:prstClr val="black"/>
            <a:schemeClr val="accent3">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tretch>
          <a:fillRect/>
        </a:stretch>
      </xdr:blipFill>
      <xdr:spPr>
        <a:xfrm>
          <a:off x="7021285" y="10130349"/>
          <a:ext cx="3141114" cy="1220242"/>
        </a:xfrm>
        <a:prstGeom prst="rect">
          <a:avLst/>
        </a:prstGeom>
      </xdr:spPr>
    </xdr:pic>
    <xdr:clientData/>
  </xdr:twoCellAnchor>
  <xdr:twoCellAnchor>
    <xdr:from>
      <xdr:col>40</xdr:col>
      <xdr:colOff>210150</xdr:colOff>
      <xdr:row>61</xdr:row>
      <xdr:rowOff>130629</xdr:rowOff>
    </xdr:from>
    <xdr:to>
      <xdr:col>42</xdr:col>
      <xdr:colOff>47285</xdr:colOff>
      <xdr:row>63</xdr:row>
      <xdr:rowOff>77218</xdr:rowOff>
    </xdr:to>
    <xdr:sp macro="" textlink="">
      <xdr:nvSpPr>
        <xdr:cNvPr id="148" name="Rechteck 147">
          <a:extLst>
            <a:ext uri="{FF2B5EF4-FFF2-40B4-BE49-F238E27FC236}">
              <a16:creationId xmlns:a16="http://schemas.microsoft.com/office/drawing/2014/main" id="{00000000-0008-0000-0300-000094000000}"/>
            </a:ext>
          </a:extLst>
        </xdr:cNvPr>
        <xdr:cNvSpPr/>
      </xdr:nvSpPr>
      <xdr:spPr>
        <a:xfrm>
          <a:off x="9403136" y="10401300"/>
          <a:ext cx="272563" cy="27316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37</xdr:col>
      <xdr:colOff>152399</xdr:colOff>
      <xdr:row>61</xdr:row>
      <xdr:rowOff>119743</xdr:rowOff>
    </xdr:from>
    <xdr:to>
      <xdr:col>38</xdr:col>
      <xdr:colOff>134370</xdr:colOff>
      <xdr:row>63</xdr:row>
      <xdr:rowOff>39119</xdr:rowOff>
    </xdr:to>
    <xdr:sp macro="" textlink="">
      <xdr:nvSpPr>
        <xdr:cNvPr id="150" name="Rechteck 149">
          <a:extLst>
            <a:ext uri="{FF2B5EF4-FFF2-40B4-BE49-F238E27FC236}">
              <a16:creationId xmlns:a16="http://schemas.microsoft.com/office/drawing/2014/main" id="{00000000-0008-0000-0300-000096000000}"/>
            </a:ext>
          </a:extLst>
        </xdr:cNvPr>
        <xdr:cNvSpPr/>
      </xdr:nvSpPr>
      <xdr:spPr>
        <a:xfrm>
          <a:off x="8692242" y="10390414"/>
          <a:ext cx="199685" cy="24594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34</xdr:col>
      <xdr:colOff>5443</xdr:colOff>
      <xdr:row>60</xdr:row>
      <xdr:rowOff>1</xdr:rowOff>
    </xdr:from>
    <xdr:to>
      <xdr:col>34</xdr:col>
      <xdr:colOff>199685</xdr:colOff>
      <xdr:row>63</xdr:row>
      <xdr:rowOff>44562</xdr:rowOff>
    </xdr:to>
    <xdr:sp macro="" textlink="">
      <xdr:nvSpPr>
        <xdr:cNvPr id="149" name="Rechteck 148">
          <a:extLst>
            <a:ext uri="{FF2B5EF4-FFF2-40B4-BE49-F238E27FC236}">
              <a16:creationId xmlns:a16="http://schemas.microsoft.com/office/drawing/2014/main" id="{00000000-0008-0000-0300-000095000000}"/>
            </a:ext>
          </a:extLst>
        </xdr:cNvPr>
        <xdr:cNvSpPr/>
      </xdr:nvSpPr>
      <xdr:spPr>
        <a:xfrm>
          <a:off x="7892143" y="10107387"/>
          <a:ext cx="194242" cy="53441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29</xdr:col>
      <xdr:colOff>190501</xdr:colOff>
      <xdr:row>60</xdr:row>
      <xdr:rowOff>10884</xdr:rowOff>
    </xdr:from>
    <xdr:to>
      <xdr:col>31</xdr:col>
      <xdr:colOff>101713</xdr:colOff>
      <xdr:row>63</xdr:row>
      <xdr:rowOff>50004</xdr:rowOff>
    </xdr:to>
    <xdr:sp macro="" textlink="">
      <xdr:nvSpPr>
        <xdr:cNvPr id="147" name="Rechteck 146">
          <a:extLst>
            <a:ext uri="{FF2B5EF4-FFF2-40B4-BE49-F238E27FC236}">
              <a16:creationId xmlns:a16="http://schemas.microsoft.com/office/drawing/2014/main" id="{00000000-0008-0000-0300-000093000000}"/>
            </a:ext>
          </a:extLst>
        </xdr:cNvPr>
        <xdr:cNvSpPr/>
      </xdr:nvSpPr>
      <xdr:spPr>
        <a:xfrm>
          <a:off x="6988630" y="10118270"/>
          <a:ext cx="346640" cy="52897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12</xdr:col>
      <xdr:colOff>192090</xdr:colOff>
      <xdr:row>72</xdr:row>
      <xdr:rowOff>27219</xdr:rowOff>
    </xdr:from>
    <xdr:to>
      <xdr:col>17</xdr:col>
      <xdr:colOff>153161</xdr:colOff>
      <xdr:row>82</xdr:row>
      <xdr:rowOff>125188</xdr:rowOff>
    </xdr:to>
    <xdr:pic>
      <xdr:nvPicPr>
        <xdr:cNvPr id="62" name="Grafik 61">
          <a:extLst>
            <a:ext uri="{FF2B5EF4-FFF2-40B4-BE49-F238E27FC236}">
              <a16:creationId xmlns:a16="http://schemas.microsoft.com/office/drawing/2014/main" id="{00000000-0008-0000-0300-00003E000000}"/>
            </a:ext>
          </a:extLst>
        </xdr:cNvPr>
        <xdr:cNvPicPr>
          <a:picLocks noChangeAspect="1"/>
        </xdr:cNvPicPr>
      </xdr:nvPicPr>
      <xdr:blipFill>
        <a:blip xmlns:r="http://schemas.openxmlformats.org/officeDocument/2006/relationships" r:embed="rId3">
          <a:duotone>
            <a:prstClr val="black"/>
            <a:schemeClr val="accent3">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tretch>
          <a:fillRect/>
        </a:stretch>
      </xdr:blipFill>
      <xdr:spPr>
        <a:xfrm>
          <a:off x="3289076" y="12094033"/>
          <a:ext cx="1049642" cy="1719940"/>
        </a:xfrm>
        <a:prstGeom prst="rect">
          <a:avLst/>
        </a:prstGeom>
      </xdr:spPr>
    </xdr:pic>
    <xdr:clientData/>
  </xdr:twoCellAnchor>
  <xdr:twoCellAnchor editAs="oneCell">
    <xdr:from>
      <xdr:col>20</xdr:col>
      <xdr:colOff>21771</xdr:colOff>
      <xdr:row>72</xdr:row>
      <xdr:rowOff>38099</xdr:rowOff>
    </xdr:from>
    <xdr:to>
      <xdr:col>24</xdr:col>
      <xdr:colOff>119658</xdr:colOff>
      <xdr:row>82</xdr:row>
      <xdr:rowOff>108687</xdr:rowOff>
    </xdr:to>
    <xdr:pic>
      <xdr:nvPicPr>
        <xdr:cNvPr id="63" name="Grafik 62">
          <a:extLst>
            <a:ext uri="{FF2B5EF4-FFF2-40B4-BE49-F238E27FC236}">
              <a16:creationId xmlns:a16="http://schemas.microsoft.com/office/drawing/2014/main" id="{00000000-0008-0000-0300-00003F000000}"/>
            </a:ext>
          </a:extLst>
        </xdr:cNvPr>
        <xdr:cNvPicPr>
          <a:picLocks noChangeAspect="1"/>
        </xdr:cNvPicPr>
      </xdr:nvPicPr>
      <xdr:blipFill>
        <a:blip xmlns:r="http://schemas.openxmlformats.org/officeDocument/2006/relationships" r:embed="rId5">
          <a:duotone>
            <a:prstClr val="black"/>
            <a:schemeClr val="accent3">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4860471" y="12104913"/>
          <a:ext cx="968744" cy="1692559"/>
        </a:xfrm>
        <a:prstGeom prst="rect">
          <a:avLst/>
        </a:prstGeom>
      </xdr:spPr>
    </xdr:pic>
    <xdr:clientData/>
  </xdr:twoCellAnchor>
  <xdr:twoCellAnchor editAs="oneCell">
    <xdr:from>
      <xdr:col>11</xdr:col>
      <xdr:colOff>5468</xdr:colOff>
      <xdr:row>61</xdr:row>
      <xdr:rowOff>76196</xdr:rowOff>
    </xdr:from>
    <xdr:to>
      <xdr:col>13</xdr:col>
      <xdr:colOff>148233</xdr:colOff>
      <xdr:row>69</xdr:row>
      <xdr:rowOff>92528</xdr:rowOff>
    </xdr:to>
    <xdr:pic>
      <xdr:nvPicPr>
        <xdr:cNvPr id="53" name="Grafik 52">
          <a:extLst>
            <a:ext uri="{FF2B5EF4-FFF2-40B4-BE49-F238E27FC236}">
              <a16:creationId xmlns:a16="http://schemas.microsoft.com/office/drawing/2014/main" id="{00000000-0008-0000-0300-000035000000}"/>
            </a:ext>
          </a:extLst>
        </xdr:cNvPr>
        <xdr:cNvPicPr>
          <a:picLocks noChangeAspect="1"/>
        </xdr:cNvPicPr>
      </xdr:nvPicPr>
      <xdr:blipFill>
        <a:blip xmlns:r="http://schemas.openxmlformats.org/officeDocument/2006/relationships" r:embed="rId7">
          <a:duotone>
            <a:prstClr val="black"/>
            <a:schemeClr val="accent3">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2899603" y="10194677"/>
          <a:ext cx="582380" cy="1305870"/>
        </a:xfrm>
        <a:prstGeom prst="rect">
          <a:avLst/>
        </a:prstGeom>
      </xdr:spPr>
    </xdr:pic>
    <xdr:clientData/>
  </xdr:twoCellAnchor>
  <xdr:twoCellAnchor editAs="oneCell">
    <xdr:from>
      <xdr:col>17</xdr:col>
      <xdr:colOff>87086</xdr:colOff>
      <xdr:row>54</xdr:row>
      <xdr:rowOff>62093</xdr:rowOff>
    </xdr:from>
    <xdr:to>
      <xdr:col>22</xdr:col>
      <xdr:colOff>197926</xdr:colOff>
      <xdr:row>57</xdr:row>
      <xdr:rowOff>120598</xdr:rowOff>
    </xdr:to>
    <xdr:pic>
      <xdr:nvPicPr>
        <xdr:cNvPr id="39" name="Grafik 38">
          <a:extLst>
            <a:ext uri="{FF2B5EF4-FFF2-40B4-BE49-F238E27FC236}">
              <a16:creationId xmlns:a16="http://schemas.microsoft.com/office/drawing/2014/main" id="{00000000-0008-0000-0300-000027000000}"/>
            </a:ext>
          </a:extLst>
        </xdr:cNvPr>
        <xdr:cNvPicPr>
          <a:picLocks noChangeAspect="1"/>
        </xdr:cNvPicPr>
      </xdr:nvPicPr>
      <xdr:blipFill rotWithShape="1">
        <a:blip xmlns:r="http://schemas.openxmlformats.org/officeDocument/2006/relationships" r:embed="rId9">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rcRect t="20856"/>
        <a:stretch/>
      </xdr:blipFill>
      <xdr:spPr>
        <a:xfrm rot="16200000">
          <a:off x="4598167" y="8864240"/>
          <a:ext cx="548364" cy="1199412"/>
        </a:xfrm>
        <a:prstGeom prst="rect">
          <a:avLst/>
        </a:prstGeom>
      </xdr:spPr>
    </xdr:pic>
    <xdr:clientData/>
  </xdr:twoCellAnchor>
  <xdr:twoCellAnchor editAs="oneCell">
    <xdr:from>
      <xdr:col>15</xdr:col>
      <xdr:colOff>200024</xdr:colOff>
      <xdr:row>54</xdr:row>
      <xdr:rowOff>65315</xdr:rowOff>
    </xdr:from>
    <xdr:to>
      <xdr:col>17</xdr:col>
      <xdr:colOff>103414</xdr:colOff>
      <xdr:row>57</xdr:row>
      <xdr:rowOff>65313</xdr:rowOff>
    </xdr:to>
    <xdr:pic>
      <xdr:nvPicPr>
        <xdr:cNvPr id="40" name="Grafik 39">
          <a:extLst>
            <a:ext uri="{FF2B5EF4-FFF2-40B4-BE49-F238E27FC236}">
              <a16:creationId xmlns:a16="http://schemas.microsoft.com/office/drawing/2014/main" id="{00000000-0008-0000-0300-000028000000}"/>
            </a:ext>
          </a:extLst>
        </xdr:cNvPr>
        <xdr:cNvPicPr>
          <a:picLocks noChangeAspect="1"/>
        </xdr:cNvPicPr>
      </xdr:nvPicPr>
      <xdr:blipFill>
        <a:blip xmlns:r="http://schemas.openxmlformats.org/officeDocument/2006/relationships" r:embed="rId11">
          <a:duotone>
            <a:prstClr val="black"/>
            <a:schemeClr val="accent3">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950153" y="9192986"/>
          <a:ext cx="338818" cy="489857"/>
        </a:xfrm>
        <a:prstGeom prst="rect">
          <a:avLst/>
        </a:prstGeom>
      </xdr:spPr>
    </xdr:pic>
    <xdr:clientData/>
  </xdr:twoCellAnchor>
  <xdr:twoCellAnchor editAs="oneCell">
    <xdr:from>
      <xdr:col>16</xdr:col>
      <xdr:colOff>22261</xdr:colOff>
      <xdr:row>46</xdr:row>
      <xdr:rowOff>24211</xdr:rowOff>
    </xdr:from>
    <xdr:to>
      <xdr:col>22</xdr:col>
      <xdr:colOff>177151</xdr:colOff>
      <xdr:row>51</xdr:row>
      <xdr:rowOff>150798</xdr:rowOff>
    </xdr:to>
    <xdr:pic>
      <xdr:nvPicPr>
        <xdr:cNvPr id="31" name="Grafik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13">
          <a:duotone>
            <a:prstClr val="black"/>
            <a:schemeClr val="accent3">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3990237" y="7797540"/>
          <a:ext cx="1465158" cy="939696"/>
        </a:xfrm>
        <a:prstGeom prst="rect">
          <a:avLst/>
        </a:prstGeom>
      </xdr:spPr>
    </xdr:pic>
    <xdr:clientData/>
  </xdr:twoCellAnchor>
  <xdr:twoCellAnchor editAs="oneCell">
    <xdr:from>
      <xdr:col>16</xdr:col>
      <xdr:colOff>22813</xdr:colOff>
      <xdr:row>35</xdr:row>
      <xdr:rowOff>96858</xdr:rowOff>
    </xdr:from>
    <xdr:to>
      <xdr:col>22</xdr:col>
      <xdr:colOff>210682</xdr:colOff>
      <xdr:row>41</xdr:row>
      <xdr:rowOff>49818</xdr:rowOff>
    </xdr:to>
    <xdr:pic>
      <xdr:nvPicPr>
        <xdr:cNvPr id="26" name="Grafik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15">
          <a:duotone>
            <a:prstClr val="black"/>
            <a:schemeClr val="accent3">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3990789" y="6081346"/>
          <a:ext cx="1498137" cy="928692"/>
        </a:xfrm>
        <a:prstGeom prst="rect">
          <a:avLst/>
        </a:prstGeom>
      </xdr:spPr>
    </xdr:pic>
    <xdr:clientData/>
  </xdr:twoCellAnchor>
  <xdr:twoCellAnchor editAs="oneCell">
    <xdr:from>
      <xdr:col>11</xdr:col>
      <xdr:colOff>51108</xdr:colOff>
      <xdr:row>49</xdr:row>
      <xdr:rowOff>46466</xdr:rowOff>
    </xdr:from>
    <xdr:to>
      <xdr:col>14</xdr:col>
      <xdr:colOff>197975</xdr:colOff>
      <xdr:row>58</xdr:row>
      <xdr:rowOff>148683</xdr:rowOff>
    </xdr:to>
    <xdr:pic>
      <xdr:nvPicPr>
        <xdr:cNvPr id="25" name="Grafik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17">
          <a:duotone>
            <a:prstClr val="black"/>
            <a:schemeClr val="accent3">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2927193" y="8307661"/>
          <a:ext cx="802002" cy="1565815"/>
        </a:xfrm>
        <a:prstGeom prst="rect">
          <a:avLst/>
        </a:prstGeom>
      </xdr:spPr>
    </xdr:pic>
    <xdr:clientData/>
  </xdr:twoCellAnchor>
  <xdr:twoCellAnchor editAs="oneCell">
    <xdr:from>
      <xdr:col>3</xdr:col>
      <xdr:colOff>55758</xdr:colOff>
      <xdr:row>49</xdr:row>
      <xdr:rowOff>46464</xdr:rowOff>
    </xdr:from>
    <xdr:to>
      <xdr:col>7</xdr:col>
      <xdr:colOff>139393</xdr:colOff>
      <xdr:row>59</xdr:row>
      <xdr:rowOff>5434</xdr:rowOff>
    </xdr:to>
    <xdr:pic>
      <xdr:nvPicPr>
        <xdr:cNvPr id="24" name="Grafik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1319563" y="8307659"/>
          <a:ext cx="822403" cy="1579450"/>
        </a:xfrm>
        <a:prstGeom prst="rect">
          <a:avLst/>
        </a:prstGeom>
      </xdr:spPr>
    </xdr:pic>
    <xdr:clientData/>
  </xdr:twoCellAnchor>
  <xdr:twoCellAnchor editAs="oneCell">
    <xdr:from>
      <xdr:col>12</xdr:col>
      <xdr:colOff>201399</xdr:colOff>
      <xdr:row>40</xdr:row>
      <xdr:rowOff>86556</xdr:rowOff>
    </xdr:from>
    <xdr:to>
      <xdr:col>14</xdr:col>
      <xdr:colOff>191874</xdr:colOff>
      <xdr:row>47</xdr:row>
      <xdr:rowOff>141295</xdr:rowOff>
    </xdr:to>
    <xdr:pic>
      <xdr:nvPicPr>
        <xdr:cNvPr id="130" name="Grafik 129">
          <a:extLst>
            <a:ext uri="{FF2B5EF4-FFF2-40B4-BE49-F238E27FC236}">
              <a16:creationId xmlns:a16="http://schemas.microsoft.com/office/drawing/2014/main" id="{00000000-0008-0000-0300-000082000000}"/>
            </a:ext>
          </a:extLst>
        </xdr:cNvPr>
        <xdr:cNvPicPr>
          <a:picLocks noChangeAspect="1"/>
        </xdr:cNvPicPr>
      </xdr:nvPicPr>
      <xdr:blipFill>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rot="10800000">
          <a:off x="3274247" y="6936273"/>
          <a:ext cx="421170" cy="1214305"/>
        </a:xfrm>
        <a:prstGeom prst="rect">
          <a:avLst/>
        </a:prstGeom>
        <a:effectLst>
          <a:reflection endPos="0" dir="5400000" sy="-100000" algn="bl" rotWithShape="0"/>
        </a:effectLst>
      </xdr:spPr>
    </xdr:pic>
    <xdr:clientData/>
  </xdr:twoCellAnchor>
  <xdr:twoCellAnchor>
    <xdr:from>
      <xdr:col>3</xdr:col>
      <xdr:colOff>42480</xdr:colOff>
      <xdr:row>47</xdr:row>
      <xdr:rowOff>130630</xdr:rowOff>
    </xdr:from>
    <xdr:to>
      <xdr:col>4</xdr:col>
      <xdr:colOff>87406</xdr:colOff>
      <xdr:row>49</xdr:row>
      <xdr:rowOff>125452</xdr:rowOff>
    </xdr:to>
    <xdr:sp macro="" textlink="">
      <xdr:nvSpPr>
        <xdr:cNvPr id="132" name="Rechteck 131">
          <a:extLst>
            <a:ext uri="{FF2B5EF4-FFF2-40B4-BE49-F238E27FC236}">
              <a16:creationId xmlns:a16="http://schemas.microsoft.com/office/drawing/2014/main" id="{00000000-0008-0000-0300-000084000000}"/>
            </a:ext>
          </a:extLst>
        </xdr:cNvPr>
        <xdr:cNvSpPr/>
      </xdr:nvSpPr>
      <xdr:spPr>
        <a:xfrm>
          <a:off x="1306285" y="8066581"/>
          <a:ext cx="128560" cy="32006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3</xdr:col>
      <xdr:colOff>65314</xdr:colOff>
      <xdr:row>40</xdr:row>
      <xdr:rowOff>86556</xdr:rowOff>
    </xdr:from>
    <xdr:to>
      <xdr:col>5</xdr:col>
      <xdr:colOff>189139</xdr:colOff>
      <xdr:row>47</xdr:row>
      <xdr:rowOff>141295</xdr:rowOff>
    </xdr:to>
    <xdr:pic>
      <xdr:nvPicPr>
        <xdr:cNvPr id="19" name="Grafik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a:off x="1332553" y="6936273"/>
          <a:ext cx="421999" cy="1214305"/>
        </a:xfrm>
        <a:prstGeom prst="rect">
          <a:avLst/>
        </a:prstGeom>
      </xdr:spPr>
    </xdr:pic>
    <xdr:clientData/>
  </xdr:twoCellAnchor>
  <xdr:twoCellAnchor>
    <xdr:from>
      <xdr:col>14</xdr:col>
      <xdr:colOff>69695</xdr:colOff>
      <xdr:row>47</xdr:row>
      <xdr:rowOff>141515</xdr:rowOff>
    </xdr:from>
    <xdr:to>
      <xdr:col>14</xdr:col>
      <xdr:colOff>201706</xdr:colOff>
      <xdr:row>49</xdr:row>
      <xdr:rowOff>134744</xdr:rowOff>
    </xdr:to>
    <xdr:sp macro="" textlink="">
      <xdr:nvSpPr>
        <xdr:cNvPr id="10" name="Rechteck 9">
          <a:extLst>
            <a:ext uri="{FF2B5EF4-FFF2-40B4-BE49-F238E27FC236}">
              <a16:creationId xmlns:a16="http://schemas.microsoft.com/office/drawing/2014/main" id="{00000000-0008-0000-0300-00000A000000}"/>
            </a:ext>
          </a:extLst>
        </xdr:cNvPr>
        <xdr:cNvSpPr/>
      </xdr:nvSpPr>
      <xdr:spPr>
        <a:xfrm>
          <a:off x="3600915" y="8077466"/>
          <a:ext cx="132011" cy="31847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19836</xdr:rowOff>
    </xdr:from>
    <xdr:to>
      <xdr:col>14</xdr:col>
      <xdr:colOff>209550</xdr:colOff>
      <xdr:row>49</xdr:row>
      <xdr:rowOff>19836</xdr:rowOff>
    </xdr:to>
    <xdr:cxnSp macro="">
      <xdr:nvCxnSpPr>
        <xdr:cNvPr id="67" name="Gerader Verbinder 66">
          <a:extLst>
            <a:ext uri="{FF2B5EF4-FFF2-40B4-BE49-F238E27FC236}">
              <a16:creationId xmlns:a16="http://schemas.microsoft.com/office/drawing/2014/main" id="{00000000-0008-0000-0300-000043000000}"/>
            </a:ext>
          </a:extLst>
        </xdr:cNvPr>
        <xdr:cNvCxnSpPr/>
      </xdr:nvCxnSpPr>
      <xdr:spPr>
        <a:xfrm>
          <a:off x="1309858" y="8331079"/>
          <a:ext cx="2432106"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53</xdr:row>
      <xdr:rowOff>48985</xdr:rowOff>
    </xdr:from>
    <xdr:to>
      <xdr:col>26</xdr:col>
      <xdr:colOff>111141</xdr:colOff>
      <xdr:row>57</xdr:row>
      <xdr:rowOff>119742</xdr:rowOff>
    </xdr:to>
    <xdr:cxnSp macro="">
      <xdr:nvCxnSpPr>
        <xdr:cNvPr id="72" name="Gerader Verbinder 71">
          <a:extLst>
            <a:ext uri="{FF2B5EF4-FFF2-40B4-BE49-F238E27FC236}">
              <a16:creationId xmlns:a16="http://schemas.microsoft.com/office/drawing/2014/main" id="{00000000-0008-0000-0300-000048000000}"/>
            </a:ext>
          </a:extLst>
        </xdr:cNvPr>
        <xdr:cNvCxnSpPr/>
      </xdr:nvCxnSpPr>
      <xdr:spPr>
        <a:xfrm>
          <a:off x="6256127" y="9013371"/>
          <a:ext cx="0" cy="7239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23258</xdr:rowOff>
    </xdr:from>
    <xdr:to>
      <xdr:col>26</xdr:col>
      <xdr:colOff>196235</xdr:colOff>
      <xdr:row>57</xdr:row>
      <xdr:rowOff>23258</xdr:rowOff>
    </xdr:to>
    <xdr:cxnSp macro="">
      <xdr:nvCxnSpPr>
        <xdr:cNvPr id="73" name="Gerader Verbinder 72">
          <a:extLst>
            <a:ext uri="{FF2B5EF4-FFF2-40B4-BE49-F238E27FC236}">
              <a16:creationId xmlns:a16="http://schemas.microsoft.com/office/drawing/2014/main" id="{00000000-0008-0000-0300-000049000000}"/>
            </a:ext>
          </a:extLst>
        </xdr:cNvPr>
        <xdr:cNvCxnSpPr/>
      </xdr:nvCxnSpPr>
      <xdr:spPr>
        <a:xfrm>
          <a:off x="5380974" y="9640787"/>
          <a:ext cx="96024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52</xdr:row>
      <xdr:rowOff>37171</xdr:rowOff>
    </xdr:to>
    <xdr:cxnSp macro="">
      <xdr:nvCxnSpPr>
        <xdr:cNvPr id="74" name="Gerader Verbinder 73">
          <a:extLst>
            <a:ext uri="{FF2B5EF4-FFF2-40B4-BE49-F238E27FC236}">
              <a16:creationId xmlns:a16="http://schemas.microsoft.com/office/drawing/2014/main" id="{00000000-0008-0000-0300-00004A000000}"/>
            </a:ext>
          </a:extLst>
        </xdr:cNvPr>
        <xdr:cNvCxnSpPr/>
      </xdr:nvCxnSpPr>
      <xdr:spPr>
        <a:xfrm>
          <a:off x="6262489" y="6056812"/>
          <a:ext cx="0" cy="272942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51</xdr:row>
      <xdr:rowOff>113209</xdr:rowOff>
    </xdr:from>
    <xdr:to>
      <xdr:col>26</xdr:col>
      <xdr:colOff>197625</xdr:colOff>
      <xdr:row>51</xdr:row>
      <xdr:rowOff>113209</xdr:rowOff>
    </xdr:to>
    <xdr:cxnSp macro="">
      <xdr:nvCxnSpPr>
        <xdr:cNvPr id="75" name="Gerader Verbinder 74">
          <a:extLst>
            <a:ext uri="{FF2B5EF4-FFF2-40B4-BE49-F238E27FC236}">
              <a16:creationId xmlns:a16="http://schemas.microsoft.com/office/drawing/2014/main" id="{00000000-0008-0000-0300-00004B000000}"/>
            </a:ext>
          </a:extLst>
        </xdr:cNvPr>
        <xdr:cNvCxnSpPr/>
      </xdr:nvCxnSpPr>
      <xdr:spPr>
        <a:xfrm>
          <a:off x="5386479" y="8699648"/>
          <a:ext cx="96290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116158</xdr:colOff>
      <xdr:row>35</xdr:row>
      <xdr:rowOff>150759</xdr:rowOff>
    </xdr:from>
    <xdr:to>
      <xdr:col>26</xdr:col>
      <xdr:colOff>179210</xdr:colOff>
      <xdr:row>35</xdr:row>
      <xdr:rowOff>150759</xdr:rowOff>
    </xdr:to>
    <xdr:cxnSp macro="">
      <xdr:nvCxnSpPr>
        <xdr:cNvPr id="76" name="Gerader Verbinder 75">
          <a:extLst>
            <a:ext uri="{FF2B5EF4-FFF2-40B4-BE49-F238E27FC236}">
              <a16:creationId xmlns:a16="http://schemas.microsoft.com/office/drawing/2014/main" id="{00000000-0008-0000-0300-00004C000000}"/>
            </a:ext>
          </a:extLst>
        </xdr:cNvPr>
        <xdr:cNvCxnSpPr/>
      </xdr:nvCxnSpPr>
      <xdr:spPr>
        <a:xfrm>
          <a:off x="5394402" y="6135247"/>
          <a:ext cx="93656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56</xdr:row>
      <xdr:rowOff>123461</xdr:rowOff>
    </xdr:from>
    <xdr:to>
      <xdr:col>26</xdr:col>
      <xdr:colOff>174620</xdr:colOff>
      <xdr:row>57</xdr:row>
      <xdr:rowOff>65645</xdr:rowOff>
    </xdr:to>
    <xdr:cxnSp macro="">
      <xdr:nvCxnSpPr>
        <xdr:cNvPr id="77" name="Gerader Verbinder 76">
          <a:extLst>
            <a:ext uri="{FF2B5EF4-FFF2-40B4-BE49-F238E27FC236}">
              <a16:creationId xmlns:a16="http://schemas.microsoft.com/office/drawing/2014/main" id="{00000000-0008-0000-0300-00004D000000}"/>
            </a:ext>
          </a:extLst>
        </xdr:cNvPr>
        <xdr:cNvCxnSpPr/>
      </xdr:nvCxnSpPr>
      <xdr:spPr>
        <a:xfrm flipV="1">
          <a:off x="6204902" y="9577704"/>
          <a:ext cx="114704" cy="10547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51</xdr:row>
      <xdr:rowOff>57887</xdr:rowOff>
    </xdr:from>
    <xdr:to>
      <xdr:col>26</xdr:col>
      <xdr:colOff>172696</xdr:colOff>
      <xdr:row>52</xdr:row>
      <xdr:rowOff>8366</xdr:rowOff>
    </xdr:to>
    <xdr:cxnSp macro="">
      <xdr:nvCxnSpPr>
        <xdr:cNvPr id="78" name="Gerader Verbinder 77">
          <a:extLst>
            <a:ext uri="{FF2B5EF4-FFF2-40B4-BE49-F238E27FC236}">
              <a16:creationId xmlns:a16="http://schemas.microsoft.com/office/drawing/2014/main" id="{00000000-0008-0000-0300-00004E000000}"/>
            </a:ext>
          </a:extLst>
        </xdr:cNvPr>
        <xdr:cNvCxnSpPr/>
      </xdr:nvCxnSpPr>
      <xdr:spPr>
        <a:xfrm flipV="1">
          <a:off x="6209748" y="8644326"/>
          <a:ext cx="114704" cy="11310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79" name="Gerader Verbinder 78">
          <a:extLst>
            <a:ext uri="{FF2B5EF4-FFF2-40B4-BE49-F238E27FC236}">
              <a16:creationId xmlns:a16="http://schemas.microsoft.com/office/drawing/2014/main" id="{00000000-0008-0000-0300-00004F000000}"/>
            </a:ext>
          </a:extLst>
        </xdr:cNvPr>
        <xdr:cNvCxnSpPr/>
      </xdr:nvCxnSpPr>
      <xdr:spPr>
        <a:xfrm flipV="1">
          <a:off x="4993223" y="5469220"/>
          <a:ext cx="114704" cy="1147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95250</xdr:rowOff>
        </xdr:to>
        <xdr:sp macro="" textlink="">
          <xdr:nvSpPr>
            <xdr:cNvPr id="2050" name="Drop Down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2066" name="Grafik 2065">
          <a:extLst>
            <a:ext uri="{FF2B5EF4-FFF2-40B4-BE49-F238E27FC236}">
              <a16:creationId xmlns:a16="http://schemas.microsoft.com/office/drawing/2014/main" id="{00000000-0008-0000-0300-000012080000}"/>
            </a:ext>
          </a:extLst>
        </xdr:cNvPr>
        <xdr:cNvPicPr>
          <a:picLocks noChangeAspect="1"/>
        </xdr:cNvPicPr>
      </xdr:nvPicPr>
      <xdr:blipFill rotWithShape="1">
        <a:blip xmlns:r="http://schemas.openxmlformats.org/officeDocument/2006/relationships" r:embed="rId23">
          <a:duotone>
            <a:prstClr val="black"/>
            <a:schemeClr val="accent3">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Lst>
        </a:blip>
        <a:srcRect t="3845" b="7693"/>
        <a:stretch/>
      </xdr:blipFill>
      <xdr:spPr>
        <a:xfrm>
          <a:off x="1580027" y="5188324"/>
          <a:ext cx="1040239" cy="51547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788</xdr:rowOff>
    </xdr:to>
    <xdr:pic>
      <xdr:nvPicPr>
        <xdr:cNvPr id="2067" name="Grafik 2066">
          <a:extLst>
            <a:ext uri="{FF2B5EF4-FFF2-40B4-BE49-F238E27FC236}">
              <a16:creationId xmlns:a16="http://schemas.microsoft.com/office/drawing/2014/main" id="{00000000-0008-0000-0300-000013080000}"/>
            </a:ext>
          </a:extLst>
        </xdr:cNvPr>
        <xdr:cNvPicPr>
          <a:picLocks noChangeAspect="1"/>
        </xdr:cNvPicPr>
      </xdr:nvPicPr>
      <xdr:blipFill>
        <a:blip xmlns:r="http://schemas.openxmlformats.org/officeDocument/2006/relationships" r:embed="rId25">
          <a:duotone>
            <a:prstClr val="black"/>
            <a:schemeClr val="accent3">
              <a:tint val="45000"/>
              <a:satMod val="400000"/>
            </a:schemeClr>
          </a:duotone>
          <a:extLst>
            <a:ext uri="{BEBA8EAE-BF5A-486C-A8C5-ECC9F3942E4B}">
              <a14:imgProps xmlns:a14="http://schemas.microsoft.com/office/drawing/2010/main">
                <a14:imgLayer r:embed="rId26">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56884" y="5177120"/>
          <a:ext cx="1030940" cy="55413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3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3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3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3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3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36</xdr:row>
          <xdr:rowOff>0</xdr:rowOff>
        </xdr:from>
        <xdr:to>
          <xdr:col>31</xdr:col>
          <xdr:colOff>0</xdr:colOff>
          <xdr:row>37</xdr:row>
          <xdr:rowOff>9525</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3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2" name="Check Box 18" hidden="1">
              <a:extLst>
                <a:ext uri="{63B3BB69-23CF-44E3-9099-C40C66FF867C}">
                  <a14:compatExt spid="_x0000_s2066"/>
                </a:ext>
                <a:ext uri="{FF2B5EF4-FFF2-40B4-BE49-F238E27FC236}">
                  <a16:creationId xmlns:a16="http://schemas.microsoft.com/office/drawing/2014/main" id="{00000000-0008-0000-0300-0000020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3" name="Check Box 19" hidden="1">
              <a:extLst>
                <a:ext uri="{63B3BB69-23CF-44E3-9099-C40C66FF867C}">
                  <a14:compatExt spid="_x0000_s2067"/>
                </a:ext>
                <a:ext uri="{FF2B5EF4-FFF2-40B4-BE49-F238E27FC236}">
                  <a16:creationId xmlns:a16="http://schemas.microsoft.com/office/drawing/2014/main" id="{00000000-0008-0000-0300-0000030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31</xdr:col>
          <xdr:colOff>0</xdr:colOff>
          <xdr:row>33</xdr:row>
          <xdr:rowOff>9525</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3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32</xdr:row>
          <xdr:rowOff>0</xdr:rowOff>
        </xdr:from>
        <xdr:to>
          <xdr:col>40</xdr:col>
          <xdr:colOff>0</xdr:colOff>
          <xdr:row>33</xdr:row>
          <xdr:rowOff>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3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5</xdr:row>
          <xdr:rowOff>9525</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3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19050</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3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300-00003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3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19050</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3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2101" name="Check Box 53" hidden="1">
              <a:extLst>
                <a:ext uri="{63B3BB69-23CF-44E3-9099-C40C66FF867C}">
                  <a14:compatExt spid="_x0000_s2101"/>
                </a:ext>
                <a:ext uri="{FF2B5EF4-FFF2-40B4-BE49-F238E27FC236}">
                  <a16:creationId xmlns:a16="http://schemas.microsoft.com/office/drawing/2014/main" id="{00000000-0008-0000-03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50053</xdr:colOff>
      <xdr:row>48</xdr:row>
      <xdr:rowOff>116001</xdr:rowOff>
    </xdr:from>
    <xdr:to>
      <xdr:col>4</xdr:col>
      <xdr:colOff>78381</xdr:colOff>
      <xdr:row>49</xdr:row>
      <xdr:rowOff>76916</xdr:rowOff>
    </xdr:to>
    <xdr:cxnSp macro="">
      <xdr:nvCxnSpPr>
        <xdr:cNvPr id="96" name="Gerader Verbinder 95">
          <a:extLst>
            <a:ext uri="{FF2B5EF4-FFF2-40B4-BE49-F238E27FC236}">
              <a16:creationId xmlns:a16="http://schemas.microsoft.com/office/drawing/2014/main" id="{00000000-0008-0000-0300-000060000000}"/>
            </a:ext>
          </a:extLst>
        </xdr:cNvPr>
        <xdr:cNvCxnSpPr/>
      </xdr:nvCxnSpPr>
      <xdr:spPr>
        <a:xfrm flipV="1">
          <a:off x="1313858" y="8214574"/>
          <a:ext cx="111962" cy="123537"/>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103516</xdr:colOff>
      <xdr:row>48</xdr:row>
      <xdr:rowOff>111917</xdr:rowOff>
    </xdr:from>
    <xdr:to>
      <xdr:col>14</xdr:col>
      <xdr:colOff>215188</xdr:colOff>
      <xdr:row>49</xdr:row>
      <xdr:rowOff>75126</xdr:rowOff>
    </xdr:to>
    <xdr:cxnSp macro="">
      <xdr:nvCxnSpPr>
        <xdr:cNvPr id="68" name="Gerader Verbinder 67">
          <a:extLst>
            <a:ext uri="{FF2B5EF4-FFF2-40B4-BE49-F238E27FC236}">
              <a16:creationId xmlns:a16="http://schemas.microsoft.com/office/drawing/2014/main" id="{00000000-0008-0000-0300-000044000000}"/>
            </a:ext>
          </a:extLst>
        </xdr:cNvPr>
        <xdr:cNvCxnSpPr/>
      </xdr:nvCxnSpPr>
      <xdr:spPr>
        <a:xfrm flipV="1">
          <a:off x="3634736" y="8210490"/>
          <a:ext cx="111672" cy="125831"/>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114300</xdr:rowOff>
        </xdr:from>
        <xdr:to>
          <xdr:col>7</xdr:col>
          <xdr:colOff>28575</xdr:colOff>
          <xdr:row>44</xdr:row>
          <xdr:rowOff>114300</xdr:rowOff>
        </xdr:to>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3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114300</xdr:rowOff>
        </xdr:from>
        <xdr:to>
          <xdr:col>12</xdr:col>
          <xdr:colOff>152400</xdr:colOff>
          <xdr:row>44</xdr:row>
          <xdr:rowOff>104775</xdr:rowOff>
        </xdr:to>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3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52</xdr:row>
          <xdr:rowOff>85725</xdr:rowOff>
        </xdr:from>
        <xdr:to>
          <xdr:col>8</xdr:col>
          <xdr:colOff>171450</xdr:colOff>
          <xdr:row>53</xdr:row>
          <xdr:rowOff>85725</xdr:rowOff>
        </xdr:to>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3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219075</xdr:colOff>
          <xdr:row>52</xdr:row>
          <xdr:rowOff>85725</xdr:rowOff>
        </xdr:from>
        <xdr:to>
          <xdr:col>10</xdr:col>
          <xdr:colOff>219075</xdr:colOff>
          <xdr:row>53</xdr:row>
          <xdr:rowOff>85725</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3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47</xdr:row>
      <xdr:rowOff>5443</xdr:rowOff>
    </xdr:from>
    <xdr:to>
      <xdr:col>14</xdr:col>
      <xdr:colOff>152400</xdr:colOff>
      <xdr:row>50</xdr:row>
      <xdr:rowOff>81643</xdr:rowOff>
    </xdr:to>
    <xdr:cxnSp macro="">
      <xdr:nvCxnSpPr>
        <xdr:cNvPr id="66" name="Gerader Verbinder 65">
          <a:extLst>
            <a:ext uri="{FF2B5EF4-FFF2-40B4-BE49-F238E27FC236}">
              <a16:creationId xmlns:a16="http://schemas.microsoft.com/office/drawing/2014/main" id="{00000000-0008-0000-0300-000042000000}"/>
            </a:ext>
          </a:extLst>
        </xdr:cNvPr>
        <xdr:cNvCxnSpPr/>
      </xdr:nvCxnSpPr>
      <xdr:spPr>
        <a:xfrm>
          <a:off x="3684814" y="7990114"/>
          <a:ext cx="0" cy="566058"/>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30</xdr:col>
          <xdr:colOff>0</xdr:colOff>
          <xdr:row>54</xdr:row>
          <xdr:rowOff>142875</xdr:rowOff>
        </xdr:from>
        <xdr:to>
          <xdr:col>31</xdr:col>
          <xdr:colOff>0</xdr:colOff>
          <xdr:row>55</xdr:row>
          <xdr:rowOff>142875</xdr:rowOff>
        </xdr:to>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300-00003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xdr:col>
      <xdr:colOff>19050</xdr:colOff>
      <xdr:row>47</xdr:row>
      <xdr:rowOff>16329</xdr:rowOff>
    </xdr:from>
    <xdr:to>
      <xdr:col>4</xdr:col>
      <xdr:colOff>19050</xdr:colOff>
      <xdr:row>50</xdr:row>
      <xdr:rowOff>70757</xdr:rowOff>
    </xdr:to>
    <xdr:cxnSp macro="">
      <xdr:nvCxnSpPr>
        <xdr:cNvPr id="65" name="Gerader Verbinder 64">
          <a:extLst>
            <a:ext uri="{FF2B5EF4-FFF2-40B4-BE49-F238E27FC236}">
              <a16:creationId xmlns:a16="http://schemas.microsoft.com/office/drawing/2014/main" id="{00000000-0008-0000-0300-000041000000}"/>
            </a:ext>
          </a:extLst>
        </xdr:cNvPr>
        <xdr:cNvCxnSpPr/>
      </xdr:nvCxnSpPr>
      <xdr:spPr>
        <a:xfrm>
          <a:off x="1374321" y="8001000"/>
          <a:ext cx="0" cy="544286"/>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37</xdr:col>
          <xdr:colOff>219075</xdr:colOff>
          <xdr:row>55</xdr:row>
          <xdr:rowOff>0</xdr:rowOff>
        </xdr:from>
        <xdr:to>
          <xdr:col>39</xdr:col>
          <xdr:colOff>0</xdr:colOff>
          <xdr:row>56</xdr:row>
          <xdr:rowOff>0</xdr:rowOff>
        </xdr:to>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300-00003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300-00003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33</xdr:col>
          <xdr:colOff>180975</xdr:colOff>
          <xdr:row>62</xdr:row>
          <xdr:rowOff>0</xdr:rowOff>
        </xdr:from>
        <xdr:to>
          <xdr:col>34</xdr:col>
          <xdr:colOff>190500</xdr:colOff>
          <xdr:row>63</xdr:row>
          <xdr:rowOff>9525</xdr:rowOff>
        </xdr:to>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300-00003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104775</xdr:colOff>
          <xdr:row>62</xdr:row>
          <xdr:rowOff>0</xdr:rowOff>
        </xdr:from>
        <xdr:to>
          <xdr:col>38</xdr:col>
          <xdr:colOff>104775</xdr:colOff>
          <xdr:row>63</xdr:row>
          <xdr:rowOff>19050</xdr:rowOff>
        </xdr:to>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300-00004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57150</xdr:colOff>
          <xdr:row>62</xdr:row>
          <xdr:rowOff>0</xdr:rowOff>
        </xdr:from>
        <xdr:to>
          <xdr:col>42</xdr:col>
          <xdr:colOff>57150</xdr:colOff>
          <xdr:row>63</xdr:row>
          <xdr:rowOff>9525</xdr:rowOff>
        </xdr:to>
        <xdr:sp macro="" textlink="">
          <xdr:nvSpPr>
            <xdr:cNvPr id="2113" name="Check Box 65" hidden="1">
              <a:extLst>
                <a:ext uri="{63B3BB69-23CF-44E3-9099-C40C66FF867C}">
                  <a14:compatExt spid="_x0000_s2113"/>
                </a:ext>
                <a:ext uri="{FF2B5EF4-FFF2-40B4-BE49-F238E27FC236}">
                  <a16:creationId xmlns:a16="http://schemas.microsoft.com/office/drawing/2014/main" id="{00000000-0008-0000-0300-00004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300-00004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300-00004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300-00004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300-00004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69" name="Gerader Verbinder 68">
          <a:extLst>
            <a:ext uri="{FF2B5EF4-FFF2-40B4-BE49-F238E27FC236}">
              <a16:creationId xmlns:a16="http://schemas.microsoft.com/office/drawing/2014/main" id="{00000000-0008-0000-0300-000045000000}"/>
            </a:ext>
          </a:extLst>
        </xdr:cNvPr>
        <xdr:cNvCxnSpPr/>
      </xdr:nvCxnSpPr>
      <xdr:spPr>
        <a:xfrm>
          <a:off x="4266661" y="7546705"/>
          <a:ext cx="23433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70" name="Gerader Verbinder 69">
          <a:extLst>
            <a:ext uri="{FF2B5EF4-FFF2-40B4-BE49-F238E27FC236}">
              <a16:creationId xmlns:a16="http://schemas.microsoft.com/office/drawing/2014/main" id="{00000000-0008-0000-0300-000046000000}"/>
            </a:ext>
          </a:extLst>
        </xdr:cNvPr>
        <xdr:cNvCxnSpPr/>
      </xdr:nvCxnSpPr>
      <xdr:spPr>
        <a:xfrm>
          <a:off x="4422181" y="6936988"/>
          <a:ext cx="0" cy="68301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71" name="Gerader Verbinder 70">
          <a:extLst>
            <a:ext uri="{FF2B5EF4-FFF2-40B4-BE49-F238E27FC236}">
              <a16:creationId xmlns:a16="http://schemas.microsoft.com/office/drawing/2014/main" id="{00000000-0008-0000-0300-000047000000}"/>
            </a:ext>
          </a:extLst>
        </xdr:cNvPr>
        <xdr:cNvCxnSpPr/>
      </xdr:nvCxnSpPr>
      <xdr:spPr>
        <a:xfrm>
          <a:off x="3897643" y="6870581"/>
          <a:ext cx="637186"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81" name="Gerader Verbinder 80">
          <a:extLst>
            <a:ext uri="{FF2B5EF4-FFF2-40B4-BE49-F238E27FC236}">
              <a16:creationId xmlns:a16="http://schemas.microsoft.com/office/drawing/2014/main" id="{00000000-0008-0000-0300-000051000000}"/>
            </a:ext>
          </a:extLst>
        </xdr:cNvPr>
        <xdr:cNvCxnSpPr/>
      </xdr:nvCxnSpPr>
      <xdr:spPr>
        <a:xfrm flipV="1">
          <a:off x="4366018" y="6812488"/>
          <a:ext cx="114704" cy="114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82" name="Gerader Verbinder 81">
          <a:extLst>
            <a:ext uri="{FF2B5EF4-FFF2-40B4-BE49-F238E27FC236}">
              <a16:creationId xmlns:a16="http://schemas.microsoft.com/office/drawing/2014/main" id="{00000000-0008-0000-0300-000052000000}"/>
            </a:ext>
          </a:extLst>
        </xdr:cNvPr>
        <xdr:cNvCxnSpPr/>
      </xdr:nvCxnSpPr>
      <xdr:spPr>
        <a:xfrm flipV="1">
          <a:off x="4366018" y="7486208"/>
          <a:ext cx="114704" cy="114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2128" name="Check Box 80" hidden="1">
              <a:extLst>
                <a:ext uri="{63B3BB69-23CF-44E3-9099-C40C66FF867C}">
                  <a14:compatExt spid="_x0000_s2128"/>
                </a:ext>
                <a:ext uri="{FF2B5EF4-FFF2-40B4-BE49-F238E27FC236}">
                  <a16:creationId xmlns:a16="http://schemas.microsoft.com/office/drawing/2014/main" id="{00000000-0008-0000-0300-00005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2129" name="Check Box 81" hidden="1">
              <a:extLst>
                <a:ext uri="{63B3BB69-23CF-44E3-9099-C40C66FF867C}">
                  <a14:compatExt spid="_x0000_s2129"/>
                </a:ext>
                <a:ext uri="{FF2B5EF4-FFF2-40B4-BE49-F238E27FC236}">
                  <a16:creationId xmlns:a16="http://schemas.microsoft.com/office/drawing/2014/main" id="{00000000-0008-0000-0300-00005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2130" name="Check Box 82" hidden="1">
              <a:extLst>
                <a:ext uri="{63B3BB69-23CF-44E3-9099-C40C66FF867C}">
                  <a14:compatExt spid="_x0000_s2130"/>
                </a:ext>
                <a:ext uri="{FF2B5EF4-FFF2-40B4-BE49-F238E27FC236}">
                  <a16:creationId xmlns:a16="http://schemas.microsoft.com/office/drawing/2014/main" id="{00000000-0008-0000-0300-00005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2131" name="Check Box 83" hidden="1">
              <a:extLst>
                <a:ext uri="{63B3BB69-23CF-44E3-9099-C40C66FF867C}">
                  <a14:compatExt spid="_x0000_s2131"/>
                </a:ext>
                <a:ext uri="{FF2B5EF4-FFF2-40B4-BE49-F238E27FC236}">
                  <a16:creationId xmlns:a16="http://schemas.microsoft.com/office/drawing/2014/main" id="{00000000-0008-0000-0300-00005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2137" name="Check Box 89" hidden="1">
              <a:extLst>
                <a:ext uri="{63B3BB69-23CF-44E3-9099-C40C66FF867C}">
                  <a14:compatExt spid="_x0000_s2137"/>
                </a:ext>
                <a:ext uri="{FF2B5EF4-FFF2-40B4-BE49-F238E27FC236}">
                  <a16:creationId xmlns:a16="http://schemas.microsoft.com/office/drawing/2014/main" id="{00000000-0008-0000-0300-00005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2138" name="Check Box 90" hidden="1">
              <a:extLst>
                <a:ext uri="{63B3BB69-23CF-44E3-9099-C40C66FF867C}">
                  <a14:compatExt spid="_x0000_s2138"/>
                </a:ext>
                <a:ext uri="{FF2B5EF4-FFF2-40B4-BE49-F238E27FC236}">
                  <a16:creationId xmlns:a16="http://schemas.microsoft.com/office/drawing/2014/main" id="{00000000-0008-0000-0300-00005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2139" name="Check Box 91" hidden="1">
              <a:extLst>
                <a:ext uri="{63B3BB69-23CF-44E3-9099-C40C66FF867C}">
                  <a14:compatExt spid="_x0000_s2139"/>
                </a:ext>
                <a:ext uri="{FF2B5EF4-FFF2-40B4-BE49-F238E27FC236}">
                  <a16:creationId xmlns:a16="http://schemas.microsoft.com/office/drawing/2014/main" id="{00000000-0008-0000-0300-00005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89</xdr:row>
          <xdr:rowOff>0</xdr:rowOff>
        </xdr:from>
        <xdr:to>
          <xdr:col>21</xdr:col>
          <xdr:colOff>0</xdr:colOff>
          <xdr:row>90</xdr:row>
          <xdr:rowOff>0</xdr:rowOff>
        </xdr:to>
        <xdr:sp macro="" textlink="">
          <xdr:nvSpPr>
            <xdr:cNvPr id="2143" name="Check Box 95" hidden="1">
              <a:extLst>
                <a:ext uri="{63B3BB69-23CF-44E3-9099-C40C66FF867C}">
                  <a14:compatExt spid="_x0000_s2143"/>
                </a:ext>
                <a:ext uri="{FF2B5EF4-FFF2-40B4-BE49-F238E27FC236}">
                  <a16:creationId xmlns:a16="http://schemas.microsoft.com/office/drawing/2014/main" id="{00000000-0008-0000-0300-00005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219075</xdr:colOff>
          <xdr:row>95</xdr:row>
          <xdr:rowOff>0</xdr:rowOff>
        </xdr:from>
        <xdr:to>
          <xdr:col>21</xdr:col>
          <xdr:colOff>0</xdr:colOff>
          <xdr:row>95</xdr:row>
          <xdr:rowOff>152400</xdr:rowOff>
        </xdr:to>
        <xdr:sp macro="" textlink="">
          <xdr:nvSpPr>
            <xdr:cNvPr id="2144" name="Check Box 96" hidden="1">
              <a:extLst>
                <a:ext uri="{63B3BB69-23CF-44E3-9099-C40C66FF867C}">
                  <a14:compatExt spid="_x0000_s2144"/>
                </a:ext>
                <a:ext uri="{FF2B5EF4-FFF2-40B4-BE49-F238E27FC236}">
                  <a16:creationId xmlns:a16="http://schemas.microsoft.com/office/drawing/2014/main" id="{00000000-0008-0000-0300-00006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70757</xdr:rowOff>
    </xdr:from>
    <xdr:to>
      <xdr:col>16</xdr:col>
      <xdr:colOff>156882</xdr:colOff>
      <xdr:row>75</xdr:row>
      <xdr:rowOff>133829</xdr:rowOff>
    </xdr:to>
    <xdr:sp macro="" textlink="">
      <xdr:nvSpPr>
        <xdr:cNvPr id="118" name="Rechteck 117">
          <a:extLst>
            <a:ext uri="{FF2B5EF4-FFF2-40B4-BE49-F238E27FC236}">
              <a16:creationId xmlns:a16="http://schemas.microsoft.com/office/drawing/2014/main" id="{00000000-0008-0000-0300-000076000000}"/>
            </a:ext>
          </a:extLst>
        </xdr:cNvPr>
        <xdr:cNvSpPr/>
      </xdr:nvSpPr>
      <xdr:spPr>
        <a:xfrm>
          <a:off x="3952374" y="12137571"/>
          <a:ext cx="172351" cy="55292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2147" name="Check Box 99" hidden="1">
              <a:extLst>
                <a:ext uri="{63B3BB69-23CF-44E3-9099-C40C66FF867C}">
                  <a14:compatExt spid="_x0000_s2147"/>
                </a:ext>
                <a:ext uri="{FF2B5EF4-FFF2-40B4-BE49-F238E27FC236}">
                  <a16:creationId xmlns:a16="http://schemas.microsoft.com/office/drawing/2014/main" id="{00000000-0008-0000-0300-00006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2148" name="Check Box 100" hidden="1">
              <a:extLst>
                <a:ext uri="{63B3BB69-23CF-44E3-9099-C40C66FF867C}">
                  <a14:compatExt spid="_x0000_s2148"/>
                </a:ext>
                <a:ext uri="{FF2B5EF4-FFF2-40B4-BE49-F238E27FC236}">
                  <a16:creationId xmlns:a16="http://schemas.microsoft.com/office/drawing/2014/main" id="{00000000-0008-0000-0300-00006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73</xdr:row>
          <xdr:rowOff>152400</xdr:rowOff>
        </xdr:to>
        <xdr:sp macro="" textlink="">
          <xdr:nvSpPr>
            <xdr:cNvPr id="2141" name="Check Box 93" hidden="1">
              <a:extLst>
                <a:ext uri="{63B3BB69-23CF-44E3-9099-C40C66FF867C}">
                  <a14:compatExt spid="_x0000_s2141"/>
                </a:ext>
                <a:ext uri="{FF2B5EF4-FFF2-40B4-BE49-F238E27FC236}">
                  <a16:creationId xmlns:a16="http://schemas.microsoft.com/office/drawing/2014/main" id="{00000000-0008-0000-0300-00005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92528</xdr:rowOff>
    </xdr:to>
    <xdr:sp macro="" textlink="">
      <xdr:nvSpPr>
        <xdr:cNvPr id="119" name="Rechteck 118">
          <a:extLst>
            <a:ext uri="{FF2B5EF4-FFF2-40B4-BE49-F238E27FC236}">
              <a16:creationId xmlns:a16="http://schemas.microsoft.com/office/drawing/2014/main" id="{00000000-0008-0000-0300-000077000000}"/>
            </a:ext>
          </a:extLst>
        </xdr:cNvPr>
        <xdr:cNvSpPr/>
      </xdr:nvSpPr>
      <xdr:spPr>
        <a:xfrm>
          <a:off x="3422816" y="13167975"/>
          <a:ext cx="185190" cy="61333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104775</xdr:colOff>
          <xdr:row>80</xdr:row>
          <xdr:rowOff>152400</xdr:rowOff>
        </xdr:from>
        <xdr:to>
          <xdr:col>14</xdr:col>
          <xdr:colOff>104775</xdr:colOff>
          <xdr:row>81</xdr:row>
          <xdr:rowOff>152400</xdr:rowOff>
        </xdr:to>
        <xdr:sp macro="" textlink="">
          <xdr:nvSpPr>
            <xdr:cNvPr id="2140" name="Check Box 92" hidden="1">
              <a:extLst>
                <a:ext uri="{63B3BB69-23CF-44E3-9099-C40C66FF867C}">
                  <a14:compatExt spid="_x0000_s2140"/>
                </a:ext>
                <a:ext uri="{FF2B5EF4-FFF2-40B4-BE49-F238E27FC236}">
                  <a16:creationId xmlns:a16="http://schemas.microsoft.com/office/drawing/2014/main" id="{00000000-0008-0000-0300-00005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120" name="Rechteck 119">
          <a:extLst>
            <a:ext uri="{FF2B5EF4-FFF2-40B4-BE49-F238E27FC236}">
              <a16:creationId xmlns:a16="http://schemas.microsoft.com/office/drawing/2014/main" id="{00000000-0008-0000-0300-000078000000}"/>
            </a:ext>
          </a:extLst>
        </xdr:cNvPr>
        <xdr:cNvSpPr/>
      </xdr:nvSpPr>
      <xdr:spPr>
        <a:xfrm>
          <a:off x="3374631" y="10296805"/>
          <a:ext cx="172031" cy="25646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28575</xdr:rowOff>
        </xdr:to>
        <xdr:sp macro="" textlink="">
          <xdr:nvSpPr>
            <xdr:cNvPr id="2149" name="Check Box 101" hidden="1">
              <a:extLst>
                <a:ext uri="{63B3BB69-23CF-44E3-9099-C40C66FF867C}">
                  <a14:compatExt spid="_x0000_s2149"/>
                </a:ext>
                <a:ext uri="{FF2B5EF4-FFF2-40B4-BE49-F238E27FC236}">
                  <a16:creationId xmlns:a16="http://schemas.microsoft.com/office/drawing/2014/main" id="{00000000-0008-0000-0300-00006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55</xdr:row>
          <xdr:rowOff>0</xdr:rowOff>
        </xdr:from>
        <xdr:to>
          <xdr:col>24</xdr:col>
          <xdr:colOff>0</xdr:colOff>
          <xdr:row>56</xdr:row>
          <xdr:rowOff>28575</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300-00006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97" name="Gerader Verbinder 96">
          <a:extLst>
            <a:ext uri="{FF2B5EF4-FFF2-40B4-BE49-F238E27FC236}">
              <a16:creationId xmlns:a16="http://schemas.microsoft.com/office/drawing/2014/main" id="{00000000-0008-0000-0300-000061000000}"/>
            </a:ext>
          </a:extLst>
        </xdr:cNvPr>
        <xdr:cNvCxnSpPr/>
      </xdr:nvCxnSpPr>
      <xdr:spPr>
        <a:xfrm flipV="1">
          <a:off x="1059775" y="4487896"/>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39</xdr:col>
          <xdr:colOff>0</xdr:colOff>
          <xdr:row>33</xdr:row>
          <xdr:rowOff>0</xdr:rowOff>
        </xdr:from>
        <xdr:to>
          <xdr:col>40</xdr:col>
          <xdr:colOff>0</xdr:colOff>
          <xdr:row>34</xdr:row>
          <xdr:rowOff>0</xdr:rowOff>
        </xdr:to>
        <xdr:sp macro="" textlink="">
          <xdr:nvSpPr>
            <xdr:cNvPr id="2157" name="Check Box 109" hidden="1">
              <a:extLst>
                <a:ext uri="{63B3BB69-23CF-44E3-9099-C40C66FF867C}">
                  <a14:compatExt spid="_x0000_s2157"/>
                </a:ext>
                <a:ext uri="{FF2B5EF4-FFF2-40B4-BE49-F238E27FC236}">
                  <a16:creationId xmlns:a16="http://schemas.microsoft.com/office/drawing/2014/main" id="{00000000-0008-0000-0300-00006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160442</xdr:colOff>
      <xdr:row>27</xdr:row>
      <xdr:rowOff>171880</xdr:rowOff>
    </xdr:from>
    <xdr:to>
      <xdr:col>8</xdr:col>
      <xdr:colOff>52827</xdr:colOff>
      <xdr:row>28</xdr:row>
      <xdr:rowOff>57668</xdr:rowOff>
    </xdr:to>
    <xdr:cxnSp macro="">
      <xdr:nvCxnSpPr>
        <xdr:cNvPr id="100" name="Gerader Verbinder 99">
          <a:extLst>
            <a:ext uri="{FF2B5EF4-FFF2-40B4-BE49-F238E27FC236}">
              <a16:creationId xmlns:a16="http://schemas.microsoft.com/office/drawing/2014/main" id="{00000000-0008-0000-0300-000064000000}"/>
            </a:ext>
          </a:extLst>
        </xdr:cNvPr>
        <xdr:cNvCxnSpPr/>
      </xdr:nvCxnSpPr>
      <xdr:spPr>
        <a:xfrm flipV="1">
          <a:off x="1934473" y="4493849"/>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101" name="Gerader Verbinder 100">
          <a:extLst>
            <a:ext uri="{FF2B5EF4-FFF2-40B4-BE49-F238E27FC236}">
              <a16:creationId xmlns:a16="http://schemas.microsoft.com/office/drawing/2014/main" id="{00000000-0008-0000-0300-000065000000}"/>
            </a:ext>
          </a:extLst>
        </xdr:cNvPr>
        <xdr:cNvCxnSpPr/>
      </xdr:nvCxnSpPr>
      <xdr:spPr>
        <a:xfrm flipV="1">
          <a:off x="2813154" y="4497421"/>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102" name="Gerader Verbinder 101">
          <a:extLst>
            <a:ext uri="{FF2B5EF4-FFF2-40B4-BE49-F238E27FC236}">
              <a16:creationId xmlns:a16="http://schemas.microsoft.com/office/drawing/2014/main" id="{00000000-0008-0000-0300-000066000000}"/>
            </a:ext>
          </a:extLst>
        </xdr:cNvPr>
        <xdr:cNvCxnSpPr/>
      </xdr:nvCxnSpPr>
      <xdr:spPr>
        <a:xfrm flipV="1">
          <a:off x="3697788" y="4495040"/>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103" name="Gerader Verbinder 102">
          <a:extLst>
            <a:ext uri="{FF2B5EF4-FFF2-40B4-BE49-F238E27FC236}">
              <a16:creationId xmlns:a16="http://schemas.microsoft.com/office/drawing/2014/main" id="{00000000-0008-0000-0300-000067000000}"/>
            </a:ext>
          </a:extLst>
        </xdr:cNvPr>
        <xdr:cNvCxnSpPr/>
      </xdr:nvCxnSpPr>
      <xdr:spPr>
        <a:xfrm flipV="1">
          <a:off x="4576469" y="4492659"/>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104" name="Gerader Verbinder 103">
          <a:extLst>
            <a:ext uri="{FF2B5EF4-FFF2-40B4-BE49-F238E27FC236}">
              <a16:creationId xmlns:a16="http://schemas.microsoft.com/office/drawing/2014/main" id="{00000000-0008-0000-0300-000068000000}"/>
            </a:ext>
          </a:extLst>
        </xdr:cNvPr>
        <xdr:cNvCxnSpPr/>
      </xdr:nvCxnSpPr>
      <xdr:spPr>
        <a:xfrm flipV="1">
          <a:off x="5461103" y="4496231"/>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105" name="Gerader Verbinder 104">
          <a:extLst>
            <a:ext uri="{FF2B5EF4-FFF2-40B4-BE49-F238E27FC236}">
              <a16:creationId xmlns:a16="http://schemas.microsoft.com/office/drawing/2014/main" id="{00000000-0008-0000-0300-000069000000}"/>
            </a:ext>
          </a:extLst>
        </xdr:cNvPr>
        <xdr:cNvCxnSpPr/>
      </xdr:nvCxnSpPr>
      <xdr:spPr>
        <a:xfrm flipV="1">
          <a:off x="6339784" y="4493850"/>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106" name="Gerader Verbinder 105">
          <a:extLst>
            <a:ext uri="{FF2B5EF4-FFF2-40B4-BE49-F238E27FC236}">
              <a16:creationId xmlns:a16="http://schemas.microsoft.com/office/drawing/2014/main" id="{00000000-0008-0000-0300-00006A000000}"/>
            </a:ext>
          </a:extLst>
        </xdr:cNvPr>
        <xdr:cNvCxnSpPr/>
      </xdr:nvCxnSpPr>
      <xdr:spPr>
        <a:xfrm flipV="1">
          <a:off x="7224418" y="4491469"/>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107" name="Gerader Verbinder 106">
          <a:extLst>
            <a:ext uri="{FF2B5EF4-FFF2-40B4-BE49-F238E27FC236}">
              <a16:creationId xmlns:a16="http://schemas.microsoft.com/office/drawing/2014/main" id="{00000000-0008-0000-0300-00006B000000}"/>
            </a:ext>
          </a:extLst>
        </xdr:cNvPr>
        <xdr:cNvCxnSpPr/>
      </xdr:nvCxnSpPr>
      <xdr:spPr>
        <a:xfrm flipV="1">
          <a:off x="8103099" y="4495041"/>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108" name="Gerader Verbinder 107">
          <a:extLst>
            <a:ext uri="{FF2B5EF4-FFF2-40B4-BE49-F238E27FC236}">
              <a16:creationId xmlns:a16="http://schemas.microsoft.com/office/drawing/2014/main" id="{00000000-0008-0000-0300-00006C000000}"/>
            </a:ext>
          </a:extLst>
        </xdr:cNvPr>
        <xdr:cNvCxnSpPr/>
      </xdr:nvCxnSpPr>
      <xdr:spPr>
        <a:xfrm flipV="1">
          <a:off x="8981780" y="4486707"/>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109" name="Gerader Verbinder 108">
          <a:extLst>
            <a:ext uri="{FF2B5EF4-FFF2-40B4-BE49-F238E27FC236}">
              <a16:creationId xmlns:a16="http://schemas.microsoft.com/office/drawing/2014/main" id="{00000000-0008-0000-0300-00006D000000}"/>
            </a:ext>
          </a:extLst>
        </xdr:cNvPr>
        <xdr:cNvCxnSpPr/>
      </xdr:nvCxnSpPr>
      <xdr:spPr>
        <a:xfrm flipV="1">
          <a:off x="9866415" y="4496232"/>
          <a:ext cx="112651" cy="11200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11" name="Grafik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27"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6971" y="302558"/>
          <a:ext cx="2723029" cy="33547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2172" name="Check Box 124" hidden="1">
              <a:extLst>
                <a:ext uri="{63B3BB69-23CF-44E3-9099-C40C66FF867C}">
                  <a14:compatExt spid="_x0000_s2172"/>
                </a:ext>
                <a:ext uri="{FF2B5EF4-FFF2-40B4-BE49-F238E27FC236}">
                  <a16:creationId xmlns:a16="http://schemas.microsoft.com/office/drawing/2014/main" id="{00000000-0008-0000-0300-00007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2173" name="Check Box 125" hidden="1">
              <a:extLst>
                <a:ext uri="{63B3BB69-23CF-44E3-9099-C40C66FF867C}">
                  <a14:compatExt spid="_x0000_s2173"/>
                </a:ext>
                <a:ext uri="{FF2B5EF4-FFF2-40B4-BE49-F238E27FC236}">
                  <a16:creationId xmlns:a16="http://schemas.microsoft.com/office/drawing/2014/main" id="{00000000-0008-0000-0300-00007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56</xdr:row>
          <xdr:rowOff>19050</xdr:rowOff>
        </xdr:from>
        <xdr:to>
          <xdr:col>31</xdr:col>
          <xdr:colOff>0</xdr:colOff>
          <xdr:row>57</xdr:row>
          <xdr:rowOff>28575</xdr:rowOff>
        </xdr:to>
        <xdr:sp macro="" textlink="">
          <xdr:nvSpPr>
            <xdr:cNvPr id="2175" name="Check Box 127" hidden="1">
              <a:extLst>
                <a:ext uri="{63B3BB69-23CF-44E3-9099-C40C66FF867C}">
                  <a14:compatExt spid="_x0000_s2175"/>
                </a:ext>
                <a:ext uri="{FF2B5EF4-FFF2-40B4-BE49-F238E27FC236}">
                  <a16:creationId xmlns:a16="http://schemas.microsoft.com/office/drawing/2014/main" id="{00000000-0008-0000-0300-00007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2177" name="Check Box 129" hidden="1">
              <a:extLst>
                <a:ext uri="{63B3BB69-23CF-44E3-9099-C40C66FF867C}">
                  <a14:compatExt spid="_x0000_s2177"/>
                </a:ext>
                <a:ext uri="{FF2B5EF4-FFF2-40B4-BE49-F238E27FC236}">
                  <a16:creationId xmlns:a16="http://schemas.microsoft.com/office/drawing/2014/main" id="{00000000-0008-0000-0300-00008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9" name="Grafik 8">
          <a:extLst>
            <a:ext uri="{FF2B5EF4-FFF2-40B4-BE49-F238E27FC236}">
              <a16:creationId xmlns:a16="http://schemas.microsoft.com/office/drawing/2014/main" id="{00000000-0008-0000-0300-000009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6277" t="10351" r="77528" b="74663"/>
        <a:stretch/>
      </xdr:blipFill>
      <xdr:spPr>
        <a:xfrm>
          <a:off x="6492297" y="16802678"/>
          <a:ext cx="1127148"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13" name="Grafik 12">
          <a:extLst>
            <a:ext uri="{FF2B5EF4-FFF2-40B4-BE49-F238E27FC236}">
              <a16:creationId xmlns:a16="http://schemas.microsoft.com/office/drawing/2014/main" id="{00000000-0008-0000-0300-00000D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25697" t="10250" r="56015" b="76270"/>
        <a:stretch/>
      </xdr:blipFill>
      <xdr:spPr>
        <a:xfrm>
          <a:off x="7745593" y="16788031"/>
          <a:ext cx="1269480" cy="1281929"/>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16" name="Grafik 15">
          <a:extLst>
            <a:ext uri="{FF2B5EF4-FFF2-40B4-BE49-F238E27FC236}">
              <a16:creationId xmlns:a16="http://schemas.microsoft.com/office/drawing/2014/main" id="{00000000-0008-0000-0300-000010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8824" t="10375" r="34746" b="74144"/>
        <a:stretch/>
      </xdr:blipFill>
      <xdr:spPr>
        <a:xfrm>
          <a:off x="9175097" y="16802025"/>
          <a:ext cx="1128413"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133" name="Grafik 132">
          <a:extLst>
            <a:ext uri="{FF2B5EF4-FFF2-40B4-BE49-F238E27FC236}">
              <a16:creationId xmlns:a16="http://schemas.microsoft.com/office/drawing/2014/main" id="{00000000-0008-0000-0300-000085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6350" t="42700" r="40451" b="43145"/>
        <a:stretch/>
      </xdr:blipFill>
      <xdr:spPr>
        <a:xfrm>
          <a:off x="6602026" y="18464238"/>
          <a:ext cx="887128" cy="134686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165006</xdr:rowOff>
    </xdr:to>
    <xdr:pic>
      <xdr:nvPicPr>
        <xdr:cNvPr id="134" name="Grafik 133">
          <a:extLst>
            <a:ext uri="{FF2B5EF4-FFF2-40B4-BE49-F238E27FC236}">
              <a16:creationId xmlns:a16="http://schemas.microsoft.com/office/drawing/2014/main" id="{00000000-0008-0000-0300-000086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6350" t="40330" r="40451" b="41065"/>
        <a:stretch/>
      </xdr:blipFill>
      <xdr:spPr>
        <a:xfrm>
          <a:off x="9284706" y="18239520"/>
          <a:ext cx="891589" cy="1777784"/>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44" name="Rechteck 43">
          <a:extLst>
            <a:ext uri="{FF2B5EF4-FFF2-40B4-BE49-F238E27FC236}">
              <a16:creationId xmlns:a16="http://schemas.microsoft.com/office/drawing/2014/main" id="{00000000-0008-0000-0300-00002C000000}"/>
            </a:ext>
          </a:extLst>
        </xdr:cNvPr>
        <xdr:cNvSpPr/>
      </xdr:nvSpPr>
      <xdr:spPr>
        <a:xfrm>
          <a:off x="7894926" y="18403565"/>
          <a:ext cx="1101328" cy="152326"/>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179295</xdr:rowOff>
    </xdr:to>
    <xdr:pic>
      <xdr:nvPicPr>
        <xdr:cNvPr id="14" name="Grafik 13">
          <a:extLst>
            <a:ext uri="{FF2B5EF4-FFF2-40B4-BE49-F238E27FC236}">
              <a16:creationId xmlns:a16="http://schemas.microsoft.com/office/drawing/2014/main" id="{00000000-0008-0000-0300-00000E000000}"/>
            </a:ext>
          </a:extLst>
        </xdr:cNvPr>
        <xdr:cNvPicPr>
          <a:picLocks noChangeAspect="1"/>
        </xdr:cNvPicPr>
      </xdr:nvPicPr>
      <xdr:blipFill rotWithShape="1">
        <a:blip xmlns:r="http://schemas.openxmlformats.org/officeDocument/2006/relationships" r:embed="rId29" cstate="print">
          <a:duotone>
            <a:prstClr val="black"/>
            <a:schemeClr val="accent3">
              <a:tint val="45000"/>
              <a:satMod val="400000"/>
            </a:schemeClr>
          </a:duotone>
          <a:extLst>
            <a:ext uri="{BEBA8EAE-BF5A-486C-A8C5-ECC9F3942E4B}">
              <a14:imgProps xmlns:a14="http://schemas.microsoft.com/office/drawing/2010/main">
                <a14:imgLayer r:embed="rId30">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556926" y="19968885"/>
          <a:ext cx="4032632" cy="2117910"/>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116522</xdr:rowOff>
    </xdr:to>
    <xdr:pic>
      <xdr:nvPicPr>
        <xdr:cNvPr id="15" name="Grafik 14">
          <a:extLst>
            <a:ext uri="{FF2B5EF4-FFF2-40B4-BE49-F238E27FC236}">
              <a16:creationId xmlns:a16="http://schemas.microsoft.com/office/drawing/2014/main" id="{00000000-0008-0000-0300-00000F000000}"/>
            </a:ext>
          </a:extLst>
        </xdr:cNvPr>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val="0"/>
            </a:ext>
          </a:extLst>
        </a:blip>
        <a:srcRect l="63390" t="41256" r="16917" b="41369"/>
        <a:stretch/>
      </xdr:blipFill>
      <xdr:spPr>
        <a:xfrm>
          <a:off x="7709911" y="18462622"/>
          <a:ext cx="1332502" cy="1608775"/>
        </a:xfrm>
        <a:prstGeom prst="rect">
          <a:avLst/>
        </a:prstGeom>
      </xdr:spPr>
    </xdr:pic>
    <xdr:clientData/>
  </xdr:twoCellAnchor>
  <xdr:twoCellAnchor>
    <xdr:from>
      <xdr:col>17</xdr:col>
      <xdr:colOff>145677</xdr:colOff>
      <xdr:row>90</xdr:row>
      <xdr:rowOff>0</xdr:rowOff>
    </xdr:from>
    <xdr:to>
      <xdr:col>19</xdr:col>
      <xdr:colOff>56030</xdr:colOff>
      <xdr:row>92</xdr:row>
      <xdr:rowOff>145677</xdr:rowOff>
    </xdr:to>
    <xdr:sp macro="" textlink="">
      <xdr:nvSpPr>
        <xdr:cNvPr id="12" name="Rechteck 11">
          <a:extLst>
            <a:ext uri="{FF2B5EF4-FFF2-40B4-BE49-F238E27FC236}">
              <a16:creationId xmlns:a16="http://schemas.microsoft.com/office/drawing/2014/main" id="{00000000-0008-0000-0300-00000C000000}"/>
            </a:ext>
          </a:extLst>
        </xdr:cNvPr>
        <xdr:cNvSpPr/>
      </xdr:nvSpPr>
      <xdr:spPr>
        <a:xfrm>
          <a:off x="4415118" y="14534029"/>
          <a:ext cx="358588" cy="45944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52</xdr:col>
      <xdr:colOff>81803</xdr:colOff>
      <xdr:row>24</xdr:row>
      <xdr:rowOff>9930</xdr:rowOff>
    </xdr:from>
    <xdr:to>
      <xdr:col>52</xdr:col>
      <xdr:colOff>535195</xdr:colOff>
      <xdr:row>25</xdr:row>
      <xdr:rowOff>111344</xdr:rowOff>
    </xdr:to>
    <xdr:sp macro="" textlink="">
      <xdr:nvSpPr>
        <xdr:cNvPr id="17" name="Pfeil nach rechts 16">
          <a:hlinkClick xmlns:r="http://schemas.openxmlformats.org/officeDocument/2006/relationships" r:id="rId32"/>
          <a:extLst>
            <a:ext uri="{FF2B5EF4-FFF2-40B4-BE49-F238E27FC236}">
              <a16:creationId xmlns:a16="http://schemas.microsoft.com/office/drawing/2014/main" id="{00000000-0008-0000-0300-000011000000}"/>
            </a:ext>
          </a:extLst>
        </xdr:cNvPr>
        <xdr:cNvSpPr/>
      </xdr:nvSpPr>
      <xdr:spPr>
        <a:xfrm>
          <a:off x="14546665" y="4279758"/>
          <a:ext cx="453392" cy="226224"/>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39</xdr:col>
          <xdr:colOff>0</xdr:colOff>
          <xdr:row>33</xdr:row>
          <xdr:rowOff>152400</xdr:rowOff>
        </xdr:from>
        <xdr:to>
          <xdr:col>40</xdr:col>
          <xdr:colOff>0</xdr:colOff>
          <xdr:row>35</xdr:row>
          <xdr:rowOff>0</xdr:rowOff>
        </xdr:to>
        <xdr:sp macro="" textlink="">
          <xdr:nvSpPr>
            <xdr:cNvPr id="2285" name="Check Box 237" hidden="1">
              <a:extLst>
                <a:ext uri="{63B3BB69-23CF-44E3-9099-C40C66FF867C}">
                  <a14:compatExt spid="_x0000_s2285"/>
                </a:ext>
                <a:ext uri="{FF2B5EF4-FFF2-40B4-BE49-F238E27FC236}">
                  <a16:creationId xmlns:a16="http://schemas.microsoft.com/office/drawing/2014/main" id="{00000000-0008-0000-0300-0000E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34</xdr:row>
          <xdr:rowOff>142875</xdr:rowOff>
        </xdr:from>
        <xdr:to>
          <xdr:col>40</xdr:col>
          <xdr:colOff>0</xdr:colOff>
          <xdr:row>36</xdr:row>
          <xdr:rowOff>0</xdr:rowOff>
        </xdr:to>
        <xdr:sp macro="" textlink="">
          <xdr:nvSpPr>
            <xdr:cNvPr id="2286" name="Check Box 238" hidden="1">
              <a:extLst>
                <a:ext uri="{63B3BB69-23CF-44E3-9099-C40C66FF867C}">
                  <a14:compatExt spid="_x0000_s2286"/>
                </a:ext>
                <a:ext uri="{FF2B5EF4-FFF2-40B4-BE49-F238E27FC236}">
                  <a16:creationId xmlns:a16="http://schemas.microsoft.com/office/drawing/2014/main" id="{00000000-0008-0000-0300-0000E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35</xdr:row>
          <xdr:rowOff>142875</xdr:rowOff>
        </xdr:from>
        <xdr:to>
          <xdr:col>40</xdr:col>
          <xdr:colOff>0</xdr:colOff>
          <xdr:row>37</xdr:row>
          <xdr:rowOff>0</xdr:rowOff>
        </xdr:to>
        <xdr:sp macro="" textlink="">
          <xdr:nvSpPr>
            <xdr:cNvPr id="2287" name="Check Box 239" hidden="1">
              <a:extLst>
                <a:ext uri="{63B3BB69-23CF-44E3-9099-C40C66FF867C}">
                  <a14:compatExt spid="_x0000_s2287"/>
                </a:ext>
                <a:ext uri="{FF2B5EF4-FFF2-40B4-BE49-F238E27FC236}">
                  <a16:creationId xmlns:a16="http://schemas.microsoft.com/office/drawing/2014/main" id="{00000000-0008-0000-0300-0000E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38</xdr:row>
          <xdr:rowOff>142875</xdr:rowOff>
        </xdr:from>
        <xdr:to>
          <xdr:col>31</xdr:col>
          <xdr:colOff>0</xdr:colOff>
          <xdr:row>40</xdr:row>
          <xdr:rowOff>0</xdr:rowOff>
        </xdr:to>
        <xdr:sp macro="" textlink="">
          <xdr:nvSpPr>
            <xdr:cNvPr id="2289" name="Check Box 241" hidden="1">
              <a:extLst>
                <a:ext uri="{63B3BB69-23CF-44E3-9099-C40C66FF867C}">
                  <a14:compatExt spid="_x0000_s2289"/>
                </a:ext>
                <a:ext uri="{FF2B5EF4-FFF2-40B4-BE49-F238E27FC236}">
                  <a16:creationId xmlns:a16="http://schemas.microsoft.com/office/drawing/2014/main" id="{00000000-0008-0000-0300-0000F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49</xdr:col>
      <xdr:colOff>49695</xdr:colOff>
      <xdr:row>75</xdr:row>
      <xdr:rowOff>34374</xdr:rowOff>
    </xdr:from>
    <xdr:to>
      <xdr:col>49</xdr:col>
      <xdr:colOff>749316</xdr:colOff>
      <xdr:row>79</xdr:row>
      <xdr:rowOff>132523</xdr:rowOff>
    </xdr:to>
    <xdr:pic>
      <xdr:nvPicPr>
        <xdr:cNvPr id="18" name="Grafik 17">
          <a:extLst>
            <a:ext uri="{FF2B5EF4-FFF2-40B4-BE49-F238E27FC236}">
              <a16:creationId xmlns:a16="http://schemas.microsoft.com/office/drawing/2014/main" id="{00000000-0008-0000-0300-000012000000}"/>
            </a:ext>
          </a:extLst>
        </xdr:cNvPr>
        <xdr:cNvPicPr>
          <a:picLocks noChangeAspect="1"/>
        </xdr:cNvPicPr>
      </xdr:nvPicPr>
      <xdr:blipFill rotWithShape="1">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Layer>
              </a14:imgProps>
            </a:ext>
          </a:extLst>
        </a:blip>
        <a:srcRect l="51024"/>
        <a:stretch/>
      </xdr:blipFill>
      <xdr:spPr>
        <a:xfrm>
          <a:off x="11918673" y="12681917"/>
          <a:ext cx="699621" cy="760757"/>
        </a:xfrm>
        <a:prstGeom prst="rect">
          <a:avLst/>
        </a:prstGeom>
        <a:ln>
          <a:noFill/>
        </a:ln>
      </xdr:spPr>
    </xdr:pic>
    <xdr:clientData/>
  </xdr:twoCellAnchor>
  <xdr:twoCellAnchor editAs="oneCell">
    <xdr:from>
      <xdr:col>48</xdr:col>
      <xdr:colOff>44726</xdr:colOff>
      <xdr:row>75</xdr:row>
      <xdr:rowOff>21121</xdr:rowOff>
    </xdr:from>
    <xdr:to>
      <xdr:col>48</xdr:col>
      <xdr:colOff>728870</xdr:colOff>
      <xdr:row>79</xdr:row>
      <xdr:rowOff>119270</xdr:rowOff>
    </xdr:to>
    <xdr:pic>
      <xdr:nvPicPr>
        <xdr:cNvPr id="128" name="Grafik 127">
          <a:extLst>
            <a:ext uri="{FF2B5EF4-FFF2-40B4-BE49-F238E27FC236}">
              <a16:creationId xmlns:a16="http://schemas.microsoft.com/office/drawing/2014/main" id="{00000000-0008-0000-0300-000080000000}"/>
            </a:ext>
          </a:extLst>
        </xdr:cNvPr>
        <xdr:cNvPicPr>
          <a:picLocks noChangeAspect="1"/>
        </xdr:cNvPicPr>
      </xdr:nvPicPr>
      <xdr:blipFill rotWithShape="1">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Layer>
              </a14:imgProps>
            </a:ext>
          </a:extLst>
        </a:blip>
        <a:srcRect r="52107"/>
        <a:stretch/>
      </xdr:blipFill>
      <xdr:spPr>
        <a:xfrm>
          <a:off x="11151704" y="12668664"/>
          <a:ext cx="684144" cy="760757"/>
        </a:xfrm>
        <a:prstGeom prst="rect">
          <a:avLst/>
        </a:prstGeom>
        <a:ln>
          <a:noFill/>
        </a:ln>
      </xdr:spPr>
    </xdr:pic>
    <xdr:clientData/>
  </xdr:twoCellAnchor>
  <xdr:twoCellAnchor editAs="oneCell">
    <xdr:from>
      <xdr:col>4</xdr:col>
      <xdr:colOff>173820</xdr:colOff>
      <xdr:row>61</xdr:row>
      <xdr:rowOff>147667</xdr:rowOff>
    </xdr:from>
    <xdr:to>
      <xdr:col>7</xdr:col>
      <xdr:colOff>165065</xdr:colOff>
      <xdr:row>68</xdr:row>
      <xdr:rowOff>142671</xdr:rowOff>
    </xdr:to>
    <xdr:pic>
      <xdr:nvPicPr>
        <xdr:cNvPr id="48" name="Grafik 47">
          <a:extLst>
            <a:ext uri="{FF2B5EF4-FFF2-40B4-BE49-F238E27FC236}">
              <a16:creationId xmlns:a16="http://schemas.microsoft.com/office/drawing/2014/main" id="{00000000-0008-0000-0300-000030000000}"/>
            </a:ext>
          </a:extLst>
        </xdr:cNvPr>
        <xdr:cNvPicPr>
          <a:picLocks noChangeAspect="1"/>
        </xdr:cNvPicPr>
      </xdr:nvPicPr>
      <xdr:blipFill>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tretch>
          <a:fillRect/>
        </a:stretch>
      </xdr:blipFill>
      <xdr:spPr>
        <a:xfrm>
          <a:off x="1529301" y="10266148"/>
          <a:ext cx="650668" cy="1123349"/>
        </a:xfrm>
        <a:prstGeom prst="rect">
          <a:avLst/>
        </a:prstGeom>
      </xdr:spPr>
    </xdr:pic>
    <xdr:clientData/>
  </xdr:twoCellAnchor>
  <xdr:twoCellAnchor editAs="oneCell">
    <xdr:from>
      <xdr:col>23</xdr:col>
      <xdr:colOff>29211</xdr:colOff>
      <xdr:row>61</xdr:row>
      <xdr:rowOff>72420</xdr:rowOff>
    </xdr:from>
    <xdr:to>
      <xdr:col>25</xdr:col>
      <xdr:colOff>177961</xdr:colOff>
      <xdr:row>69</xdr:row>
      <xdr:rowOff>87088</xdr:rowOff>
    </xdr:to>
    <xdr:pic>
      <xdr:nvPicPr>
        <xdr:cNvPr id="49" name="Grafik 48">
          <a:extLst>
            <a:ext uri="{FF2B5EF4-FFF2-40B4-BE49-F238E27FC236}">
              <a16:creationId xmlns:a16="http://schemas.microsoft.com/office/drawing/2014/main" id="{00000000-0008-0000-0300-000031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Lst>
        </a:blip>
        <a:stretch>
          <a:fillRect/>
        </a:stretch>
      </xdr:blipFill>
      <xdr:spPr>
        <a:xfrm>
          <a:off x="5561038" y="10190901"/>
          <a:ext cx="588365" cy="1304206"/>
        </a:xfrm>
        <a:prstGeom prst="rect">
          <a:avLst/>
        </a:prstGeom>
      </xdr:spPr>
    </xdr:pic>
    <xdr:clientData/>
  </xdr:twoCellAnchor>
  <xdr:twoCellAnchor editAs="oneCell">
    <xdr:from>
      <xdr:col>16</xdr:col>
      <xdr:colOff>132163</xdr:colOff>
      <xdr:row>61</xdr:row>
      <xdr:rowOff>27451</xdr:rowOff>
    </xdr:from>
    <xdr:to>
      <xdr:col>21</xdr:col>
      <xdr:colOff>53892</xdr:colOff>
      <xdr:row>69</xdr:row>
      <xdr:rowOff>141283</xdr:rowOff>
    </xdr:to>
    <xdr:pic>
      <xdr:nvPicPr>
        <xdr:cNvPr id="50" name="Grafik 49">
          <a:extLst>
            <a:ext uri="{FF2B5EF4-FFF2-40B4-BE49-F238E27FC236}">
              <a16:creationId xmlns:a16="http://schemas.microsoft.com/office/drawing/2014/main" id="{00000000-0008-0000-0300-000032000000}"/>
            </a:ext>
          </a:extLst>
        </xdr:cNvPr>
        <xdr:cNvPicPr>
          <a:picLocks noChangeAspect="1"/>
        </xdr:cNvPicPr>
      </xdr:nvPicPr>
      <xdr:blipFill>
        <a:blip xmlns:r="http://schemas.openxmlformats.org/officeDocument/2006/relationships" r:embed="rId39">
          <a:duotone>
            <a:prstClr val="black"/>
            <a:schemeClr val="accent3">
              <a:tint val="45000"/>
              <a:satMod val="400000"/>
            </a:schemeClr>
          </a:duotone>
          <a:extLst>
            <a:ext uri="{BEBA8EAE-BF5A-486C-A8C5-ECC9F3942E4B}">
              <a14:imgProps xmlns:a14="http://schemas.microsoft.com/office/drawing/2010/main">
                <a14:imgLayer r:embed="rId40">
                  <a14:imgEffect>
                    <a14:colorTemperature colorTemp="11500"/>
                  </a14:imgEffect>
                  <a14:imgEffect>
                    <a14:saturation sat="400000"/>
                  </a14:imgEffect>
                </a14:imgLayer>
              </a14:imgProps>
            </a:ext>
          </a:extLst>
        </a:blip>
        <a:stretch>
          <a:fillRect/>
        </a:stretch>
      </xdr:blipFill>
      <xdr:spPr>
        <a:xfrm>
          <a:off x="4125336" y="10145932"/>
          <a:ext cx="1020768" cy="1403370"/>
        </a:xfrm>
        <a:prstGeom prst="rect">
          <a:avLst/>
        </a:prstGeom>
      </xdr:spPr>
    </xdr:pic>
    <xdr:clientData/>
  </xdr:twoCellAnchor>
  <xdr:twoCellAnchor>
    <xdr:from>
      <xdr:col>6</xdr:col>
      <xdr:colOff>195521</xdr:colOff>
      <xdr:row>65</xdr:row>
      <xdr:rowOff>122301</xdr:rowOff>
    </xdr:from>
    <xdr:to>
      <xdr:col>8</xdr:col>
      <xdr:colOff>32656</xdr:colOff>
      <xdr:row>68</xdr:row>
      <xdr:rowOff>103413</xdr:rowOff>
    </xdr:to>
    <xdr:sp macro="" textlink="">
      <xdr:nvSpPr>
        <xdr:cNvPr id="162" name="Rechteck 161">
          <a:extLst>
            <a:ext uri="{FF2B5EF4-FFF2-40B4-BE49-F238E27FC236}">
              <a16:creationId xmlns:a16="http://schemas.microsoft.com/office/drawing/2014/main" id="{00000000-0008-0000-0300-0000A2000000}"/>
            </a:ext>
          </a:extLst>
        </xdr:cNvPr>
        <xdr:cNvSpPr/>
      </xdr:nvSpPr>
      <xdr:spPr>
        <a:xfrm>
          <a:off x="1986221" y="11046115"/>
          <a:ext cx="272564" cy="47096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18</xdr:col>
      <xdr:colOff>122043</xdr:colOff>
      <xdr:row>66</xdr:row>
      <xdr:rowOff>35215</xdr:rowOff>
    </xdr:from>
    <xdr:to>
      <xdr:col>21</xdr:col>
      <xdr:colOff>111579</xdr:colOff>
      <xdr:row>67</xdr:row>
      <xdr:rowOff>27214</xdr:rowOff>
    </xdr:to>
    <xdr:sp macro="" textlink="">
      <xdr:nvSpPr>
        <xdr:cNvPr id="163" name="Rechteck 162">
          <a:extLst>
            <a:ext uri="{FF2B5EF4-FFF2-40B4-BE49-F238E27FC236}">
              <a16:creationId xmlns:a16="http://schemas.microsoft.com/office/drawing/2014/main" id="{00000000-0008-0000-0300-0000A3000000}"/>
            </a:ext>
          </a:extLst>
        </xdr:cNvPr>
        <xdr:cNvSpPr/>
      </xdr:nvSpPr>
      <xdr:spPr>
        <a:xfrm>
          <a:off x="4554831" y="10959657"/>
          <a:ext cx="648960" cy="15319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3</xdr:col>
      <xdr:colOff>14654</xdr:colOff>
      <xdr:row>62</xdr:row>
      <xdr:rowOff>43962</xdr:rowOff>
    </xdr:from>
    <xdr:to>
      <xdr:col>5</xdr:col>
      <xdr:colOff>22210</xdr:colOff>
      <xdr:row>63</xdr:row>
      <xdr:rowOff>131884</xdr:rowOff>
    </xdr:to>
    <xdr:pic>
      <xdr:nvPicPr>
        <xdr:cNvPr id="60" name="Grafik 59">
          <a:extLst>
            <a:ext uri="{FF2B5EF4-FFF2-40B4-BE49-F238E27FC236}">
              <a16:creationId xmlns:a16="http://schemas.microsoft.com/office/drawing/2014/main" id="{00000000-0008-0000-0300-00003C000000}"/>
            </a:ext>
          </a:extLst>
        </xdr:cNvPr>
        <xdr:cNvPicPr>
          <a:picLocks noChangeAspect="1"/>
        </xdr:cNvPicPr>
      </xdr:nvPicPr>
      <xdr:blipFill>
        <a:blip xmlns:r="http://schemas.openxmlformats.org/officeDocument/2006/relationships" r:embed="rId41">
          <a:duotone>
            <a:prstClr val="black"/>
            <a:schemeClr val="accent3">
              <a:tint val="45000"/>
              <a:satMod val="400000"/>
            </a:schemeClr>
          </a:duotone>
          <a:extLst>
            <a:ext uri="{BEBA8EAE-BF5A-486C-A8C5-ECC9F3942E4B}">
              <a14:imgProps xmlns:a14="http://schemas.microsoft.com/office/drawing/2010/main">
                <a14:imgLayer r:embed="rId42">
                  <a14:imgEffect>
                    <a14:colorTemperature colorTemp="11500"/>
                  </a14:imgEffect>
                  <a14:imgEffect>
                    <a14:saturation sat="400000"/>
                  </a14:imgEffect>
                </a14:imgLayer>
              </a14:imgProps>
            </a:ext>
          </a:extLst>
        </a:blip>
        <a:stretch>
          <a:fillRect/>
        </a:stretch>
      </xdr:blipFill>
      <xdr:spPr>
        <a:xfrm>
          <a:off x="1282212" y="10323635"/>
          <a:ext cx="315286" cy="249115"/>
        </a:xfrm>
        <a:prstGeom prst="rect">
          <a:avLst/>
        </a:prstGeom>
      </xdr:spPr>
    </xdr:pic>
    <xdr:clientData/>
  </xdr:twoCellAnchor>
  <xdr:twoCellAnchor editAs="oneCell">
    <xdr:from>
      <xdr:col>6</xdr:col>
      <xdr:colOff>51449</xdr:colOff>
      <xdr:row>73</xdr:row>
      <xdr:rowOff>14420</xdr:rowOff>
    </xdr:from>
    <xdr:to>
      <xdr:col>10</xdr:col>
      <xdr:colOff>140036</xdr:colOff>
      <xdr:row>81</xdr:row>
      <xdr:rowOff>119751</xdr:rowOff>
    </xdr:to>
    <xdr:pic>
      <xdr:nvPicPr>
        <xdr:cNvPr id="61" name="Grafik 60">
          <a:extLst>
            <a:ext uri="{FF2B5EF4-FFF2-40B4-BE49-F238E27FC236}">
              <a16:creationId xmlns:a16="http://schemas.microsoft.com/office/drawing/2014/main" id="{00000000-0008-0000-0300-00003D000000}"/>
            </a:ext>
          </a:extLst>
        </xdr:cNvPr>
        <xdr:cNvPicPr>
          <a:picLocks noChangeAspect="1"/>
        </xdr:cNvPicPr>
      </xdr:nvPicPr>
      <xdr:blipFill>
        <a:blip xmlns:r="http://schemas.openxmlformats.org/officeDocument/2006/relationships" r:embed="rId43">
          <a:duotone>
            <a:prstClr val="black"/>
            <a:schemeClr val="accent3">
              <a:tint val="45000"/>
              <a:satMod val="400000"/>
            </a:schemeClr>
          </a:duotone>
          <a:extLst>
            <a:ext uri="{BEBA8EAE-BF5A-486C-A8C5-ECC9F3942E4B}">
              <a14:imgProps xmlns:a14="http://schemas.microsoft.com/office/drawing/2010/main">
                <a14:imgLayer r:embed="rId44">
                  <a14:imgEffect>
                    <a14:colorTemperature colorTemp="11500"/>
                  </a14:imgEffect>
                  <a14:imgEffect>
                    <a14:saturation sat="400000"/>
                  </a14:imgEffect>
                </a14:imgLayer>
              </a14:imgProps>
            </a:ext>
          </a:extLst>
        </a:blip>
        <a:stretch>
          <a:fillRect/>
        </a:stretch>
      </xdr:blipFill>
      <xdr:spPr>
        <a:xfrm>
          <a:off x="1842149" y="12244520"/>
          <a:ext cx="959444" cy="1400731"/>
        </a:xfrm>
        <a:prstGeom prst="rect">
          <a:avLst/>
        </a:prstGeom>
      </xdr:spPr>
    </xdr:pic>
    <xdr:clientData/>
  </xdr:twoCellAnchor>
  <xdr:twoCellAnchor editAs="oneCell">
    <xdr:from>
      <xdr:col>5</xdr:col>
      <xdr:colOff>199197</xdr:colOff>
      <xdr:row>87</xdr:row>
      <xdr:rowOff>94338</xdr:rowOff>
    </xdr:from>
    <xdr:to>
      <xdr:col>11</xdr:col>
      <xdr:colOff>132531</xdr:colOff>
      <xdr:row>93</xdr:row>
      <xdr:rowOff>53576</xdr:rowOff>
    </xdr:to>
    <xdr:pic>
      <xdr:nvPicPr>
        <xdr:cNvPr id="86" name="Grafik 85">
          <a:extLst>
            <a:ext uri="{FF2B5EF4-FFF2-40B4-BE49-F238E27FC236}">
              <a16:creationId xmlns:a16="http://schemas.microsoft.com/office/drawing/2014/main" id="{00000000-0008-0000-0300-000056000000}"/>
            </a:ext>
          </a:extLst>
        </xdr:cNvPr>
        <xdr:cNvPicPr>
          <a:picLocks noChangeAspect="1"/>
        </xdr:cNvPicPr>
      </xdr:nvPicPr>
      <xdr:blipFill rotWithShape="1">
        <a:blip xmlns:r="http://schemas.openxmlformats.org/officeDocument/2006/relationships" r:embed="rId45">
          <a:duotone>
            <a:prstClr val="black"/>
            <a:schemeClr val="accent3">
              <a:tint val="45000"/>
              <a:satMod val="400000"/>
            </a:schemeClr>
          </a:duotone>
          <a:extLst>
            <a:ext uri="{BEBA8EAE-BF5A-486C-A8C5-ECC9F3942E4B}">
              <a14:imgProps xmlns:a14="http://schemas.microsoft.com/office/drawing/2010/main">
                <a14:imgLayer r:embed="rId46">
                  <a14:imgEffect>
                    <a14:colorTemperature colorTemp="11500"/>
                  </a14:imgEffect>
                  <a14:imgEffect>
                    <a14:saturation sat="400000"/>
                  </a14:imgEffect>
                </a14:imgLayer>
              </a14:imgProps>
            </a:ext>
          </a:extLst>
        </a:blip>
        <a:srcRect r="1820"/>
        <a:stretch/>
      </xdr:blipFill>
      <xdr:spPr>
        <a:xfrm>
          <a:off x="1764610" y="14713142"/>
          <a:ext cx="1225421" cy="953151"/>
        </a:xfrm>
        <a:prstGeom prst="rect">
          <a:avLst/>
        </a:prstGeom>
      </xdr:spPr>
    </xdr:pic>
    <xdr:clientData/>
  </xdr:twoCellAnchor>
  <xdr:twoCellAnchor editAs="oneCell">
    <xdr:from>
      <xdr:col>20</xdr:col>
      <xdr:colOff>178594</xdr:colOff>
      <xdr:row>85</xdr:row>
      <xdr:rowOff>29766</xdr:rowOff>
    </xdr:from>
    <xdr:to>
      <xdr:col>24</xdr:col>
      <xdr:colOff>186691</xdr:colOff>
      <xdr:row>88</xdr:row>
      <xdr:rowOff>154783</xdr:rowOff>
    </xdr:to>
    <xdr:pic>
      <xdr:nvPicPr>
        <xdr:cNvPr id="88" name="Grafik 87">
          <a:extLst>
            <a:ext uri="{FF2B5EF4-FFF2-40B4-BE49-F238E27FC236}">
              <a16:creationId xmlns:a16="http://schemas.microsoft.com/office/drawing/2014/main" id="{00000000-0008-0000-0300-000058000000}"/>
            </a:ext>
          </a:extLst>
        </xdr:cNvPr>
        <xdr:cNvPicPr>
          <a:picLocks noChangeAspect="1"/>
        </xdr:cNvPicPr>
      </xdr:nvPicPr>
      <xdr:blipFill rotWithShape="1">
        <a:blip xmlns:r="http://schemas.openxmlformats.org/officeDocument/2006/relationships" r:embed="rId47">
          <a:duotone>
            <a:prstClr val="black"/>
            <a:schemeClr val="accent3">
              <a:tint val="45000"/>
              <a:satMod val="400000"/>
            </a:schemeClr>
          </a:duotone>
          <a:extLst>
            <a:ext uri="{BEBA8EAE-BF5A-486C-A8C5-ECC9F3942E4B}">
              <a14:imgProps xmlns:a14="http://schemas.microsoft.com/office/drawing/2010/main">
                <a14:imgLayer r:embed="rId48">
                  <a14:imgEffect>
                    <a14:colorTemperature colorTemp="11500"/>
                  </a14:imgEffect>
                  <a14:imgEffect>
                    <a14:saturation sat="400000"/>
                  </a14:imgEffect>
                </a14:imgLayer>
              </a14:imgProps>
            </a:ext>
          </a:extLst>
        </a:blip>
        <a:srcRect t="6513" b="3729"/>
        <a:stretch/>
      </xdr:blipFill>
      <xdr:spPr>
        <a:xfrm>
          <a:off x="5054203" y="14037469"/>
          <a:ext cx="889160" cy="607220"/>
        </a:xfrm>
        <a:prstGeom prst="rect">
          <a:avLst/>
        </a:prstGeom>
      </xdr:spPr>
    </xdr:pic>
    <xdr:clientData/>
  </xdr:twoCellAnchor>
  <xdr:twoCellAnchor editAs="oneCell">
    <xdr:from>
      <xdr:col>20</xdr:col>
      <xdr:colOff>203519</xdr:colOff>
      <xdr:row>90</xdr:row>
      <xdr:rowOff>28578</xdr:rowOff>
    </xdr:from>
    <xdr:to>
      <xdr:col>25</xdr:col>
      <xdr:colOff>9286</xdr:colOff>
      <xdr:row>95</xdr:row>
      <xdr:rowOff>3851</xdr:rowOff>
    </xdr:to>
    <xdr:pic>
      <xdr:nvPicPr>
        <xdr:cNvPr id="89" name="Grafik 88">
          <a:extLst>
            <a:ext uri="{FF2B5EF4-FFF2-40B4-BE49-F238E27FC236}">
              <a16:creationId xmlns:a16="http://schemas.microsoft.com/office/drawing/2014/main" id="{00000000-0008-0000-0300-000059000000}"/>
            </a:ext>
          </a:extLst>
        </xdr:cNvPr>
        <xdr:cNvPicPr>
          <a:picLocks noChangeAspect="1"/>
        </xdr:cNvPicPr>
      </xdr:nvPicPr>
      <xdr:blipFill>
        <a:blip xmlns:r="http://schemas.openxmlformats.org/officeDocument/2006/relationships" r:embed="rId49">
          <a:duotone>
            <a:prstClr val="black"/>
            <a:schemeClr val="accent3">
              <a:tint val="45000"/>
              <a:satMod val="400000"/>
            </a:schemeClr>
          </a:duotone>
          <a:extLst>
            <a:ext uri="{BEBA8EAE-BF5A-486C-A8C5-ECC9F3942E4B}">
              <a14:imgProps xmlns:a14="http://schemas.microsoft.com/office/drawing/2010/main">
                <a14:imgLayer r:embed="rId50">
                  <a14:imgEffect>
                    <a14:colorTemperature colorTemp="11500"/>
                  </a14:imgEffect>
                  <a14:imgEffect>
                    <a14:saturation sat="400000"/>
                  </a14:imgEffect>
                </a14:imgLayer>
              </a14:imgProps>
            </a:ext>
          </a:extLst>
        </a:blip>
        <a:stretch>
          <a:fillRect/>
        </a:stretch>
      </xdr:blipFill>
      <xdr:spPr>
        <a:xfrm>
          <a:off x="5079128" y="14839953"/>
          <a:ext cx="907096" cy="775093"/>
        </a:xfrm>
        <a:prstGeom prst="rect">
          <a:avLst/>
        </a:prstGeom>
      </xdr:spPr>
    </xdr:pic>
    <xdr:clientData/>
  </xdr:twoCellAnchor>
  <xdr:twoCellAnchor>
    <xdr:from>
      <xdr:col>9</xdr:col>
      <xdr:colOff>92316</xdr:colOff>
      <xdr:row>72</xdr:row>
      <xdr:rowOff>73315</xdr:rowOff>
    </xdr:from>
    <xdr:to>
      <xdr:col>10</xdr:col>
      <xdr:colOff>145072</xdr:colOff>
      <xdr:row>75</xdr:row>
      <xdr:rowOff>54427</xdr:rowOff>
    </xdr:to>
    <xdr:sp macro="" textlink="">
      <xdr:nvSpPr>
        <xdr:cNvPr id="178" name="Rechteck 177">
          <a:extLst>
            <a:ext uri="{FF2B5EF4-FFF2-40B4-BE49-F238E27FC236}">
              <a16:creationId xmlns:a16="http://schemas.microsoft.com/office/drawing/2014/main" id="{00000000-0008-0000-0300-0000B2000000}"/>
            </a:ext>
          </a:extLst>
        </xdr:cNvPr>
        <xdr:cNvSpPr/>
      </xdr:nvSpPr>
      <xdr:spPr>
        <a:xfrm>
          <a:off x="2536159" y="12140129"/>
          <a:ext cx="270470" cy="47096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152400</xdr:colOff>
      <xdr:row>73</xdr:row>
      <xdr:rowOff>54431</xdr:rowOff>
    </xdr:from>
    <xdr:to>
      <xdr:col>5</xdr:col>
      <xdr:colOff>67915</xdr:colOff>
      <xdr:row>74</xdr:row>
      <xdr:rowOff>112663</xdr:rowOff>
    </xdr:to>
    <xdr:pic>
      <xdr:nvPicPr>
        <xdr:cNvPr id="83" name="Grafik 82">
          <a:extLst>
            <a:ext uri="{FF2B5EF4-FFF2-40B4-BE49-F238E27FC236}">
              <a16:creationId xmlns:a16="http://schemas.microsoft.com/office/drawing/2014/main" id="{00000000-0008-0000-0300-000053000000}"/>
            </a:ext>
          </a:extLst>
        </xdr:cNvPr>
        <xdr:cNvPicPr>
          <a:picLocks noChangeAspect="1"/>
        </xdr:cNvPicPr>
      </xdr:nvPicPr>
      <xdr:blipFill>
        <a:blip xmlns:r="http://schemas.openxmlformats.org/officeDocument/2006/relationships" r:embed="rId51">
          <a:duotone>
            <a:prstClr val="black"/>
            <a:schemeClr val="accent3">
              <a:tint val="45000"/>
              <a:satMod val="400000"/>
            </a:schemeClr>
          </a:duotone>
          <a:extLst>
            <a:ext uri="{BEBA8EAE-BF5A-486C-A8C5-ECC9F3942E4B}">
              <a14:imgProps xmlns:a14="http://schemas.microsoft.com/office/drawing/2010/main">
                <a14:imgLayer r:embed="rId52">
                  <a14:imgEffect>
                    <a14:colorTemperature colorTemp="11500"/>
                  </a14:imgEffect>
                  <a14:imgEffect>
                    <a14:saturation sat="400000"/>
                  </a14:imgEffect>
                </a14:imgLayer>
              </a14:imgProps>
            </a:ext>
          </a:extLst>
        </a:blip>
        <a:stretch>
          <a:fillRect/>
        </a:stretch>
      </xdr:blipFill>
      <xdr:spPr>
        <a:xfrm>
          <a:off x="1230086" y="12284531"/>
          <a:ext cx="410815" cy="221518"/>
        </a:xfrm>
        <a:prstGeom prst="rect">
          <a:avLst/>
        </a:prstGeom>
      </xdr:spPr>
    </xdr:pic>
    <xdr:clientData/>
  </xdr:twoCellAnchor>
  <xdr:twoCellAnchor editAs="oneCell">
    <xdr:from>
      <xdr:col>2</xdr:col>
      <xdr:colOff>152570</xdr:colOff>
      <xdr:row>86</xdr:row>
      <xdr:rowOff>56809</xdr:rowOff>
    </xdr:from>
    <xdr:to>
      <xdr:col>5</xdr:col>
      <xdr:colOff>68085</xdr:colOff>
      <xdr:row>87</xdr:row>
      <xdr:rowOff>115041</xdr:rowOff>
    </xdr:to>
    <xdr:pic>
      <xdr:nvPicPr>
        <xdr:cNvPr id="141" name="Grafik 140">
          <a:extLst>
            <a:ext uri="{FF2B5EF4-FFF2-40B4-BE49-F238E27FC236}">
              <a16:creationId xmlns:a16="http://schemas.microsoft.com/office/drawing/2014/main" id="{00000000-0008-0000-0300-00008D000000}"/>
            </a:ext>
          </a:extLst>
        </xdr:cNvPr>
        <xdr:cNvPicPr>
          <a:picLocks noChangeAspect="1"/>
        </xdr:cNvPicPr>
      </xdr:nvPicPr>
      <xdr:blipFill>
        <a:blip xmlns:r="http://schemas.openxmlformats.org/officeDocument/2006/relationships" r:embed="rId51">
          <a:duotone>
            <a:prstClr val="black"/>
            <a:schemeClr val="accent3">
              <a:tint val="45000"/>
              <a:satMod val="400000"/>
            </a:schemeClr>
          </a:duotone>
          <a:extLst>
            <a:ext uri="{BEBA8EAE-BF5A-486C-A8C5-ECC9F3942E4B}">
              <a14:imgProps xmlns:a14="http://schemas.microsoft.com/office/drawing/2010/main">
                <a14:imgLayer r:embed="rId52">
                  <a14:imgEffect>
                    <a14:colorTemperature colorTemp="11500"/>
                  </a14:imgEffect>
                  <a14:imgEffect>
                    <a14:saturation sat="400000"/>
                  </a14:imgEffect>
                </a14:imgLayer>
              </a14:imgProps>
            </a:ext>
          </a:extLst>
        </a:blip>
        <a:stretch>
          <a:fillRect/>
        </a:stretch>
      </xdr:blipFill>
      <xdr:spPr>
        <a:xfrm>
          <a:off x="1230086" y="14225247"/>
          <a:ext cx="409624" cy="218966"/>
        </a:xfrm>
        <a:prstGeom prst="rect">
          <a:avLst/>
        </a:prstGeom>
      </xdr:spPr>
    </xdr:pic>
    <xdr:clientData/>
  </xdr:twoCellAnchor>
  <xdr:twoCellAnchor editAs="oneCell">
    <xdr:from>
      <xdr:col>12</xdr:col>
      <xdr:colOff>155174</xdr:colOff>
      <xdr:row>85</xdr:row>
      <xdr:rowOff>157162</xdr:rowOff>
    </xdr:from>
    <xdr:to>
      <xdr:col>17</xdr:col>
      <xdr:colOff>191320</xdr:colOff>
      <xdr:row>93</xdr:row>
      <xdr:rowOff>29765</xdr:rowOff>
    </xdr:to>
    <xdr:pic>
      <xdr:nvPicPr>
        <xdr:cNvPr id="87" name="Grafik 86">
          <a:extLst>
            <a:ext uri="{FF2B5EF4-FFF2-40B4-BE49-F238E27FC236}">
              <a16:creationId xmlns:a16="http://schemas.microsoft.com/office/drawing/2014/main" id="{00000000-0008-0000-0300-000057000000}"/>
            </a:ext>
          </a:extLst>
        </xdr:cNvPr>
        <xdr:cNvPicPr>
          <a:picLocks noChangeAspect="1"/>
        </xdr:cNvPicPr>
      </xdr:nvPicPr>
      <xdr:blipFill>
        <a:blip xmlns:r="http://schemas.openxmlformats.org/officeDocument/2006/relationships" r:embed="rId53">
          <a:duotone>
            <a:prstClr val="black"/>
            <a:schemeClr val="accent3">
              <a:tint val="45000"/>
              <a:satMod val="400000"/>
            </a:schemeClr>
          </a:duotone>
          <a:extLst>
            <a:ext uri="{BEBA8EAE-BF5A-486C-A8C5-ECC9F3942E4B}">
              <a14:imgProps xmlns:a14="http://schemas.microsoft.com/office/drawing/2010/main">
                <a14:imgLayer r:embed="rId54">
                  <a14:imgEffect>
                    <a14:colorTemperature colorTemp="11500"/>
                  </a14:imgEffect>
                  <a14:imgEffect>
                    <a14:saturation sat="400000"/>
                  </a14:imgEffect>
                </a14:imgLayer>
              </a14:imgProps>
            </a:ext>
          </a:extLst>
        </a:blip>
        <a:stretch>
          <a:fillRect/>
        </a:stretch>
      </xdr:blipFill>
      <xdr:spPr>
        <a:xfrm>
          <a:off x="3268658" y="14164865"/>
          <a:ext cx="1137475" cy="1158479"/>
        </a:xfrm>
        <a:prstGeom prst="rect">
          <a:avLst/>
        </a:prstGeom>
      </xdr:spPr>
    </xdr:pic>
    <xdr:clientData/>
  </xdr:twoCellAnchor>
  <xdr:twoCellAnchor>
    <xdr:from>
      <xdr:col>12</xdr:col>
      <xdr:colOff>38057</xdr:colOff>
      <xdr:row>91</xdr:row>
      <xdr:rowOff>115158</xdr:rowOff>
    </xdr:from>
    <xdr:to>
      <xdr:col>13</xdr:col>
      <xdr:colOff>90813</xdr:colOff>
      <xdr:row>93</xdr:row>
      <xdr:rowOff>125016</xdr:rowOff>
    </xdr:to>
    <xdr:sp macro="" textlink="">
      <xdr:nvSpPr>
        <xdr:cNvPr id="121" name="Rechteck 120">
          <a:extLst>
            <a:ext uri="{FF2B5EF4-FFF2-40B4-BE49-F238E27FC236}">
              <a16:creationId xmlns:a16="http://schemas.microsoft.com/office/drawing/2014/main" id="{00000000-0008-0000-0300-000079000000}"/>
            </a:ext>
          </a:extLst>
        </xdr:cNvPr>
        <xdr:cNvSpPr/>
      </xdr:nvSpPr>
      <xdr:spPr>
        <a:xfrm>
          <a:off x="3151541" y="15087267"/>
          <a:ext cx="273022" cy="33132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12</xdr:col>
      <xdr:colOff>164564</xdr:colOff>
      <xdr:row>65</xdr:row>
      <xdr:rowOff>151896</xdr:rowOff>
    </xdr:from>
    <xdr:to>
      <xdr:col>14</xdr:col>
      <xdr:colOff>1699</xdr:colOff>
      <xdr:row>68</xdr:row>
      <xdr:rowOff>133008</xdr:rowOff>
    </xdr:to>
    <xdr:sp macro="" textlink="">
      <xdr:nvSpPr>
        <xdr:cNvPr id="144" name="Rechteck 143">
          <a:extLst>
            <a:ext uri="{FF2B5EF4-FFF2-40B4-BE49-F238E27FC236}">
              <a16:creationId xmlns:a16="http://schemas.microsoft.com/office/drawing/2014/main" id="{00000000-0008-0000-0300-000090000000}"/>
            </a:ext>
          </a:extLst>
        </xdr:cNvPr>
        <xdr:cNvSpPr/>
      </xdr:nvSpPr>
      <xdr:spPr>
        <a:xfrm>
          <a:off x="3236377" y="11058021"/>
          <a:ext cx="265760" cy="48117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31</xdr:col>
      <xdr:colOff>81642</xdr:colOff>
      <xdr:row>59</xdr:row>
      <xdr:rowOff>152401</xdr:rowOff>
    </xdr:from>
    <xdr:to>
      <xdr:col>36</xdr:col>
      <xdr:colOff>168727</xdr:colOff>
      <xdr:row>61</xdr:row>
      <xdr:rowOff>136072</xdr:rowOff>
    </xdr:to>
    <xdr:sp macro="" textlink="">
      <xdr:nvSpPr>
        <xdr:cNvPr id="151" name="Rechteck 150">
          <a:extLst>
            <a:ext uri="{FF2B5EF4-FFF2-40B4-BE49-F238E27FC236}">
              <a16:creationId xmlns:a16="http://schemas.microsoft.com/office/drawing/2014/main" id="{00000000-0008-0000-0300-000097000000}"/>
            </a:ext>
          </a:extLst>
        </xdr:cNvPr>
        <xdr:cNvSpPr/>
      </xdr:nvSpPr>
      <xdr:spPr>
        <a:xfrm>
          <a:off x="7315199" y="10096501"/>
          <a:ext cx="1175657" cy="31024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30</xdr:col>
      <xdr:colOff>5442</xdr:colOff>
      <xdr:row>60</xdr:row>
      <xdr:rowOff>22963</xdr:rowOff>
    </xdr:from>
    <xdr:to>
      <xdr:col>45</xdr:col>
      <xdr:colOff>585</xdr:colOff>
      <xdr:row>67</xdr:row>
      <xdr:rowOff>100205</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duotone>
            <a:prstClr val="black"/>
            <a:schemeClr val="accent3">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tretch>
          <a:fillRect/>
        </a:stretch>
      </xdr:blipFill>
      <xdr:spPr>
        <a:xfrm>
          <a:off x="7053942" y="10043263"/>
          <a:ext cx="3157443" cy="1210717"/>
        </a:xfrm>
        <a:prstGeom prst="rect">
          <a:avLst/>
        </a:prstGeom>
      </xdr:spPr>
    </xdr:pic>
    <xdr:clientData/>
  </xdr:twoCellAnchor>
  <xdr:twoCellAnchor>
    <xdr:from>
      <xdr:col>40</xdr:col>
      <xdr:colOff>210150</xdr:colOff>
      <xdr:row>61</xdr:row>
      <xdr:rowOff>130629</xdr:rowOff>
    </xdr:from>
    <xdr:to>
      <xdr:col>42</xdr:col>
      <xdr:colOff>47285</xdr:colOff>
      <xdr:row>63</xdr:row>
      <xdr:rowOff>77218</xdr:rowOff>
    </xdr:to>
    <xdr:sp macro="" textlink="">
      <xdr:nvSpPr>
        <xdr:cNvPr id="3" name="Rechteck 2">
          <a:extLst>
            <a:ext uri="{FF2B5EF4-FFF2-40B4-BE49-F238E27FC236}">
              <a16:creationId xmlns:a16="http://schemas.microsoft.com/office/drawing/2014/main" id="{00000000-0008-0000-0500-000003000000}"/>
            </a:ext>
          </a:extLst>
        </xdr:cNvPr>
        <xdr:cNvSpPr/>
      </xdr:nvSpPr>
      <xdr:spPr>
        <a:xfrm>
          <a:off x="9449400" y="10312854"/>
          <a:ext cx="275285" cy="27043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37</xdr:col>
      <xdr:colOff>152399</xdr:colOff>
      <xdr:row>61</xdr:row>
      <xdr:rowOff>119743</xdr:rowOff>
    </xdr:from>
    <xdr:to>
      <xdr:col>38</xdr:col>
      <xdr:colOff>134370</xdr:colOff>
      <xdr:row>63</xdr:row>
      <xdr:rowOff>39119</xdr:rowOff>
    </xdr:to>
    <xdr:sp macro="" textlink="">
      <xdr:nvSpPr>
        <xdr:cNvPr id="4" name="Rechteck 3">
          <a:extLst>
            <a:ext uri="{FF2B5EF4-FFF2-40B4-BE49-F238E27FC236}">
              <a16:creationId xmlns:a16="http://schemas.microsoft.com/office/drawing/2014/main" id="{00000000-0008-0000-0500-000004000000}"/>
            </a:ext>
          </a:extLst>
        </xdr:cNvPr>
        <xdr:cNvSpPr/>
      </xdr:nvSpPr>
      <xdr:spPr>
        <a:xfrm>
          <a:off x="8734424" y="10301968"/>
          <a:ext cx="201046" cy="24322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34</xdr:col>
      <xdr:colOff>5443</xdr:colOff>
      <xdr:row>60</xdr:row>
      <xdr:rowOff>1</xdr:rowOff>
    </xdr:from>
    <xdr:to>
      <xdr:col>34</xdr:col>
      <xdr:colOff>199685</xdr:colOff>
      <xdr:row>63</xdr:row>
      <xdr:rowOff>44562</xdr:rowOff>
    </xdr:to>
    <xdr:sp macro="" textlink="">
      <xdr:nvSpPr>
        <xdr:cNvPr id="5" name="Rechteck 4">
          <a:extLst>
            <a:ext uri="{FF2B5EF4-FFF2-40B4-BE49-F238E27FC236}">
              <a16:creationId xmlns:a16="http://schemas.microsoft.com/office/drawing/2014/main" id="{00000000-0008-0000-0500-000005000000}"/>
            </a:ext>
          </a:extLst>
        </xdr:cNvPr>
        <xdr:cNvSpPr/>
      </xdr:nvSpPr>
      <xdr:spPr>
        <a:xfrm>
          <a:off x="7930243" y="10020301"/>
          <a:ext cx="194242" cy="53033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29</xdr:col>
      <xdr:colOff>190501</xdr:colOff>
      <xdr:row>60</xdr:row>
      <xdr:rowOff>10884</xdr:rowOff>
    </xdr:from>
    <xdr:to>
      <xdr:col>31</xdr:col>
      <xdr:colOff>101713</xdr:colOff>
      <xdr:row>63</xdr:row>
      <xdr:rowOff>50004</xdr:rowOff>
    </xdr:to>
    <xdr:sp macro="" textlink="">
      <xdr:nvSpPr>
        <xdr:cNvPr id="6" name="Rechteck 5">
          <a:extLst>
            <a:ext uri="{FF2B5EF4-FFF2-40B4-BE49-F238E27FC236}">
              <a16:creationId xmlns:a16="http://schemas.microsoft.com/office/drawing/2014/main" id="{00000000-0008-0000-0500-000006000000}"/>
            </a:ext>
          </a:extLst>
        </xdr:cNvPr>
        <xdr:cNvSpPr/>
      </xdr:nvSpPr>
      <xdr:spPr>
        <a:xfrm>
          <a:off x="7019926" y="10031184"/>
          <a:ext cx="349362" cy="52489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12</xdr:col>
      <xdr:colOff>192090</xdr:colOff>
      <xdr:row>72</xdr:row>
      <xdr:rowOff>27219</xdr:rowOff>
    </xdr:from>
    <xdr:to>
      <xdr:col>17</xdr:col>
      <xdr:colOff>153161</xdr:colOff>
      <xdr:row>82</xdr:row>
      <xdr:rowOff>125188</xdr:rowOff>
    </xdr:to>
    <xdr:pic>
      <xdr:nvPicPr>
        <xdr:cNvPr id="7" name="Grafik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3">
          <a:duotone>
            <a:prstClr val="black"/>
            <a:schemeClr val="accent3">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tretch>
          <a:fillRect/>
        </a:stretch>
      </xdr:blipFill>
      <xdr:spPr>
        <a:xfrm>
          <a:off x="3297240" y="11990619"/>
          <a:ext cx="1056446" cy="1707694"/>
        </a:xfrm>
        <a:prstGeom prst="rect">
          <a:avLst/>
        </a:prstGeom>
      </xdr:spPr>
    </xdr:pic>
    <xdr:clientData/>
  </xdr:twoCellAnchor>
  <xdr:twoCellAnchor editAs="oneCell">
    <xdr:from>
      <xdr:col>20</xdr:col>
      <xdr:colOff>21771</xdr:colOff>
      <xdr:row>72</xdr:row>
      <xdr:rowOff>38099</xdr:rowOff>
    </xdr:from>
    <xdr:to>
      <xdr:col>24</xdr:col>
      <xdr:colOff>119658</xdr:colOff>
      <xdr:row>82</xdr:row>
      <xdr:rowOff>108687</xdr:rowOff>
    </xdr:to>
    <xdr:pic>
      <xdr:nvPicPr>
        <xdr:cNvPr id="8" name="Grafik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5">
          <a:duotone>
            <a:prstClr val="black"/>
            <a:schemeClr val="accent3">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4879521" y="12001499"/>
          <a:ext cx="974187" cy="1680313"/>
        </a:xfrm>
        <a:prstGeom prst="rect">
          <a:avLst/>
        </a:prstGeom>
      </xdr:spPr>
    </xdr:pic>
    <xdr:clientData/>
  </xdr:twoCellAnchor>
  <xdr:twoCellAnchor editAs="oneCell">
    <xdr:from>
      <xdr:col>11</xdr:col>
      <xdr:colOff>5468</xdr:colOff>
      <xdr:row>61</xdr:row>
      <xdr:rowOff>76196</xdr:rowOff>
    </xdr:from>
    <xdr:to>
      <xdr:col>13</xdr:col>
      <xdr:colOff>148233</xdr:colOff>
      <xdr:row>69</xdr:row>
      <xdr:rowOff>92528</xdr:rowOff>
    </xdr:to>
    <xdr:pic>
      <xdr:nvPicPr>
        <xdr:cNvPr id="9" name="Grafik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7">
          <a:duotone>
            <a:prstClr val="black"/>
            <a:schemeClr val="accent3">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2891543" y="10258421"/>
          <a:ext cx="580915" cy="1311732"/>
        </a:xfrm>
        <a:prstGeom prst="rect">
          <a:avLst/>
        </a:prstGeom>
      </xdr:spPr>
    </xdr:pic>
    <xdr:clientData/>
  </xdr:twoCellAnchor>
  <xdr:twoCellAnchor editAs="oneCell">
    <xdr:from>
      <xdr:col>17</xdr:col>
      <xdr:colOff>87086</xdr:colOff>
      <xdr:row>54</xdr:row>
      <xdr:rowOff>62093</xdr:rowOff>
    </xdr:from>
    <xdr:to>
      <xdr:col>22</xdr:col>
      <xdr:colOff>197926</xdr:colOff>
      <xdr:row>57</xdr:row>
      <xdr:rowOff>120598</xdr:rowOff>
    </xdr:to>
    <xdr:pic>
      <xdr:nvPicPr>
        <xdr:cNvPr id="10" name="Grafik 9">
          <a:extLst>
            <a:ext uri="{FF2B5EF4-FFF2-40B4-BE49-F238E27FC236}">
              <a16:creationId xmlns:a16="http://schemas.microsoft.com/office/drawing/2014/main" id="{00000000-0008-0000-0500-00000A000000}"/>
            </a:ext>
          </a:extLst>
        </xdr:cNvPr>
        <xdr:cNvPicPr>
          <a:picLocks noChangeAspect="1"/>
        </xdr:cNvPicPr>
      </xdr:nvPicPr>
      <xdr:blipFill rotWithShape="1">
        <a:blip xmlns:r="http://schemas.openxmlformats.org/officeDocument/2006/relationships" r:embed="rId9">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rcRect t="20856"/>
        <a:stretch/>
      </xdr:blipFill>
      <xdr:spPr>
        <a:xfrm rot="16200000">
          <a:off x="4618579" y="8779875"/>
          <a:ext cx="544280" cy="1206215"/>
        </a:xfrm>
        <a:prstGeom prst="rect">
          <a:avLst/>
        </a:prstGeom>
      </xdr:spPr>
    </xdr:pic>
    <xdr:clientData/>
  </xdr:twoCellAnchor>
  <xdr:twoCellAnchor editAs="oneCell">
    <xdr:from>
      <xdr:col>15</xdr:col>
      <xdr:colOff>200024</xdr:colOff>
      <xdr:row>54</xdr:row>
      <xdr:rowOff>65315</xdr:rowOff>
    </xdr:from>
    <xdr:to>
      <xdr:col>17</xdr:col>
      <xdr:colOff>103414</xdr:colOff>
      <xdr:row>57</xdr:row>
      <xdr:rowOff>65313</xdr:rowOff>
    </xdr:to>
    <xdr:pic>
      <xdr:nvPicPr>
        <xdr:cNvPr id="11" name="Grafik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1">
          <a:duotone>
            <a:prstClr val="black"/>
            <a:schemeClr val="accent3">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962399" y="9114065"/>
          <a:ext cx="341540" cy="485773"/>
        </a:xfrm>
        <a:prstGeom prst="rect">
          <a:avLst/>
        </a:prstGeom>
      </xdr:spPr>
    </xdr:pic>
    <xdr:clientData/>
  </xdr:twoCellAnchor>
  <xdr:twoCellAnchor editAs="oneCell">
    <xdr:from>
      <xdr:col>16</xdr:col>
      <xdr:colOff>22261</xdr:colOff>
      <xdr:row>46</xdr:row>
      <xdr:rowOff>24211</xdr:rowOff>
    </xdr:from>
    <xdr:to>
      <xdr:col>22</xdr:col>
      <xdr:colOff>177151</xdr:colOff>
      <xdr:row>51</xdr:row>
      <xdr:rowOff>150798</xdr:rowOff>
    </xdr:to>
    <xdr:pic>
      <xdr:nvPicPr>
        <xdr:cNvPr id="12" name="Grafik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3">
          <a:duotone>
            <a:prstClr val="black"/>
            <a:schemeClr val="accent3">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4003711" y="7777561"/>
          <a:ext cx="1469340" cy="936212"/>
        </a:xfrm>
        <a:prstGeom prst="rect">
          <a:avLst/>
        </a:prstGeom>
      </xdr:spPr>
    </xdr:pic>
    <xdr:clientData/>
  </xdr:twoCellAnchor>
  <xdr:twoCellAnchor editAs="oneCell">
    <xdr:from>
      <xdr:col>16</xdr:col>
      <xdr:colOff>22813</xdr:colOff>
      <xdr:row>35</xdr:row>
      <xdr:rowOff>96858</xdr:rowOff>
    </xdr:from>
    <xdr:to>
      <xdr:col>22</xdr:col>
      <xdr:colOff>210682</xdr:colOff>
      <xdr:row>41</xdr:row>
      <xdr:rowOff>49818</xdr:rowOff>
    </xdr:to>
    <xdr:pic>
      <xdr:nvPicPr>
        <xdr:cNvPr id="13" name="Grafik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5">
          <a:duotone>
            <a:prstClr val="black"/>
            <a:schemeClr val="accent3">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4004263" y="6069033"/>
          <a:ext cx="1502319" cy="924510"/>
        </a:xfrm>
        <a:prstGeom prst="rect">
          <a:avLst/>
        </a:prstGeom>
      </xdr:spPr>
    </xdr:pic>
    <xdr:clientData/>
  </xdr:twoCellAnchor>
  <xdr:twoCellAnchor editAs="oneCell">
    <xdr:from>
      <xdr:col>11</xdr:col>
      <xdr:colOff>51108</xdr:colOff>
      <xdr:row>49</xdr:row>
      <xdr:rowOff>46466</xdr:rowOff>
    </xdr:from>
    <xdr:to>
      <xdr:col>14</xdr:col>
      <xdr:colOff>197975</xdr:colOff>
      <xdr:row>58</xdr:row>
      <xdr:rowOff>148683</xdr:rowOff>
    </xdr:to>
    <xdr:pic>
      <xdr:nvPicPr>
        <xdr:cNvPr id="14" name="Grafik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7">
          <a:duotone>
            <a:prstClr val="black"/>
            <a:schemeClr val="accent3">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2937183" y="8285591"/>
          <a:ext cx="804092" cy="1559542"/>
        </a:xfrm>
        <a:prstGeom prst="rect">
          <a:avLst/>
        </a:prstGeom>
      </xdr:spPr>
    </xdr:pic>
    <xdr:clientData/>
  </xdr:twoCellAnchor>
  <xdr:twoCellAnchor editAs="oneCell">
    <xdr:from>
      <xdr:col>3</xdr:col>
      <xdr:colOff>55758</xdr:colOff>
      <xdr:row>49</xdr:row>
      <xdr:rowOff>46464</xdr:rowOff>
    </xdr:from>
    <xdr:to>
      <xdr:col>7</xdr:col>
      <xdr:colOff>139393</xdr:colOff>
      <xdr:row>59</xdr:row>
      <xdr:rowOff>5434</xdr:rowOff>
    </xdr:to>
    <xdr:pic>
      <xdr:nvPicPr>
        <xdr:cNvPr id="15" name="Grafik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1322583" y="8285589"/>
          <a:ext cx="826585" cy="1578220"/>
        </a:xfrm>
        <a:prstGeom prst="rect">
          <a:avLst/>
        </a:prstGeom>
      </xdr:spPr>
    </xdr:pic>
    <xdr:clientData/>
  </xdr:twoCellAnchor>
  <xdr:twoCellAnchor editAs="oneCell">
    <xdr:from>
      <xdr:col>12</xdr:col>
      <xdr:colOff>201399</xdr:colOff>
      <xdr:row>40</xdr:row>
      <xdr:rowOff>86556</xdr:rowOff>
    </xdr:from>
    <xdr:to>
      <xdr:col>14</xdr:col>
      <xdr:colOff>191874</xdr:colOff>
      <xdr:row>47</xdr:row>
      <xdr:rowOff>141295</xdr:rowOff>
    </xdr:to>
    <xdr:pic>
      <xdr:nvPicPr>
        <xdr:cNvPr id="16" name="Grafik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rot="10800000">
          <a:off x="3306549" y="6868356"/>
          <a:ext cx="428625" cy="1188214"/>
        </a:xfrm>
        <a:prstGeom prst="rect">
          <a:avLst/>
        </a:prstGeom>
        <a:effectLst>
          <a:reflection endPos="0" dir="5400000" sy="-100000" algn="bl" rotWithShape="0"/>
        </a:effectLst>
      </xdr:spPr>
    </xdr:pic>
    <xdr:clientData/>
  </xdr:twoCellAnchor>
  <xdr:twoCellAnchor>
    <xdr:from>
      <xdr:col>3</xdr:col>
      <xdr:colOff>42480</xdr:colOff>
      <xdr:row>47</xdr:row>
      <xdr:rowOff>130630</xdr:rowOff>
    </xdr:from>
    <xdr:to>
      <xdr:col>4</xdr:col>
      <xdr:colOff>87406</xdr:colOff>
      <xdr:row>49</xdr:row>
      <xdr:rowOff>125452</xdr:rowOff>
    </xdr:to>
    <xdr:sp macro="" textlink="">
      <xdr:nvSpPr>
        <xdr:cNvPr id="17" name="Rechteck 16">
          <a:extLst>
            <a:ext uri="{FF2B5EF4-FFF2-40B4-BE49-F238E27FC236}">
              <a16:creationId xmlns:a16="http://schemas.microsoft.com/office/drawing/2014/main" id="{00000000-0008-0000-0500-000011000000}"/>
            </a:ext>
          </a:extLst>
        </xdr:cNvPr>
        <xdr:cNvSpPr/>
      </xdr:nvSpPr>
      <xdr:spPr>
        <a:xfrm>
          <a:off x="1309305" y="8045905"/>
          <a:ext cx="130651" cy="3186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3</xdr:col>
      <xdr:colOff>65314</xdr:colOff>
      <xdr:row>40</xdr:row>
      <xdr:rowOff>86556</xdr:rowOff>
    </xdr:from>
    <xdr:to>
      <xdr:col>5</xdr:col>
      <xdr:colOff>189139</xdr:colOff>
      <xdr:row>47</xdr:row>
      <xdr:rowOff>141295</xdr:rowOff>
    </xdr:to>
    <xdr:pic>
      <xdr:nvPicPr>
        <xdr:cNvPr id="18" name="Grafik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a:off x="1332139" y="6868356"/>
          <a:ext cx="428625" cy="1188214"/>
        </a:xfrm>
        <a:prstGeom prst="rect">
          <a:avLst/>
        </a:prstGeom>
      </xdr:spPr>
    </xdr:pic>
    <xdr:clientData/>
  </xdr:twoCellAnchor>
  <xdr:twoCellAnchor>
    <xdr:from>
      <xdr:col>14</xdr:col>
      <xdr:colOff>69695</xdr:colOff>
      <xdr:row>47</xdr:row>
      <xdr:rowOff>141515</xdr:rowOff>
    </xdr:from>
    <xdr:to>
      <xdr:col>14</xdr:col>
      <xdr:colOff>201706</xdr:colOff>
      <xdr:row>49</xdr:row>
      <xdr:rowOff>134744</xdr:rowOff>
    </xdr:to>
    <xdr:sp macro="" textlink="">
      <xdr:nvSpPr>
        <xdr:cNvPr id="19" name="Rechteck 18">
          <a:extLst>
            <a:ext uri="{FF2B5EF4-FFF2-40B4-BE49-F238E27FC236}">
              <a16:creationId xmlns:a16="http://schemas.microsoft.com/office/drawing/2014/main" id="{00000000-0008-0000-0500-000013000000}"/>
            </a:ext>
          </a:extLst>
        </xdr:cNvPr>
        <xdr:cNvSpPr/>
      </xdr:nvSpPr>
      <xdr:spPr>
        <a:xfrm>
          <a:off x="3612995" y="8056790"/>
          <a:ext cx="132011" cy="31707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19836</xdr:rowOff>
    </xdr:from>
    <xdr:to>
      <xdr:col>14</xdr:col>
      <xdr:colOff>209550</xdr:colOff>
      <xdr:row>49</xdr:row>
      <xdr:rowOff>19836</xdr:rowOff>
    </xdr:to>
    <xdr:cxnSp macro="">
      <xdr:nvCxnSpPr>
        <xdr:cNvPr id="20" name="Gerader Verbinder 19">
          <a:extLst>
            <a:ext uri="{FF2B5EF4-FFF2-40B4-BE49-F238E27FC236}">
              <a16:creationId xmlns:a16="http://schemas.microsoft.com/office/drawing/2014/main" id="{00000000-0008-0000-0500-000014000000}"/>
            </a:ext>
          </a:extLst>
        </xdr:cNvPr>
        <xdr:cNvCxnSpPr/>
      </xdr:nvCxnSpPr>
      <xdr:spPr>
        <a:xfrm>
          <a:off x="1308497" y="8258961"/>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53</xdr:row>
      <xdr:rowOff>48985</xdr:rowOff>
    </xdr:from>
    <xdr:to>
      <xdr:col>26</xdr:col>
      <xdr:colOff>111141</xdr:colOff>
      <xdr:row>57</xdr:row>
      <xdr:rowOff>119742</xdr:rowOff>
    </xdr:to>
    <xdr:cxnSp macro="">
      <xdr:nvCxnSpPr>
        <xdr:cNvPr id="21" name="Gerader Verbinder 20">
          <a:extLst>
            <a:ext uri="{FF2B5EF4-FFF2-40B4-BE49-F238E27FC236}">
              <a16:creationId xmlns:a16="http://schemas.microsoft.com/office/drawing/2014/main" id="{00000000-0008-0000-0500-000015000000}"/>
            </a:ext>
          </a:extLst>
        </xdr:cNvPr>
        <xdr:cNvCxnSpPr/>
      </xdr:nvCxnSpPr>
      <xdr:spPr>
        <a:xfrm>
          <a:off x="6283341" y="8935810"/>
          <a:ext cx="0" cy="71845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23258</xdr:rowOff>
    </xdr:from>
    <xdr:to>
      <xdr:col>26</xdr:col>
      <xdr:colOff>196235</xdr:colOff>
      <xdr:row>57</xdr:row>
      <xdr:rowOff>23258</xdr:rowOff>
    </xdr:to>
    <xdr:cxnSp macro="">
      <xdr:nvCxnSpPr>
        <xdr:cNvPr id="22" name="Gerader Verbinder 21">
          <a:extLst>
            <a:ext uri="{FF2B5EF4-FFF2-40B4-BE49-F238E27FC236}">
              <a16:creationId xmlns:a16="http://schemas.microsoft.com/office/drawing/2014/main" id="{00000000-0008-0000-0500-000016000000}"/>
            </a:ext>
          </a:extLst>
        </xdr:cNvPr>
        <xdr:cNvCxnSpPr/>
      </xdr:nvCxnSpPr>
      <xdr:spPr>
        <a:xfrm>
          <a:off x="5402745" y="95577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52</xdr:row>
      <xdr:rowOff>37171</xdr:rowOff>
    </xdr:to>
    <xdr:cxnSp macro="">
      <xdr:nvCxnSpPr>
        <xdr:cNvPr id="23" name="Gerader Verbinder 22">
          <a:extLst>
            <a:ext uri="{FF2B5EF4-FFF2-40B4-BE49-F238E27FC236}">
              <a16:creationId xmlns:a16="http://schemas.microsoft.com/office/drawing/2014/main" id="{00000000-0008-0000-0500-000017000000}"/>
            </a:ext>
          </a:extLst>
        </xdr:cNvPr>
        <xdr:cNvCxnSpPr/>
      </xdr:nvCxnSpPr>
      <xdr:spPr>
        <a:xfrm>
          <a:off x="6282933" y="6044499"/>
          <a:ext cx="0" cy="271757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51</xdr:row>
      <xdr:rowOff>113209</xdr:rowOff>
    </xdr:from>
    <xdr:to>
      <xdr:col>26</xdr:col>
      <xdr:colOff>197625</xdr:colOff>
      <xdr:row>51</xdr:row>
      <xdr:rowOff>113209</xdr:rowOff>
    </xdr:to>
    <xdr:cxnSp macro="">
      <xdr:nvCxnSpPr>
        <xdr:cNvPr id="24" name="Gerader Verbinder 23">
          <a:extLst>
            <a:ext uri="{FF2B5EF4-FFF2-40B4-BE49-F238E27FC236}">
              <a16:creationId xmlns:a16="http://schemas.microsoft.com/office/drawing/2014/main" id="{00000000-0008-0000-0500-000018000000}"/>
            </a:ext>
          </a:extLst>
        </xdr:cNvPr>
        <xdr:cNvCxnSpPr/>
      </xdr:nvCxnSpPr>
      <xdr:spPr>
        <a:xfrm>
          <a:off x="5404135" y="8676184"/>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116158</xdr:colOff>
      <xdr:row>35</xdr:row>
      <xdr:rowOff>150759</xdr:rowOff>
    </xdr:from>
    <xdr:to>
      <xdr:col>26</xdr:col>
      <xdr:colOff>179210</xdr:colOff>
      <xdr:row>35</xdr:row>
      <xdr:rowOff>150759</xdr:rowOff>
    </xdr:to>
    <xdr:cxnSp macro="">
      <xdr:nvCxnSpPr>
        <xdr:cNvPr id="25" name="Gerader Verbinder 24">
          <a:extLst>
            <a:ext uri="{FF2B5EF4-FFF2-40B4-BE49-F238E27FC236}">
              <a16:creationId xmlns:a16="http://schemas.microsoft.com/office/drawing/2014/main" id="{00000000-0008-0000-0500-000019000000}"/>
            </a:ext>
          </a:extLst>
        </xdr:cNvPr>
        <xdr:cNvCxnSpPr/>
      </xdr:nvCxnSpPr>
      <xdr:spPr>
        <a:xfrm>
          <a:off x="5412058" y="6122934"/>
          <a:ext cx="93935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56</xdr:row>
      <xdr:rowOff>123461</xdr:rowOff>
    </xdr:from>
    <xdr:to>
      <xdr:col>26</xdr:col>
      <xdr:colOff>174620</xdr:colOff>
      <xdr:row>57</xdr:row>
      <xdr:rowOff>65645</xdr:rowOff>
    </xdr:to>
    <xdr:cxnSp macro="">
      <xdr:nvCxnSpPr>
        <xdr:cNvPr id="26" name="Gerader Verbinder 25">
          <a:extLst>
            <a:ext uri="{FF2B5EF4-FFF2-40B4-BE49-F238E27FC236}">
              <a16:creationId xmlns:a16="http://schemas.microsoft.com/office/drawing/2014/main" id="{00000000-0008-0000-0500-00001A000000}"/>
            </a:ext>
          </a:extLst>
        </xdr:cNvPr>
        <xdr:cNvCxnSpPr/>
      </xdr:nvCxnSpPr>
      <xdr:spPr>
        <a:xfrm flipV="1">
          <a:off x="6232116" y="9496061"/>
          <a:ext cx="114704" cy="104109"/>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51</xdr:row>
      <xdr:rowOff>57887</xdr:rowOff>
    </xdr:from>
    <xdr:to>
      <xdr:col>26</xdr:col>
      <xdr:colOff>172696</xdr:colOff>
      <xdr:row>52</xdr:row>
      <xdr:rowOff>8366</xdr:rowOff>
    </xdr:to>
    <xdr:cxnSp macro="">
      <xdr:nvCxnSpPr>
        <xdr:cNvPr id="27" name="Gerader Verbinder 26">
          <a:extLst>
            <a:ext uri="{FF2B5EF4-FFF2-40B4-BE49-F238E27FC236}">
              <a16:creationId xmlns:a16="http://schemas.microsoft.com/office/drawing/2014/main" id="{00000000-0008-0000-0500-00001B000000}"/>
            </a:ext>
          </a:extLst>
        </xdr:cNvPr>
        <xdr:cNvCxnSpPr/>
      </xdr:nvCxnSpPr>
      <xdr:spPr>
        <a:xfrm flipV="1">
          <a:off x="6230192" y="8620862"/>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8" name="Gerader Verbinder 27">
          <a:extLst>
            <a:ext uri="{FF2B5EF4-FFF2-40B4-BE49-F238E27FC236}">
              <a16:creationId xmlns:a16="http://schemas.microsoft.com/office/drawing/2014/main" id="{00000000-0008-0000-0500-00001C000000}"/>
            </a:ext>
          </a:extLst>
        </xdr:cNvPr>
        <xdr:cNvCxnSpPr/>
      </xdr:nvCxnSpPr>
      <xdr:spPr>
        <a:xfrm flipV="1">
          <a:off x="6225561" y="6067981"/>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9217" name="Drop Down 1" hidden="1">
              <a:extLst>
                <a:ext uri="{63B3BB69-23CF-44E3-9099-C40C66FF867C}">
                  <a14:compatExt spid="_x0000_s9217"/>
                </a:ext>
                <a:ext uri="{FF2B5EF4-FFF2-40B4-BE49-F238E27FC236}">
                  <a16:creationId xmlns:a16="http://schemas.microsoft.com/office/drawing/2014/main" id="{00000000-0008-0000-0500-000001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30" name="Grafik 29">
          <a:extLst>
            <a:ext uri="{FF2B5EF4-FFF2-40B4-BE49-F238E27FC236}">
              <a16:creationId xmlns:a16="http://schemas.microsoft.com/office/drawing/2014/main" id="{00000000-0008-0000-0500-00001E000000}"/>
            </a:ext>
          </a:extLst>
        </xdr:cNvPr>
        <xdr:cNvPicPr>
          <a:picLocks noChangeAspect="1"/>
        </xdr:cNvPicPr>
      </xdr:nvPicPr>
      <xdr:blipFill rotWithShape="1">
        <a:blip xmlns:r="http://schemas.openxmlformats.org/officeDocument/2006/relationships" r:embed="rId23">
          <a:duotone>
            <a:prstClr val="black"/>
            <a:schemeClr val="accent3">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Lst>
        </a:blip>
        <a:srcRect t="3845" b="7693"/>
        <a:stretch/>
      </xdr:blipFill>
      <xdr:spPr>
        <a:xfrm>
          <a:off x="2723027" y="6084234"/>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788</xdr:rowOff>
    </xdr:to>
    <xdr:pic>
      <xdr:nvPicPr>
        <xdr:cNvPr id="31" name="Grafik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25">
          <a:duotone>
            <a:prstClr val="black"/>
            <a:schemeClr val="accent3">
              <a:tint val="45000"/>
              <a:satMod val="400000"/>
            </a:schemeClr>
          </a:duotone>
          <a:extLst>
            <a:ext uri="{BEBA8EAE-BF5A-486C-A8C5-ECC9F3942E4B}">
              <a14:imgProps xmlns:a14="http://schemas.microsoft.com/office/drawing/2010/main">
                <a14:imgLayer r:embed="rId26">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073030"/>
          <a:ext cx="1006848" cy="547633"/>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5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5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500-00000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9221" name="Check Box 5" hidden="1">
              <a:extLst>
                <a:ext uri="{63B3BB69-23CF-44E3-9099-C40C66FF867C}">
                  <a14:compatExt spid="_x0000_s9221"/>
                </a:ext>
                <a:ext uri="{FF2B5EF4-FFF2-40B4-BE49-F238E27FC236}">
                  <a16:creationId xmlns:a16="http://schemas.microsoft.com/office/drawing/2014/main" id="{00000000-0008-0000-0500-00000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9222" name="Check Box 6" hidden="1">
              <a:extLst>
                <a:ext uri="{63B3BB69-23CF-44E3-9099-C40C66FF867C}">
                  <a14:compatExt spid="_x0000_s9222"/>
                </a:ext>
                <a:ext uri="{FF2B5EF4-FFF2-40B4-BE49-F238E27FC236}">
                  <a16:creationId xmlns:a16="http://schemas.microsoft.com/office/drawing/2014/main" id="{00000000-0008-0000-0500-00000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36</xdr:row>
          <xdr:rowOff>0</xdr:rowOff>
        </xdr:from>
        <xdr:to>
          <xdr:col>31</xdr:col>
          <xdr:colOff>0</xdr:colOff>
          <xdr:row>37</xdr:row>
          <xdr:rowOff>9525</xdr:rowOff>
        </xdr:to>
        <xdr:sp macro="" textlink="">
          <xdr:nvSpPr>
            <xdr:cNvPr id="9223" name="Check Box 7" hidden="1">
              <a:extLst>
                <a:ext uri="{63B3BB69-23CF-44E3-9099-C40C66FF867C}">
                  <a14:compatExt spid="_x0000_s9223"/>
                </a:ext>
                <a:ext uri="{FF2B5EF4-FFF2-40B4-BE49-F238E27FC236}">
                  <a16:creationId xmlns:a16="http://schemas.microsoft.com/office/drawing/2014/main" id="{00000000-0008-0000-0500-00000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00000000-0008-0000-0500-00000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00000000-0008-0000-0500-00000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31</xdr:col>
          <xdr:colOff>0</xdr:colOff>
          <xdr:row>33</xdr:row>
          <xdr:rowOff>9525</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00000000-0008-0000-0500-00000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32</xdr:row>
          <xdr:rowOff>0</xdr:rowOff>
        </xdr:from>
        <xdr:to>
          <xdr:col>40</xdr:col>
          <xdr:colOff>0</xdr:colOff>
          <xdr:row>33</xdr:row>
          <xdr:rowOff>0</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00000000-0008-0000-0500-00000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5</xdr:row>
          <xdr:rowOff>9525</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00000000-0008-0000-0500-00000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19050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00000000-0008-0000-0500-00000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19050</xdr:rowOff>
        </xdr:to>
        <xdr:sp macro="" textlink="">
          <xdr:nvSpPr>
            <xdr:cNvPr id="9232" name="Check Box 16" hidden="1">
              <a:extLst>
                <a:ext uri="{63B3BB69-23CF-44E3-9099-C40C66FF867C}">
                  <a14:compatExt spid="_x0000_s9232"/>
                </a:ext>
                <a:ext uri="{FF2B5EF4-FFF2-40B4-BE49-F238E27FC236}">
                  <a16:creationId xmlns:a16="http://schemas.microsoft.com/office/drawing/2014/main" id="{00000000-0008-0000-0500-00001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9233" name="Check Box 17" hidden="1">
              <a:extLst>
                <a:ext uri="{63B3BB69-23CF-44E3-9099-C40C66FF867C}">
                  <a14:compatExt spid="_x0000_s9233"/>
                </a:ext>
                <a:ext uri="{FF2B5EF4-FFF2-40B4-BE49-F238E27FC236}">
                  <a16:creationId xmlns:a16="http://schemas.microsoft.com/office/drawing/2014/main" id="{00000000-0008-0000-0500-00001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50053</xdr:colOff>
      <xdr:row>48</xdr:row>
      <xdr:rowOff>116001</xdr:rowOff>
    </xdr:from>
    <xdr:to>
      <xdr:col>4</xdr:col>
      <xdr:colOff>78381</xdr:colOff>
      <xdr:row>49</xdr:row>
      <xdr:rowOff>76916</xdr:rowOff>
    </xdr:to>
    <xdr:cxnSp macro="">
      <xdr:nvCxnSpPr>
        <xdr:cNvPr id="48" name="Gerader Verbinder 47">
          <a:extLst>
            <a:ext uri="{FF2B5EF4-FFF2-40B4-BE49-F238E27FC236}">
              <a16:creationId xmlns:a16="http://schemas.microsoft.com/office/drawing/2014/main" id="{00000000-0008-0000-0500-000030000000}"/>
            </a:ext>
          </a:extLst>
        </xdr:cNvPr>
        <xdr:cNvCxnSpPr/>
      </xdr:nvCxnSpPr>
      <xdr:spPr>
        <a:xfrm flipV="1">
          <a:off x="1316878" y="8193201"/>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103516</xdr:colOff>
      <xdr:row>48</xdr:row>
      <xdr:rowOff>111917</xdr:rowOff>
    </xdr:from>
    <xdr:to>
      <xdr:col>14</xdr:col>
      <xdr:colOff>215188</xdr:colOff>
      <xdr:row>49</xdr:row>
      <xdr:rowOff>75126</xdr:rowOff>
    </xdr:to>
    <xdr:cxnSp macro="">
      <xdr:nvCxnSpPr>
        <xdr:cNvPr id="49" name="Gerader Verbinder 48">
          <a:extLst>
            <a:ext uri="{FF2B5EF4-FFF2-40B4-BE49-F238E27FC236}">
              <a16:creationId xmlns:a16="http://schemas.microsoft.com/office/drawing/2014/main" id="{00000000-0008-0000-0500-000031000000}"/>
            </a:ext>
          </a:extLst>
        </xdr:cNvPr>
        <xdr:cNvCxnSpPr/>
      </xdr:nvCxnSpPr>
      <xdr:spPr>
        <a:xfrm flipV="1">
          <a:off x="3646816" y="818911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114300</xdr:rowOff>
        </xdr:from>
        <xdr:to>
          <xdr:col>7</xdr:col>
          <xdr:colOff>38100</xdr:colOff>
          <xdr:row>44</xdr:row>
          <xdr:rowOff>114300</xdr:rowOff>
        </xdr:to>
        <xdr:sp macro="" textlink="">
          <xdr:nvSpPr>
            <xdr:cNvPr id="9234" name="Check Box 18" hidden="1">
              <a:extLst>
                <a:ext uri="{63B3BB69-23CF-44E3-9099-C40C66FF867C}">
                  <a14:compatExt spid="_x0000_s9234"/>
                </a:ext>
                <a:ext uri="{FF2B5EF4-FFF2-40B4-BE49-F238E27FC236}">
                  <a16:creationId xmlns:a16="http://schemas.microsoft.com/office/drawing/2014/main" id="{00000000-0008-0000-0500-00001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114300</xdr:rowOff>
        </xdr:from>
        <xdr:to>
          <xdr:col>12</xdr:col>
          <xdr:colOff>152400</xdr:colOff>
          <xdr:row>44</xdr:row>
          <xdr:rowOff>104775</xdr:rowOff>
        </xdr:to>
        <xdr:sp macro="" textlink="">
          <xdr:nvSpPr>
            <xdr:cNvPr id="9235" name="Check Box 19" hidden="1">
              <a:extLst>
                <a:ext uri="{63B3BB69-23CF-44E3-9099-C40C66FF867C}">
                  <a14:compatExt spid="_x0000_s9235"/>
                </a:ext>
                <a:ext uri="{FF2B5EF4-FFF2-40B4-BE49-F238E27FC236}">
                  <a16:creationId xmlns:a16="http://schemas.microsoft.com/office/drawing/2014/main" id="{00000000-0008-0000-0500-00001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52</xdr:row>
          <xdr:rowOff>85725</xdr:rowOff>
        </xdr:from>
        <xdr:to>
          <xdr:col>8</xdr:col>
          <xdr:colOff>171450</xdr:colOff>
          <xdr:row>53</xdr:row>
          <xdr:rowOff>85725</xdr:rowOff>
        </xdr:to>
        <xdr:sp macro="" textlink="">
          <xdr:nvSpPr>
            <xdr:cNvPr id="9236" name="Check Box 20" hidden="1">
              <a:extLst>
                <a:ext uri="{63B3BB69-23CF-44E3-9099-C40C66FF867C}">
                  <a14:compatExt spid="_x0000_s9236"/>
                </a:ext>
                <a:ext uri="{FF2B5EF4-FFF2-40B4-BE49-F238E27FC236}">
                  <a16:creationId xmlns:a16="http://schemas.microsoft.com/office/drawing/2014/main" id="{00000000-0008-0000-0500-00001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219075</xdr:colOff>
          <xdr:row>52</xdr:row>
          <xdr:rowOff>85725</xdr:rowOff>
        </xdr:from>
        <xdr:to>
          <xdr:col>11</xdr:col>
          <xdr:colOff>0</xdr:colOff>
          <xdr:row>53</xdr:row>
          <xdr:rowOff>85725</xdr:rowOff>
        </xdr:to>
        <xdr:sp macro="" textlink="">
          <xdr:nvSpPr>
            <xdr:cNvPr id="9237" name="Check Box 21" hidden="1">
              <a:extLst>
                <a:ext uri="{63B3BB69-23CF-44E3-9099-C40C66FF867C}">
                  <a14:compatExt spid="_x0000_s9237"/>
                </a:ext>
                <a:ext uri="{FF2B5EF4-FFF2-40B4-BE49-F238E27FC236}">
                  <a16:creationId xmlns:a16="http://schemas.microsoft.com/office/drawing/2014/main" id="{00000000-0008-0000-0500-00001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47</xdr:row>
      <xdr:rowOff>5443</xdr:rowOff>
    </xdr:from>
    <xdr:to>
      <xdr:col>14</xdr:col>
      <xdr:colOff>152400</xdr:colOff>
      <xdr:row>50</xdr:row>
      <xdr:rowOff>81643</xdr:rowOff>
    </xdr:to>
    <xdr:cxnSp macro="">
      <xdr:nvCxnSpPr>
        <xdr:cNvPr id="54" name="Gerader Verbinder 53">
          <a:extLst>
            <a:ext uri="{FF2B5EF4-FFF2-40B4-BE49-F238E27FC236}">
              <a16:creationId xmlns:a16="http://schemas.microsoft.com/office/drawing/2014/main" id="{00000000-0008-0000-0500-000036000000}"/>
            </a:ext>
          </a:extLst>
        </xdr:cNvPr>
        <xdr:cNvCxnSpPr/>
      </xdr:nvCxnSpPr>
      <xdr:spPr>
        <a:xfrm>
          <a:off x="3695700" y="7920718"/>
          <a:ext cx="0" cy="561975"/>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30</xdr:col>
          <xdr:colOff>0</xdr:colOff>
          <xdr:row>54</xdr:row>
          <xdr:rowOff>142875</xdr:rowOff>
        </xdr:from>
        <xdr:to>
          <xdr:col>31</xdr:col>
          <xdr:colOff>0</xdr:colOff>
          <xdr:row>55</xdr:row>
          <xdr:rowOff>142875</xdr:rowOff>
        </xdr:to>
        <xdr:sp macro="" textlink="">
          <xdr:nvSpPr>
            <xdr:cNvPr id="9238" name="Check Box 22" hidden="1">
              <a:extLst>
                <a:ext uri="{63B3BB69-23CF-44E3-9099-C40C66FF867C}">
                  <a14:compatExt spid="_x0000_s9238"/>
                </a:ext>
                <a:ext uri="{FF2B5EF4-FFF2-40B4-BE49-F238E27FC236}">
                  <a16:creationId xmlns:a16="http://schemas.microsoft.com/office/drawing/2014/main" id="{00000000-0008-0000-0500-00001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xdr:col>
      <xdr:colOff>19050</xdr:colOff>
      <xdr:row>47</xdr:row>
      <xdr:rowOff>16329</xdr:rowOff>
    </xdr:from>
    <xdr:to>
      <xdr:col>4</xdr:col>
      <xdr:colOff>19050</xdr:colOff>
      <xdr:row>50</xdr:row>
      <xdr:rowOff>70757</xdr:rowOff>
    </xdr:to>
    <xdr:cxnSp macro="">
      <xdr:nvCxnSpPr>
        <xdr:cNvPr id="56" name="Gerader Verbinder 55">
          <a:extLst>
            <a:ext uri="{FF2B5EF4-FFF2-40B4-BE49-F238E27FC236}">
              <a16:creationId xmlns:a16="http://schemas.microsoft.com/office/drawing/2014/main" id="{00000000-0008-0000-0500-000038000000}"/>
            </a:ext>
          </a:extLst>
        </xdr:cNvPr>
        <xdr:cNvCxnSpPr/>
      </xdr:nvCxnSpPr>
      <xdr:spPr>
        <a:xfrm>
          <a:off x="1371600" y="7931604"/>
          <a:ext cx="0" cy="540203"/>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37</xdr:col>
          <xdr:colOff>219075</xdr:colOff>
          <xdr:row>55</xdr:row>
          <xdr:rowOff>0</xdr:rowOff>
        </xdr:from>
        <xdr:to>
          <xdr:col>39</xdr:col>
          <xdr:colOff>0</xdr:colOff>
          <xdr:row>56</xdr:row>
          <xdr:rowOff>0</xdr:rowOff>
        </xdr:to>
        <xdr:sp macro="" textlink="">
          <xdr:nvSpPr>
            <xdr:cNvPr id="9239" name="Check Box 23" hidden="1">
              <a:extLst>
                <a:ext uri="{63B3BB69-23CF-44E3-9099-C40C66FF867C}">
                  <a14:compatExt spid="_x0000_s9239"/>
                </a:ext>
                <a:ext uri="{FF2B5EF4-FFF2-40B4-BE49-F238E27FC236}">
                  <a16:creationId xmlns:a16="http://schemas.microsoft.com/office/drawing/2014/main" id="{00000000-0008-0000-0500-00001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9240" name="Check Box 24" hidden="1">
              <a:extLst>
                <a:ext uri="{63B3BB69-23CF-44E3-9099-C40C66FF867C}">
                  <a14:compatExt spid="_x0000_s9240"/>
                </a:ext>
                <a:ext uri="{FF2B5EF4-FFF2-40B4-BE49-F238E27FC236}">
                  <a16:creationId xmlns:a16="http://schemas.microsoft.com/office/drawing/2014/main" id="{00000000-0008-0000-0500-00001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33</xdr:col>
          <xdr:colOff>180975</xdr:colOff>
          <xdr:row>62</xdr:row>
          <xdr:rowOff>0</xdr:rowOff>
        </xdr:from>
        <xdr:to>
          <xdr:col>34</xdr:col>
          <xdr:colOff>190500</xdr:colOff>
          <xdr:row>63</xdr:row>
          <xdr:rowOff>9525</xdr:rowOff>
        </xdr:to>
        <xdr:sp macro="" textlink="">
          <xdr:nvSpPr>
            <xdr:cNvPr id="9241" name="Check Box 25" hidden="1">
              <a:extLst>
                <a:ext uri="{63B3BB69-23CF-44E3-9099-C40C66FF867C}">
                  <a14:compatExt spid="_x0000_s9241"/>
                </a:ext>
                <a:ext uri="{FF2B5EF4-FFF2-40B4-BE49-F238E27FC236}">
                  <a16:creationId xmlns:a16="http://schemas.microsoft.com/office/drawing/2014/main" id="{00000000-0008-0000-0500-00001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104775</xdr:colOff>
          <xdr:row>62</xdr:row>
          <xdr:rowOff>0</xdr:rowOff>
        </xdr:from>
        <xdr:to>
          <xdr:col>38</xdr:col>
          <xdr:colOff>104775</xdr:colOff>
          <xdr:row>63</xdr:row>
          <xdr:rowOff>19050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57150</xdr:colOff>
          <xdr:row>62</xdr:row>
          <xdr:rowOff>0</xdr:rowOff>
        </xdr:from>
        <xdr:to>
          <xdr:col>42</xdr:col>
          <xdr:colOff>57150</xdr:colOff>
          <xdr:row>63</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9244" name="Check Box 28" hidden="1">
              <a:extLst>
                <a:ext uri="{63B3BB69-23CF-44E3-9099-C40C66FF867C}">
                  <a14:compatExt spid="_x0000_s9244"/>
                </a:ext>
                <a:ext uri="{FF2B5EF4-FFF2-40B4-BE49-F238E27FC236}">
                  <a16:creationId xmlns:a16="http://schemas.microsoft.com/office/drawing/2014/main" id="{00000000-0008-0000-0500-00001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9245" name="Check Box 29" hidden="1">
              <a:extLst>
                <a:ext uri="{63B3BB69-23CF-44E3-9099-C40C66FF867C}">
                  <a14:compatExt spid="_x0000_s9245"/>
                </a:ext>
                <a:ext uri="{FF2B5EF4-FFF2-40B4-BE49-F238E27FC236}">
                  <a16:creationId xmlns:a16="http://schemas.microsoft.com/office/drawing/2014/main" id="{00000000-0008-0000-0500-00001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9246" name="Check Box 30" hidden="1">
              <a:extLst>
                <a:ext uri="{63B3BB69-23CF-44E3-9099-C40C66FF867C}">
                  <a14:compatExt spid="_x0000_s9246"/>
                </a:ext>
                <a:ext uri="{FF2B5EF4-FFF2-40B4-BE49-F238E27FC236}">
                  <a16:creationId xmlns:a16="http://schemas.microsoft.com/office/drawing/2014/main" id="{00000000-0008-0000-0500-00001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9247" name="Check Box 31" hidden="1">
              <a:extLst>
                <a:ext uri="{63B3BB69-23CF-44E3-9099-C40C66FF867C}">
                  <a14:compatExt spid="_x0000_s9247"/>
                </a:ext>
                <a:ext uri="{FF2B5EF4-FFF2-40B4-BE49-F238E27FC236}">
                  <a16:creationId xmlns:a16="http://schemas.microsoft.com/office/drawing/2014/main" id="{00000000-0008-0000-0500-00001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66" name="Gerader Verbinder 65">
          <a:extLst>
            <a:ext uri="{FF2B5EF4-FFF2-40B4-BE49-F238E27FC236}">
              <a16:creationId xmlns:a16="http://schemas.microsoft.com/office/drawing/2014/main" id="{00000000-0008-0000-0500-000042000000}"/>
            </a:ext>
          </a:extLst>
        </xdr:cNvPr>
        <xdr:cNvCxnSpPr/>
      </xdr:nvCxnSpPr>
      <xdr:spPr>
        <a:xfrm>
          <a:off x="5464488" y="7953492"/>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67" name="Gerader Verbinder 66">
          <a:extLst>
            <a:ext uri="{FF2B5EF4-FFF2-40B4-BE49-F238E27FC236}">
              <a16:creationId xmlns:a16="http://schemas.microsoft.com/office/drawing/2014/main" id="{00000000-0008-0000-0500-000043000000}"/>
            </a:ext>
          </a:extLst>
        </xdr:cNvPr>
        <xdr:cNvCxnSpPr/>
      </xdr:nvCxnSpPr>
      <xdr:spPr>
        <a:xfrm>
          <a:off x="5620705" y="7337270"/>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68" name="Gerader Verbinder 67">
          <a:extLst>
            <a:ext uri="{FF2B5EF4-FFF2-40B4-BE49-F238E27FC236}">
              <a16:creationId xmlns:a16="http://schemas.microsoft.com/office/drawing/2014/main" id="{00000000-0008-0000-0500-000044000000}"/>
            </a:ext>
          </a:extLst>
        </xdr:cNvPr>
        <xdr:cNvCxnSpPr/>
      </xdr:nvCxnSpPr>
      <xdr:spPr>
        <a:xfrm>
          <a:off x="5094773" y="7432788"/>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69" name="Gerader Verbinder 68">
          <a:extLst>
            <a:ext uri="{FF2B5EF4-FFF2-40B4-BE49-F238E27FC236}">
              <a16:creationId xmlns:a16="http://schemas.microsoft.com/office/drawing/2014/main" id="{00000000-0008-0000-0500-000045000000}"/>
            </a:ext>
          </a:extLst>
        </xdr:cNvPr>
        <xdr:cNvCxnSpPr/>
      </xdr:nvCxnSpPr>
      <xdr:spPr>
        <a:xfrm flipV="1">
          <a:off x="5564542" y="7375392"/>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70" name="Gerader Verbinder 69">
          <a:extLst>
            <a:ext uri="{FF2B5EF4-FFF2-40B4-BE49-F238E27FC236}">
              <a16:creationId xmlns:a16="http://schemas.microsoft.com/office/drawing/2014/main" id="{00000000-0008-0000-0500-000046000000}"/>
            </a:ext>
          </a:extLst>
        </xdr:cNvPr>
        <xdr:cNvCxnSpPr/>
      </xdr:nvCxnSpPr>
      <xdr:spPr>
        <a:xfrm flipV="1">
          <a:off x="5564542" y="7893692"/>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9248" name="Check Box 32" hidden="1">
              <a:extLst>
                <a:ext uri="{63B3BB69-23CF-44E3-9099-C40C66FF867C}">
                  <a14:compatExt spid="_x0000_s9248"/>
                </a:ext>
                <a:ext uri="{FF2B5EF4-FFF2-40B4-BE49-F238E27FC236}">
                  <a16:creationId xmlns:a16="http://schemas.microsoft.com/office/drawing/2014/main" id="{00000000-0008-0000-0500-00002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9249" name="Check Box 33" hidden="1">
              <a:extLst>
                <a:ext uri="{63B3BB69-23CF-44E3-9099-C40C66FF867C}">
                  <a14:compatExt spid="_x0000_s9249"/>
                </a:ext>
                <a:ext uri="{FF2B5EF4-FFF2-40B4-BE49-F238E27FC236}">
                  <a16:creationId xmlns:a16="http://schemas.microsoft.com/office/drawing/2014/main" id="{00000000-0008-0000-0500-00002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9250" name="Check Box 34" hidden="1">
              <a:extLst>
                <a:ext uri="{63B3BB69-23CF-44E3-9099-C40C66FF867C}">
                  <a14:compatExt spid="_x0000_s9250"/>
                </a:ext>
                <a:ext uri="{FF2B5EF4-FFF2-40B4-BE49-F238E27FC236}">
                  <a16:creationId xmlns:a16="http://schemas.microsoft.com/office/drawing/2014/main" id="{00000000-0008-0000-0500-00002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9251" name="Check Box 35" hidden="1">
              <a:extLst>
                <a:ext uri="{63B3BB69-23CF-44E3-9099-C40C66FF867C}">
                  <a14:compatExt spid="_x0000_s9251"/>
                </a:ext>
                <a:ext uri="{FF2B5EF4-FFF2-40B4-BE49-F238E27FC236}">
                  <a16:creationId xmlns:a16="http://schemas.microsoft.com/office/drawing/2014/main" id="{00000000-0008-0000-0500-00002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9252" name="Check Box 36" hidden="1">
              <a:extLst>
                <a:ext uri="{63B3BB69-23CF-44E3-9099-C40C66FF867C}">
                  <a14:compatExt spid="_x0000_s9252"/>
                </a:ext>
                <a:ext uri="{FF2B5EF4-FFF2-40B4-BE49-F238E27FC236}">
                  <a16:creationId xmlns:a16="http://schemas.microsoft.com/office/drawing/2014/main" id="{00000000-0008-0000-0500-00002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9253" name="Check Box 37" hidden="1">
              <a:extLst>
                <a:ext uri="{63B3BB69-23CF-44E3-9099-C40C66FF867C}">
                  <a14:compatExt spid="_x0000_s9253"/>
                </a:ext>
                <a:ext uri="{FF2B5EF4-FFF2-40B4-BE49-F238E27FC236}">
                  <a16:creationId xmlns:a16="http://schemas.microsoft.com/office/drawing/2014/main" id="{00000000-0008-0000-0500-00002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9254" name="Check Box 38" hidden="1">
              <a:extLst>
                <a:ext uri="{63B3BB69-23CF-44E3-9099-C40C66FF867C}">
                  <a14:compatExt spid="_x0000_s9254"/>
                </a:ext>
                <a:ext uri="{FF2B5EF4-FFF2-40B4-BE49-F238E27FC236}">
                  <a16:creationId xmlns:a16="http://schemas.microsoft.com/office/drawing/2014/main" id="{00000000-0008-0000-0500-00002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89</xdr:row>
          <xdr:rowOff>0</xdr:rowOff>
        </xdr:from>
        <xdr:to>
          <xdr:col>21</xdr:col>
          <xdr:colOff>0</xdr:colOff>
          <xdr:row>90</xdr:row>
          <xdr:rowOff>0</xdr:rowOff>
        </xdr:to>
        <xdr:sp macro="" textlink="">
          <xdr:nvSpPr>
            <xdr:cNvPr id="9255" name="Check Box 39" hidden="1">
              <a:extLst>
                <a:ext uri="{63B3BB69-23CF-44E3-9099-C40C66FF867C}">
                  <a14:compatExt spid="_x0000_s9255"/>
                </a:ext>
                <a:ext uri="{FF2B5EF4-FFF2-40B4-BE49-F238E27FC236}">
                  <a16:creationId xmlns:a16="http://schemas.microsoft.com/office/drawing/2014/main" id="{00000000-0008-0000-0500-00002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219075</xdr:colOff>
          <xdr:row>95</xdr:row>
          <xdr:rowOff>0</xdr:rowOff>
        </xdr:from>
        <xdr:to>
          <xdr:col>21</xdr:col>
          <xdr:colOff>0</xdr:colOff>
          <xdr:row>96</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500-00002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70757</xdr:rowOff>
    </xdr:from>
    <xdr:to>
      <xdr:col>16</xdr:col>
      <xdr:colOff>156882</xdr:colOff>
      <xdr:row>75</xdr:row>
      <xdr:rowOff>133829</xdr:rowOff>
    </xdr:to>
    <xdr:sp macro="" textlink="">
      <xdr:nvSpPr>
        <xdr:cNvPr id="80" name="Rechteck 79">
          <a:extLst>
            <a:ext uri="{FF2B5EF4-FFF2-40B4-BE49-F238E27FC236}">
              <a16:creationId xmlns:a16="http://schemas.microsoft.com/office/drawing/2014/main" id="{00000000-0008-0000-0500-000050000000}"/>
            </a:ext>
          </a:extLst>
        </xdr:cNvPr>
        <xdr:cNvSpPr/>
      </xdr:nvSpPr>
      <xdr:spPr>
        <a:xfrm>
          <a:off x="3964620" y="12034157"/>
          <a:ext cx="173712" cy="54884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500-00002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9258" name="Check Box 42" hidden="1">
              <a:extLst>
                <a:ext uri="{63B3BB69-23CF-44E3-9099-C40C66FF867C}">
                  <a14:compatExt spid="_x0000_s9258"/>
                </a:ext>
                <a:ext uri="{FF2B5EF4-FFF2-40B4-BE49-F238E27FC236}">
                  <a16:creationId xmlns:a16="http://schemas.microsoft.com/office/drawing/2014/main" id="{00000000-0008-0000-0500-00002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9259" name="Check Box 43" hidden="1">
              <a:extLst>
                <a:ext uri="{63B3BB69-23CF-44E3-9099-C40C66FF867C}">
                  <a14:compatExt spid="_x0000_s9259"/>
                </a:ext>
                <a:ext uri="{FF2B5EF4-FFF2-40B4-BE49-F238E27FC236}">
                  <a16:creationId xmlns:a16="http://schemas.microsoft.com/office/drawing/2014/main" id="{00000000-0008-0000-0500-00002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92528</xdr:rowOff>
    </xdr:to>
    <xdr:sp macro="" textlink="">
      <xdr:nvSpPr>
        <xdr:cNvPr id="84" name="Rechteck 83">
          <a:extLst>
            <a:ext uri="{FF2B5EF4-FFF2-40B4-BE49-F238E27FC236}">
              <a16:creationId xmlns:a16="http://schemas.microsoft.com/office/drawing/2014/main" id="{00000000-0008-0000-0500-000054000000}"/>
            </a:ext>
          </a:extLst>
        </xdr:cNvPr>
        <xdr:cNvSpPr/>
      </xdr:nvSpPr>
      <xdr:spPr>
        <a:xfrm>
          <a:off x="3432341" y="13056396"/>
          <a:ext cx="186551" cy="60925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104775</xdr:colOff>
          <xdr:row>80</xdr:row>
          <xdr:rowOff>152400</xdr:rowOff>
        </xdr:from>
        <xdr:to>
          <xdr:col>14</xdr:col>
          <xdr:colOff>104775</xdr:colOff>
          <xdr:row>82</xdr:row>
          <xdr:rowOff>0</xdr:rowOff>
        </xdr:to>
        <xdr:sp macro="" textlink="">
          <xdr:nvSpPr>
            <xdr:cNvPr id="9260" name="Check Box 44" hidden="1">
              <a:extLst>
                <a:ext uri="{63B3BB69-23CF-44E3-9099-C40C66FF867C}">
                  <a14:compatExt spid="_x0000_s9260"/>
                </a:ext>
                <a:ext uri="{FF2B5EF4-FFF2-40B4-BE49-F238E27FC236}">
                  <a16:creationId xmlns:a16="http://schemas.microsoft.com/office/drawing/2014/main" id="{00000000-0008-0000-0500-00002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86" name="Rechteck 85">
          <a:extLst>
            <a:ext uri="{FF2B5EF4-FFF2-40B4-BE49-F238E27FC236}">
              <a16:creationId xmlns:a16="http://schemas.microsoft.com/office/drawing/2014/main" id="{00000000-0008-0000-0500-000056000000}"/>
            </a:ext>
          </a:extLst>
        </xdr:cNvPr>
        <xdr:cNvSpPr/>
      </xdr:nvSpPr>
      <xdr:spPr>
        <a:xfrm>
          <a:off x="3365106" y="10348002"/>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9261" name="Check Box 45" hidden="1">
              <a:extLst>
                <a:ext uri="{63B3BB69-23CF-44E3-9099-C40C66FF867C}">
                  <a14:compatExt spid="_x0000_s9261"/>
                </a:ext>
                <a:ext uri="{FF2B5EF4-FFF2-40B4-BE49-F238E27FC236}">
                  <a16:creationId xmlns:a16="http://schemas.microsoft.com/office/drawing/2014/main" id="{00000000-0008-0000-0500-00002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55</xdr:row>
          <xdr:rowOff>0</xdr:rowOff>
        </xdr:from>
        <xdr:to>
          <xdr:col>24</xdr:col>
          <xdr:colOff>0</xdr:colOff>
          <xdr:row>56</xdr:row>
          <xdr:rowOff>38100</xdr:rowOff>
        </xdr:to>
        <xdr:sp macro="" textlink="">
          <xdr:nvSpPr>
            <xdr:cNvPr id="9262" name="Check Box 46" hidden="1">
              <a:extLst>
                <a:ext uri="{63B3BB69-23CF-44E3-9099-C40C66FF867C}">
                  <a14:compatExt spid="_x0000_s9262"/>
                </a:ext>
                <a:ext uri="{FF2B5EF4-FFF2-40B4-BE49-F238E27FC236}">
                  <a16:creationId xmlns:a16="http://schemas.microsoft.com/office/drawing/2014/main" id="{00000000-0008-0000-0500-00002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89" name="Gerader Verbinder 88">
          <a:extLst>
            <a:ext uri="{FF2B5EF4-FFF2-40B4-BE49-F238E27FC236}">
              <a16:creationId xmlns:a16="http://schemas.microsoft.com/office/drawing/2014/main" id="{00000000-0008-0000-0500-000059000000}"/>
            </a:ext>
          </a:extLst>
        </xdr:cNvPr>
        <xdr:cNvCxnSpPr/>
      </xdr:nvCxnSpPr>
      <xdr:spPr>
        <a:xfrm flipV="1">
          <a:off x="1296709" y="4890327"/>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39</xdr:col>
          <xdr:colOff>0</xdr:colOff>
          <xdr:row>33</xdr:row>
          <xdr:rowOff>0</xdr:rowOff>
        </xdr:from>
        <xdr:to>
          <xdr:col>40</xdr:col>
          <xdr:colOff>0</xdr:colOff>
          <xdr:row>34</xdr:row>
          <xdr:rowOff>0</xdr:rowOff>
        </xdr:to>
        <xdr:sp macro="" textlink="">
          <xdr:nvSpPr>
            <xdr:cNvPr id="9263" name="Check Box 47" hidden="1">
              <a:extLst>
                <a:ext uri="{63B3BB69-23CF-44E3-9099-C40C66FF867C}">
                  <a14:compatExt spid="_x0000_s9263"/>
                </a:ext>
                <a:ext uri="{FF2B5EF4-FFF2-40B4-BE49-F238E27FC236}">
                  <a16:creationId xmlns:a16="http://schemas.microsoft.com/office/drawing/2014/main" id="{00000000-0008-0000-0500-00002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160442</xdr:colOff>
      <xdr:row>27</xdr:row>
      <xdr:rowOff>171880</xdr:rowOff>
    </xdr:from>
    <xdr:to>
      <xdr:col>8</xdr:col>
      <xdr:colOff>52827</xdr:colOff>
      <xdr:row>28</xdr:row>
      <xdr:rowOff>57668</xdr:rowOff>
    </xdr:to>
    <xdr:cxnSp macro="">
      <xdr:nvCxnSpPr>
        <xdr:cNvPr id="91" name="Gerader Verbinder 90">
          <a:extLst>
            <a:ext uri="{FF2B5EF4-FFF2-40B4-BE49-F238E27FC236}">
              <a16:creationId xmlns:a16="http://schemas.microsoft.com/office/drawing/2014/main" id="{00000000-0008-0000-0500-00005B000000}"/>
            </a:ext>
          </a:extLst>
        </xdr:cNvPr>
        <xdr:cNvCxnSpPr/>
      </xdr:nvCxnSpPr>
      <xdr:spPr>
        <a:xfrm flipV="1">
          <a:off x="2170217" y="4896280"/>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92" name="Gerader Verbinder 91">
          <a:extLst>
            <a:ext uri="{FF2B5EF4-FFF2-40B4-BE49-F238E27FC236}">
              <a16:creationId xmlns:a16="http://schemas.microsoft.com/office/drawing/2014/main" id="{00000000-0008-0000-0500-00005C000000}"/>
            </a:ext>
          </a:extLst>
        </xdr:cNvPr>
        <xdr:cNvCxnSpPr/>
      </xdr:nvCxnSpPr>
      <xdr:spPr>
        <a:xfrm flipV="1">
          <a:off x="3044135" y="4899852"/>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93" name="Gerader Verbinder 92">
          <a:extLst>
            <a:ext uri="{FF2B5EF4-FFF2-40B4-BE49-F238E27FC236}">
              <a16:creationId xmlns:a16="http://schemas.microsoft.com/office/drawing/2014/main" id="{00000000-0008-0000-0500-00005D000000}"/>
            </a:ext>
          </a:extLst>
        </xdr:cNvPr>
        <xdr:cNvCxnSpPr/>
      </xdr:nvCxnSpPr>
      <xdr:spPr>
        <a:xfrm flipV="1">
          <a:off x="3924007" y="4897471"/>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94" name="Gerader Verbinder 93">
          <a:extLst>
            <a:ext uri="{FF2B5EF4-FFF2-40B4-BE49-F238E27FC236}">
              <a16:creationId xmlns:a16="http://schemas.microsoft.com/office/drawing/2014/main" id="{00000000-0008-0000-0500-00005E000000}"/>
            </a:ext>
          </a:extLst>
        </xdr:cNvPr>
        <xdr:cNvCxnSpPr/>
      </xdr:nvCxnSpPr>
      <xdr:spPr>
        <a:xfrm flipV="1">
          <a:off x="4797925" y="4895090"/>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95" name="Gerader Verbinder 94">
          <a:extLst>
            <a:ext uri="{FF2B5EF4-FFF2-40B4-BE49-F238E27FC236}">
              <a16:creationId xmlns:a16="http://schemas.microsoft.com/office/drawing/2014/main" id="{00000000-0008-0000-0500-00005F000000}"/>
            </a:ext>
          </a:extLst>
        </xdr:cNvPr>
        <xdr:cNvCxnSpPr/>
      </xdr:nvCxnSpPr>
      <xdr:spPr>
        <a:xfrm flipV="1">
          <a:off x="5677797" y="4898662"/>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96" name="Gerader Verbinder 95">
          <a:extLst>
            <a:ext uri="{FF2B5EF4-FFF2-40B4-BE49-F238E27FC236}">
              <a16:creationId xmlns:a16="http://schemas.microsoft.com/office/drawing/2014/main" id="{00000000-0008-0000-0500-000060000000}"/>
            </a:ext>
          </a:extLst>
        </xdr:cNvPr>
        <xdr:cNvCxnSpPr/>
      </xdr:nvCxnSpPr>
      <xdr:spPr>
        <a:xfrm flipV="1">
          <a:off x="6551715" y="4896281"/>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97" name="Gerader Verbinder 96">
          <a:extLst>
            <a:ext uri="{FF2B5EF4-FFF2-40B4-BE49-F238E27FC236}">
              <a16:creationId xmlns:a16="http://schemas.microsoft.com/office/drawing/2014/main" id="{00000000-0008-0000-0500-000061000000}"/>
            </a:ext>
          </a:extLst>
        </xdr:cNvPr>
        <xdr:cNvCxnSpPr/>
      </xdr:nvCxnSpPr>
      <xdr:spPr>
        <a:xfrm flipV="1">
          <a:off x="7431587" y="4893900"/>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98" name="Gerader Verbinder 97">
          <a:extLst>
            <a:ext uri="{FF2B5EF4-FFF2-40B4-BE49-F238E27FC236}">
              <a16:creationId xmlns:a16="http://schemas.microsoft.com/office/drawing/2014/main" id="{00000000-0008-0000-0500-000062000000}"/>
            </a:ext>
          </a:extLst>
        </xdr:cNvPr>
        <xdr:cNvCxnSpPr/>
      </xdr:nvCxnSpPr>
      <xdr:spPr>
        <a:xfrm flipV="1">
          <a:off x="8305505" y="4897472"/>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99" name="Gerader Verbinder 98">
          <a:extLst>
            <a:ext uri="{FF2B5EF4-FFF2-40B4-BE49-F238E27FC236}">
              <a16:creationId xmlns:a16="http://schemas.microsoft.com/office/drawing/2014/main" id="{00000000-0008-0000-0500-000063000000}"/>
            </a:ext>
          </a:extLst>
        </xdr:cNvPr>
        <xdr:cNvCxnSpPr/>
      </xdr:nvCxnSpPr>
      <xdr:spPr>
        <a:xfrm flipV="1">
          <a:off x="9179424" y="4889138"/>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100" name="Gerader Verbinder 99">
          <a:extLst>
            <a:ext uri="{FF2B5EF4-FFF2-40B4-BE49-F238E27FC236}">
              <a16:creationId xmlns:a16="http://schemas.microsoft.com/office/drawing/2014/main" id="{00000000-0008-0000-0500-000064000000}"/>
            </a:ext>
          </a:extLst>
        </xdr:cNvPr>
        <xdr:cNvCxnSpPr/>
      </xdr:nvCxnSpPr>
      <xdr:spPr>
        <a:xfrm flipV="1">
          <a:off x="10059296" y="4898663"/>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101" name="Grafik 100">
          <a:extLst>
            <a:ext uri="{FF2B5EF4-FFF2-40B4-BE49-F238E27FC236}">
              <a16:creationId xmlns:a16="http://schemas.microsoft.com/office/drawing/2014/main" id="{00000000-0008-0000-0500-000065000000}"/>
            </a:ext>
          </a:extLst>
        </xdr:cNvPr>
        <xdr:cNvPicPr>
          <a:picLocks noChangeAspect="1"/>
        </xdr:cNvPicPr>
      </xdr:nvPicPr>
      <xdr:blipFill>
        <a:blip xmlns:r="http://schemas.openxmlformats.org/officeDocument/2006/relationships" r:embed="rId27"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9264" name="Check Box 48" hidden="1">
              <a:extLst>
                <a:ext uri="{63B3BB69-23CF-44E3-9099-C40C66FF867C}">
                  <a14:compatExt spid="_x0000_s9264"/>
                </a:ext>
                <a:ext uri="{FF2B5EF4-FFF2-40B4-BE49-F238E27FC236}">
                  <a16:creationId xmlns:a16="http://schemas.microsoft.com/office/drawing/2014/main" id="{00000000-0008-0000-0500-00003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9265" name="Check Box 49" hidden="1">
              <a:extLst>
                <a:ext uri="{63B3BB69-23CF-44E3-9099-C40C66FF867C}">
                  <a14:compatExt spid="_x0000_s9265"/>
                </a:ext>
                <a:ext uri="{FF2B5EF4-FFF2-40B4-BE49-F238E27FC236}">
                  <a16:creationId xmlns:a16="http://schemas.microsoft.com/office/drawing/2014/main" id="{00000000-0008-0000-0500-00003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56</xdr:row>
          <xdr:rowOff>19050</xdr:rowOff>
        </xdr:from>
        <xdr:to>
          <xdr:col>31</xdr:col>
          <xdr:colOff>0</xdr:colOff>
          <xdr:row>57</xdr:row>
          <xdr:rowOff>38100</xdr:rowOff>
        </xdr:to>
        <xdr:sp macro="" textlink="">
          <xdr:nvSpPr>
            <xdr:cNvPr id="9266" name="Check Box 50" hidden="1">
              <a:extLst>
                <a:ext uri="{63B3BB69-23CF-44E3-9099-C40C66FF867C}">
                  <a14:compatExt spid="_x0000_s9266"/>
                </a:ext>
                <a:ext uri="{FF2B5EF4-FFF2-40B4-BE49-F238E27FC236}">
                  <a16:creationId xmlns:a16="http://schemas.microsoft.com/office/drawing/2014/main" id="{00000000-0008-0000-0500-00003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9267" name="Check Box 51" hidden="1">
              <a:extLst>
                <a:ext uri="{63B3BB69-23CF-44E3-9099-C40C66FF867C}">
                  <a14:compatExt spid="_x0000_s9267"/>
                </a:ext>
                <a:ext uri="{FF2B5EF4-FFF2-40B4-BE49-F238E27FC236}">
                  <a16:creationId xmlns:a16="http://schemas.microsoft.com/office/drawing/2014/main" id="{00000000-0008-0000-0500-00003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106" name="Grafik 105">
          <a:extLst>
            <a:ext uri="{FF2B5EF4-FFF2-40B4-BE49-F238E27FC236}">
              <a16:creationId xmlns:a16="http://schemas.microsoft.com/office/drawing/2014/main" id="{00000000-0008-0000-0500-00006A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6277" t="10351" r="77528" b="74663"/>
        <a:stretch/>
      </xdr:blipFill>
      <xdr:spPr>
        <a:xfrm>
          <a:off x="6472514" y="16898661"/>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107" name="Grafik 106">
          <a:extLst>
            <a:ext uri="{FF2B5EF4-FFF2-40B4-BE49-F238E27FC236}">
              <a16:creationId xmlns:a16="http://schemas.microsoft.com/office/drawing/2014/main" id="{00000000-0008-0000-0500-00006B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25697" t="10250" r="56015" b="76270"/>
        <a:stretch/>
      </xdr:blipFill>
      <xdr:spPr>
        <a:xfrm>
          <a:off x="7721414" y="16884014"/>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108" name="Grafik 107">
          <a:extLst>
            <a:ext uri="{FF2B5EF4-FFF2-40B4-BE49-F238E27FC236}">
              <a16:creationId xmlns:a16="http://schemas.microsoft.com/office/drawing/2014/main" id="{00000000-0008-0000-0500-00006C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8824" t="10375" r="34746" b="74144"/>
        <a:stretch/>
      </xdr:blipFill>
      <xdr:spPr>
        <a:xfrm>
          <a:off x="9146522" y="16898008"/>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109" name="Grafik 108">
          <a:extLst>
            <a:ext uri="{FF2B5EF4-FFF2-40B4-BE49-F238E27FC236}">
              <a16:creationId xmlns:a16="http://schemas.microsoft.com/office/drawing/2014/main" id="{00000000-0008-0000-0500-00006D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6350" t="42700" r="40451" b="43145"/>
        <a:stretch/>
      </xdr:blipFill>
      <xdr:spPr>
        <a:xfrm>
          <a:off x="6563926" y="18569879"/>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165006</xdr:rowOff>
    </xdr:to>
    <xdr:pic>
      <xdr:nvPicPr>
        <xdr:cNvPr id="110" name="Grafik 109">
          <a:extLst>
            <a:ext uri="{FF2B5EF4-FFF2-40B4-BE49-F238E27FC236}">
              <a16:creationId xmlns:a16="http://schemas.microsoft.com/office/drawing/2014/main" id="{00000000-0008-0000-0500-00006E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6350" t="40330" r="40451" b="41065"/>
        <a:stretch/>
      </xdr:blipFill>
      <xdr:spPr>
        <a:xfrm>
          <a:off x="9225824" y="18345161"/>
          <a:ext cx="884662" cy="1784245"/>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111" name="Rechteck 110">
          <a:extLst>
            <a:ext uri="{FF2B5EF4-FFF2-40B4-BE49-F238E27FC236}">
              <a16:creationId xmlns:a16="http://schemas.microsoft.com/office/drawing/2014/main" id="{00000000-0008-0000-0500-00006F000000}"/>
            </a:ext>
          </a:extLst>
        </xdr:cNvPr>
        <xdr:cNvSpPr/>
      </xdr:nvSpPr>
      <xdr:spPr>
        <a:xfrm>
          <a:off x="7861588" y="18470240"/>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179295</xdr:rowOff>
    </xdr:to>
    <xdr:pic>
      <xdr:nvPicPr>
        <xdr:cNvPr id="112" name="Grafik 111">
          <a:extLst>
            <a:ext uri="{FF2B5EF4-FFF2-40B4-BE49-F238E27FC236}">
              <a16:creationId xmlns:a16="http://schemas.microsoft.com/office/drawing/2014/main" id="{00000000-0008-0000-0500-000070000000}"/>
            </a:ext>
          </a:extLst>
        </xdr:cNvPr>
        <xdr:cNvPicPr>
          <a:picLocks noChangeAspect="1"/>
        </xdr:cNvPicPr>
      </xdr:nvPicPr>
      <xdr:blipFill rotWithShape="1">
        <a:blip xmlns:r="http://schemas.openxmlformats.org/officeDocument/2006/relationships" r:embed="rId29" cstate="print">
          <a:duotone>
            <a:prstClr val="black"/>
            <a:schemeClr val="accent3">
              <a:tint val="45000"/>
              <a:satMod val="400000"/>
            </a:schemeClr>
          </a:duotone>
          <a:extLst>
            <a:ext uri="{BEBA8EAE-BF5A-486C-A8C5-ECC9F3942E4B}">
              <a14:imgProps xmlns:a14="http://schemas.microsoft.com/office/drawing/2010/main">
                <a14:imgLayer r:embed="rId30">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08156"/>
          <a:ext cx="3941304" cy="2183464"/>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116522</xdr:rowOff>
    </xdr:to>
    <xdr:pic>
      <xdr:nvPicPr>
        <xdr:cNvPr id="113" name="Grafik 112">
          <a:extLst>
            <a:ext uri="{FF2B5EF4-FFF2-40B4-BE49-F238E27FC236}">
              <a16:creationId xmlns:a16="http://schemas.microsoft.com/office/drawing/2014/main" id="{00000000-0008-0000-0500-000071000000}"/>
            </a:ext>
          </a:extLst>
        </xdr:cNvPr>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val="0"/>
            </a:ext>
          </a:extLst>
        </a:blip>
        <a:srcRect l="63390" t="41256" r="16917" b="41369"/>
        <a:stretch/>
      </xdr:blipFill>
      <xdr:spPr>
        <a:xfrm>
          <a:off x="7709911" y="18472147"/>
          <a:ext cx="1332502" cy="1608775"/>
        </a:xfrm>
        <a:prstGeom prst="rect">
          <a:avLst/>
        </a:prstGeom>
      </xdr:spPr>
    </xdr:pic>
    <xdr:clientData/>
  </xdr:twoCellAnchor>
  <xdr:twoCellAnchor>
    <xdr:from>
      <xdr:col>17</xdr:col>
      <xdr:colOff>145677</xdr:colOff>
      <xdr:row>90</xdr:row>
      <xdr:rowOff>0</xdr:rowOff>
    </xdr:from>
    <xdr:to>
      <xdr:col>19</xdr:col>
      <xdr:colOff>56030</xdr:colOff>
      <xdr:row>92</xdr:row>
      <xdr:rowOff>145677</xdr:rowOff>
    </xdr:to>
    <xdr:sp macro="" textlink="">
      <xdr:nvSpPr>
        <xdr:cNvPr id="114" name="Rechteck 113">
          <a:extLst>
            <a:ext uri="{FF2B5EF4-FFF2-40B4-BE49-F238E27FC236}">
              <a16:creationId xmlns:a16="http://schemas.microsoft.com/office/drawing/2014/main" id="{00000000-0008-0000-0500-000072000000}"/>
            </a:ext>
          </a:extLst>
        </xdr:cNvPr>
        <xdr:cNvSpPr/>
      </xdr:nvSpPr>
      <xdr:spPr>
        <a:xfrm>
          <a:off x="4346202" y="14868525"/>
          <a:ext cx="348503" cy="46952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52</xdr:col>
      <xdr:colOff>81803</xdr:colOff>
      <xdr:row>24</xdr:row>
      <xdr:rowOff>9930</xdr:rowOff>
    </xdr:from>
    <xdr:to>
      <xdr:col>52</xdr:col>
      <xdr:colOff>535195</xdr:colOff>
      <xdr:row>25</xdr:row>
      <xdr:rowOff>111344</xdr:rowOff>
    </xdr:to>
    <xdr:sp macro="" textlink="">
      <xdr:nvSpPr>
        <xdr:cNvPr id="115" name="Pfeil nach rechts 16">
          <a:hlinkClick xmlns:r="http://schemas.openxmlformats.org/officeDocument/2006/relationships" r:id="rId32"/>
          <a:extLst>
            <a:ext uri="{FF2B5EF4-FFF2-40B4-BE49-F238E27FC236}">
              <a16:creationId xmlns:a16="http://schemas.microsoft.com/office/drawing/2014/main" id="{00000000-0008-0000-0500-000073000000}"/>
            </a:ext>
          </a:extLst>
        </xdr:cNvPr>
        <xdr:cNvSpPr/>
      </xdr:nvSpPr>
      <xdr:spPr>
        <a:xfrm>
          <a:off x="14883653" y="4286655"/>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39</xdr:col>
          <xdr:colOff>0</xdr:colOff>
          <xdr:row>33</xdr:row>
          <xdr:rowOff>152400</xdr:rowOff>
        </xdr:from>
        <xdr:to>
          <xdr:col>40</xdr:col>
          <xdr:colOff>0</xdr:colOff>
          <xdr:row>35</xdr:row>
          <xdr:rowOff>0</xdr:rowOff>
        </xdr:to>
        <xdr:sp macro="" textlink="">
          <xdr:nvSpPr>
            <xdr:cNvPr id="9268" name="Check Box 52" hidden="1">
              <a:extLst>
                <a:ext uri="{63B3BB69-23CF-44E3-9099-C40C66FF867C}">
                  <a14:compatExt spid="_x0000_s9268"/>
                </a:ext>
                <a:ext uri="{FF2B5EF4-FFF2-40B4-BE49-F238E27FC236}">
                  <a16:creationId xmlns:a16="http://schemas.microsoft.com/office/drawing/2014/main" id="{00000000-0008-0000-0500-00003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34</xdr:row>
          <xdr:rowOff>142875</xdr:rowOff>
        </xdr:from>
        <xdr:to>
          <xdr:col>40</xdr:col>
          <xdr:colOff>0</xdr:colOff>
          <xdr:row>36</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500-00003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35</xdr:row>
          <xdr:rowOff>142875</xdr:rowOff>
        </xdr:from>
        <xdr:to>
          <xdr:col>40</xdr:col>
          <xdr:colOff>0</xdr:colOff>
          <xdr:row>37</xdr:row>
          <xdr:rowOff>0</xdr:rowOff>
        </xdr:to>
        <xdr:sp macro="" textlink="">
          <xdr:nvSpPr>
            <xdr:cNvPr id="9270" name="Check Box 54" hidden="1">
              <a:extLst>
                <a:ext uri="{63B3BB69-23CF-44E3-9099-C40C66FF867C}">
                  <a14:compatExt spid="_x0000_s9270"/>
                </a:ext>
                <a:ext uri="{FF2B5EF4-FFF2-40B4-BE49-F238E27FC236}">
                  <a16:creationId xmlns:a16="http://schemas.microsoft.com/office/drawing/2014/main" id="{00000000-0008-0000-0500-00003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38</xdr:row>
          <xdr:rowOff>142875</xdr:rowOff>
        </xdr:from>
        <xdr:to>
          <xdr:col>31</xdr:col>
          <xdr:colOff>0</xdr:colOff>
          <xdr:row>40</xdr:row>
          <xdr:rowOff>0</xdr:rowOff>
        </xdr:to>
        <xdr:sp macro="" textlink="">
          <xdr:nvSpPr>
            <xdr:cNvPr id="9271" name="Check Box 55" hidden="1">
              <a:extLst>
                <a:ext uri="{63B3BB69-23CF-44E3-9099-C40C66FF867C}">
                  <a14:compatExt spid="_x0000_s9271"/>
                </a:ext>
                <a:ext uri="{FF2B5EF4-FFF2-40B4-BE49-F238E27FC236}">
                  <a16:creationId xmlns:a16="http://schemas.microsoft.com/office/drawing/2014/main" id="{00000000-0008-0000-0500-00003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49</xdr:col>
      <xdr:colOff>49695</xdr:colOff>
      <xdr:row>75</xdr:row>
      <xdr:rowOff>34374</xdr:rowOff>
    </xdr:from>
    <xdr:to>
      <xdr:col>49</xdr:col>
      <xdr:colOff>749316</xdr:colOff>
      <xdr:row>79</xdr:row>
      <xdr:rowOff>132523</xdr:rowOff>
    </xdr:to>
    <xdr:pic>
      <xdr:nvPicPr>
        <xdr:cNvPr id="120" name="Grafik 119">
          <a:extLst>
            <a:ext uri="{FF2B5EF4-FFF2-40B4-BE49-F238E27FC236}">
              <a16:creationId xmlns:a16="http://schemas.microsoft.com/office/drawing/2014/main" id="{00000000-0008-0000-0500-000078000000}"/>
            </a:ext>
          </a:extLst>
        </xdr:cNvPr>
        <xdr:cNvPicPr>
          <a:picLocks noChangeAspect="1"/>
        </xdr:cNvPicPr>
      </xdr:nvPicPr>
      <xdr:blipFill rotWithShape="1">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Layer>
              </a14:imgProps>
            </a:ext>
          </a:extLst>
        </a:blip>
        <a:srcRect l="51024"/>
        <a:stretch/>
      </xdr:blipFill>
      <xdr:spPr>
        <a:xfrm>
          <a:off x="12060720" y="12483549"/>
          <a:ext cx="699621" cy="745849"/>
        </a:xfrm>
        <a:prstGeom prst="rect">
          <a:avLst/>
        </a:prstGeom>
        <a:ln>
          <a:noFill/>
        </a:ln>
      </xdr:spPr>
    </xdr:pic>
    <xdr:clientData/>
  </xdr:twoCellAnchor>
  <xdr:twoCellAnchor editAs="oneCell">
    <xdr:from>
      <xdr:col>48</xdr:col>
      <xdr:colOff>44726</xdr:colOff>
      <xdr:row>75</xdr:row>
      <xdr:rowOff>21121</xdr:rowOff>
    </xdr:from>
    <xdr:to>
      <xdr:col>48</xdr:col>
      <xdr:colOff>728870</xdr:colOff>
      <xdr:row>79</xdr:row>
      <xdr:rowOff>119270</xdr:rowOff>
    </xdr:to>
    <xdr:pic>
      <xdr:nvPicPr>
        <xdr:cNvPr id="121" name="Grafik 120">
          <a:extLst>
            <a:ext uri="{FF2B5EF4-FFF2-40B4-BE49-F238E27FC236}">
              <a16:creationId xmlns:a16="http://schemas.microsoft.com/office/drawing/2014/main" id="{00000000-0008-0000-0500-000079000000}"/>
            </a:ext>
          </a:extLst>
        </xdr:cNvPr>
        <xdr:cNvPicPr>
          <a:picLocks noChangeAspect="1"/>
        </xdr:cNvPicPr>
      </xdr:nvPicPr>
      <xdr:blipFill rotWithShape="1">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Layer>
              </a14:imgProps>
            </a:ext>
          </a:extLst>
        </a:blip>
        <a:srcRect r="52107"/>
        <a:stretch/>
      </xdr:blipFill>
      <xdr:spPr>
        <a:xfrm>
          <a:off x="11293751" y="12470296"/>
          <a:ext cx="684144" cy="745849"/>
        </a:xfrm>
        <a:prstGeom prst="rect">
          <a:avLst/>
        </a:prstGeom>
        <a:ln>
          <a:noFill/>
        </a:ln>
      </xdr:spPr>
    </xdr:pic>
    <xdr:clientData/>
  </xdr:twoCellAnchor>
  <xdr:twoCellAnchor editAs="oneCell">
    <xdr:from>
      <xdr:col>4</xdr:col>
      <xdr:colOff>173820</xdr:colOff>
      <xdr:row>61</xdr:row>
      <xdr:rowOff>147667</xdr:rowOff>
    </xdr:from>
    <xdr:to>
      <xdr:col>7</xdr:col>
      <xdr:colOff>165065</xdr:colOff>
      <xdr:row>68</xdr:row>
      <xdr:rowOff>142671</xdr:rowOff>
    </xdr:to>
    <xdr:pic>
      <xdr:nvPicPr>
        <xdr:cNvPr id="122" name="Grafik 121">
          <a:extLst>
            <a:ext uri="{FF2B5EF4-FFF2-40B4-BE49-F238E27FC236}">
              <a16:creationId xmlns:a16="http://schemas.microsoft.com/office/drawing/2014/main" id="{00000000-0008-0000-0500-00007A000000}"/>
            </a:ext>
          </a:extLst>
        </xdr:cNvPr>
        <xdr:cNvPicPr>
          <a:picLocks noChangeAspect="1"/>
        </xdr:cNvPicPr>
      </xdr:nvPicPr>
      <xdr:blipFill>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tretch>
          <a:fillRect/>
        </a:stretch>
      </xdr:blipFill>
      <xdr:spPr>
        <a:xfrm>
          <a:off x="1526370" y="10329892"/>
          <a:ext cx="648470" cy="1128479"/>
        </a:xfrm>
        <a:prstGeom prst="rect">
          <a:avLst/>
        </a:prstGeom>
      </xdr:spPr>
    </xdr:pic>
    <xdr:clientData/>
  </xdr:twoCellAnchor>
  <xdr:twoCellAnchor editAs="oneCell">
    <xdr:from>
      <xdr:col>23</xdr:col>
      <xdr:colOff>29211</xdr:colOff>
      <xdr:row>61</xdr:row>
      <xdr:rowOff>72420</xdr:rowOff>
    </xdr:from>
    <xdr:to>
      <xdr:col>25</xdr:col>
      <xdr:colOff>177961</xdr:colOff>
      <xdr:row>69</xdr:row>
      <xdr:rowOff>87088</xdr:rowOff>
    </xdr:to>
    <xdr:pic>
      <xdr:nvPicPr>
        <xdr:cNvPr id="123" name="Grafik 122">
          <a:extLst>
            <a:ext uri="{FF2B5EF4-FFF2-40B4-BE49-F238E27FC236}">
              <a16:creationId xmlns:a16="http://schemas.microsoft.com/office/drawing/2014/main" id="{00000000-0008-0000-0500-00007B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Lst>
        </a:blip>
        <a:stretch>
          <a:fillRect/>
        </a:stretch>
      </xdr:blipFill>
      <xdr:spPr>
        <a:xfrm>
          <a:off x="5544186" y="10254645"/>
          <a:ext cx="586900" cy="1310068"/>
        </a:xfrm>
        <a:prstGeom prst="rect">
          <a:avLst/>
        </a:prstGeom>
      </xdr:spPr>
    </xdr:pic>
    <xdr:clientData/>
  </xdr:twoCellAnchor>
  <xdr:twoCellAnchor editAs="oneCell">
    <xdr:from>
      <xdr:col>16</xdr:col>
      <xdr:colOff>132163</xdr:colOff>
      <xdr:row>61</xdr:row>
      <xdr:rowOff>27451</xdr:rowOff>
    </xdr:from>
    <xdr:to>
      <xdr:col>21</xdr:col>
      <xdr:colOff>53892</xdr:colOff>
      <xdr:row>69</xdr:row>
      <xdr:rowOff>141283</xdr:rowOff>
    </xdr:to>
    <xdr:pic>
      <xdr:nvPicPr>
        <xdr:cNvPr id="124" name="Grafik 123">
          <a:extLst>
            <a:ext uri="{FF2B5EF4-FFF2-40B4-BE49-F238E27FC236}">
              <a16:creationId xmlns:a16="http://schemas.microsoft.com/office/drawing/2014/main" id="{00000000-0008-0000-0500-00007C000000}"/>
            </a:ext>
          </a:extLst>
        </xdr:cNvPr>
        <xdr:cNvPicPr>
          <a:picLocks noChangeAspect="1"/>
        </xdr:cNvPicPr>
      </xdr:nvPicPr>
      <xdr:blipFill>
        <a:blip xmlns:r="http://schemas.openxmlformats.org/officeDocument/2006/relationships" r:embed="rId39">
          <a:duotone>
            <a:prstClr val="black"/>
            <a:schemeClr val="accent3">
              <a:tint val="45000"/>
              <a:satMod val="400000"/>
            </a:schemeClr>
          </a:duotone>
          <a:extLst>
            <a:ext uri="{BEBA8EAE-BF5A-486C-A8C5-ECC9F3942E4B}">
              <a14:imgProps xmlns:a14="http://schemas.microsoft.com/office/drawing/2010/main">
                <a14:imgLayer r:embed="rId40">
                  <a14:imgEffect>
                    <a14:colorTemperature colorTemp="11500"/>
                  </a14:imgEffect>
                  <a14:imgEffect>
                    <a14:saturation sat="400000"/>
                  </a14:imgEffect>
                </a14:imgLayer>
              </a14:imgProps>
            </a:ext>
          </a:extLst>
        </a:blip>
        <a:stretch>
          <a:fillRect/>
        </a:stretch>
      </xdr:blipFill>
      <xdr:spPr>
        <a:xfrm>
          <a:off x="4113613" y="10209676"/>
          <a:ext cx="1017104" cy="1409232"/>
        </a:xfrm>
        <a:prstGeom prst="rect">
          <a:avLst/>
        </a:prstGeom>
      </xdr:spPr>
    </xdr:pic>
    <xdr:clientData/>
  </xdr:twoCellAnchor>
  <xdr:twoCellAnchor>
    <xdr:from>
      <xdr:col>6</xdr:col>
      <xdr:colOff>195521</xdr:colOff>
      <xdr:row>65</xdr:row>
      <xdr:rowOff>122301</xdr:rowOff>
    </xdr:from>
    <xdr:to>
      <xdr:col>8</xdr:col>
      <xdr:colOff>32656</xdr:colOff>
      <xdr:row>68</xdr:row>
      <xdr:rowOff>103413</xdr:rowOff>
    </xdr:to>
    <xdr:sp macro="" textlink="">
      <xdr:nvSpPr>
        <xdr:cNvPr id="125" name="Rechteck 124">
          <a:extLst>
            <a:ext uri="{FF2B5EF4-FFF2-40B4-BE49-F238E27FC236}">
              <a16:creationId xmlns:a16="http://schemas.microsoft.com/office/drawing/2014/main" id="{00000000-0008-0000-0500-00007D000000}"/>
            </a:ext>
          </a:extLst>
        </xdr:cNvPr>
        <xdr:cNvSpPr/>
      </xdr:nvSpPr>
      <xdr:spPr>
        <a:xfrm>
          <a:off x="1986221" y="10952226"/>
          <a:ext cx="275285"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18</xdr:col>
      <xdr:colOff>122043</xdr:colOff>
      <xdr:row>66</xdr:row>
      <xdr:rowOff>35215</xdr:rowOff>
    </xdr:from>
    <xdr:to>
      <xdr:col>21</xdr:col>
      <xdr:colOff>111579</xdr:colOff>
      <xdr:row>67</xdr:row>
      <xdr:rowOff>27214</xdr:rowOff>
    </xdr:to>
    <xdr:sp macro="" textlink="">
      <xdr:nvSpPr>
        <xdr:cNvPr id="126" name="Rechteck 125">
          <a:extLst>
            <a:ext uri="{FF2B5EF4-FFF2-40B4-BE49-F238E27FC236}">
              <a16:creationId xmlns:a16="http://schemas.microsoft.com/office/drawing/2014/main" id="{00000000-0008-0000-0500-00007E000000}"/>
            </a:ext>
          </a:extLst>
        </xdr:cNvPr>
        <xdr:cNvSpPr/>
      </xdr:nvSpPr>
      <xdr:spPr>
        <a:xfrm>
          <a:off x="4541643" y="11027065"/>
          <a:ext cx="646761" cy="153924"/>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3</xdr:col>
      <xdr:colOff>14654</xdr:colOff>
      <xdr:row>62</xdr:row>
      <xdr:rowOff>43962</xdr:rowOff>
    </xdr:from>
    <xdr:to>
      <xdr:col>5</xdr:col>
      <xdr:colOff>22210</xdr:colOff>
      <xdr:row>63</xdr:row>
      <xdr:rowOff>131884</xdr:rowOff>
    </xdr:to>
    <xdr:pic>
      <xdr:nvPicPr>
        <xdr:cNvPr id="127" name="Grafik 126">
          <a:extLst>
            <a:ext uri="{FF2B5EF4-FFF2-40B4-BE49-F238E27FC236}">
              <a16:creationId xmlns:a16="http://schemas.microsoft.com/office/drawing/2014/main" id="{00000000-0008-0000-0500-00007F000000}"/>
            </a:ext>
          </a:extLst>
        </xdr:cNvPr>
        <xdr:cNvPicPr>
          <a:picLocks noChangeAspect="1"/>
        </xdr:cNvPicPr>
      </xdr:nvPicPr>
      <xdr:blipFill>
        <a:blip xmlns:r="http://schemas.openxmlformats.org/officeDocument/2006/relationships" r:embed="rId41">
          <a:duotone>
            <a:prstClr val="black"/>
            <a:schemeClr val="accent3">
              <a:tint val="45000"/>
              <a:satMod val="400000"/>
            </a:schemeClr>
          </a:duotone>
          <a:extLst>
            <a:ext uri="{BEBA8EAE-BF5A-486C-A8C5-ECC9F3942E4B}">
              <a14:imgProps xmlns:a14="http://schemas.microsoft.com/office/drawing/2010/main">
                <a14:imgLayer r:embed="rId42">
                  <a14:imgEffect>
                    <a14:colorTemperature colorTemp="11500"/>
                  </a14:imgEffect>
                  <a14:imgEffect>
                    <a14:saturation sat="400000"/>
                  </a14:imgEffect>
                </a14:imgLayer>
              </a14:imgProps>
            </a:ext>
          </a:extLst>
        </a:blip>
        <a:stretch>
          <a:fillRect/>
        </a:stretch>
      </xdr:blipFill>
      <xdr:spPr>
        <a:xfrm>
          <a:off x="1281479" y="10388112"/>
          <a:ext cx="312356" cy="249847"/>
        </a:xfrm>
        <a:prstGeom prst="rect">
          <a:avLst/>
        </a:prstGeom>
      </xdr:spPr>
    </xdr:pic>
    <xdr:clientData/>
  </xdr:twoCellAnchor>
  <xdr:twoCellAnchor editAs="oneCell">
    <xdr:from>
      <xdr:col>6</xdr:col>
      <xdr:colOff>51449</xdr:colOff>
      <xdr:row>73</xdr:row>
      <xdr:rowOff>14420</xdr:rowOff>
    </xdr:from>
    <xdr:to>
      <xdr:col>10</xdr:col>
      <xdr:colOff>140036</xdr:colOff>
      <xdr:row>81</xdr:row>
      <xdr:rowOff>119751</xdr:rowOff>
    </xdr:to>
    <xdr:pic>
      <xdr:nvPicPr>
        <xdr:cNvPr id="128" name="Grafik 127">
          <a:extLst>
            <a:ext uri="{FF2B5EF4-FFF2-40B4-BE49-F238E27FC236}">
              <a16:creationId xmlns:a16="http://schemas.microsoft.com/office/drawing/2014/main" id="{00000000-0008-0000-0500-000080000000}"/>
            </a:ext>
          </a:extLst>
        </xdr:cNvPr>
        <xdr:cNvPicPr>
          <a:picLocks noChangeAspect="1"/>
        </xdr:cNvPicPr>
      </xdr:nvPicPr>
      <xdr:blipFill>
        <a:blip xmlns:r="http://schemas.openxmlformats.org/officeDocument/2006/relationships" r:embed="rId43">
          <a:duotone>
            <a:prstClr val="black"/>
            <a:schemeClr val="accent3">
              <a:tint val="45000"/>
              <a:satMod val="400000"/>
            </a:schemeClr>
          </a:duotone>
          <a:extLst>
            <a:ext uri="{BEBA8EAE-BF5A-486C-A8C5-ECC9F3942E4B}">
              <a14:imgProps xmlns:a14="http://schemas.microsoft.com/office/drawing/2010/main">
                <a14:imgLayer r:embed="rId44">
                  <a14:imgEffect>
                    <a14:colorTemperature colorTemp="11500"/>
                  </a14:imgEffect>
                  <a14:imgEffect>
                    <a14:saturation sat="400000"/>
                  </a14:imgEffect>
                </a14:imgLayer>
              </a14:imgProps>
            </a:ext>
          </a:extLst>
        </a:blip>
        <a:stretch>
          <a:fillRect/>
        </a:stretch>
      </xdr:blipFill>
      <xdr:spPr>
        <a:xfrm>
          <a:off x="1842149" y="12139745"/>
          <a:ext cx="964887" cy="1391206"/>
        </a:xfrm>
        <a:prstGeom prst="rect">
          <a:avLst/>
        </a:prstGeom>
      </xdr:spPr>
    </xdr:pic>
    <xdr:clientData/>
  </xdr:twoCellAnchor>
  <xdr:twoCellAnchor editAs="oneCell">
    <xdr:from>
      <xdr:col>5</xdr:col>
      <xdr:colOff>199197</xdr:colOff>
      <xdr:row>87</xdr:row>
      <xdr:rowOff>94338</xdr:rowOff>
    </xdr:from>
    <xdr:to>
      <xdr:col>11</xdr:col>
      <xdr:colOff>132531</xdr:colOff>
      <xdr:row>93</xdr:row>
      <xdr:rowOff>53576</xdr:rowOff>
    </xdr:to>
    <xdr:pic>
      <xdr:nvPicPr>
        <xdr:cNvPr id="129" name="Grafik 128">
          <a:extLst>
            <a:ext uri="{FF2B5EF4-FFF2-40B4-BE49-F238E27FC236}">
              <a16:creationId xmlns:a16="http://schemas.microsoft.com/office/drawing/2014/main" id="{00000000-0008-0000-0500-000081000000}"/>
            </a:ext>
          </a:extLst>
        </xdr:cNvPr>
        <xdr:cNvPicPr>
          <a:picLocks noChangeAspect="1"/>
        </xdr:cNvPicPr>
      </xdr:nvPicPr>
      <xdr:blipFill rotWithShape="1">
        <a:blip xmlns:r="http://schemas.openxmlformats.org/officeDocument/2006/relationships" r:embed="rId45">
          <a:duotone>
            <a:prstClr val="black"/>
            <a:schemeClr val="accent3">
              <a:tint val="45000"/>
              <a:satMod val="400000"/>
            </a:schemeClr>
          </a:duotone>
          <a:extLst>
            <a:ext uri="{BEBA8EAE-BF5A-486C-A8C5-ECC9F3942E4B}">
              <a14:imgProps xmlns:a14="http://schemas.microsoft.com/office/drawing/2010/main">
                <a14:imgLayer r:embed="rId46">
                  <a14:imgEffect>
                    <a14:colorTemperature colorTemp="11500"/>
                  </a14:imgEffect>
                  <a14:imgEffect>
                    <a14:saturation sat="400000"/>
                  </a14:imgEffect>
                </a14:imgLayer>
              </a14:imgProps>
            </a:ext>
          </a:extLst>
        </a:blip>
        <a:srcRect r="1820"/>
        <a:stretch/>
      </xdr:blipFill>
      <xdr:spPr>
        <a:xfrm>
          <a:off x="1770822" y="14477088"/>
          <a:ext cx="1247784" cy="930788"/>
        </a:xfrm>
        <a:prstGeom prst="rect">
          <a:avLst/>
        </a:prstGeom>
      </xdr:spPr>
    </xdr:pic>
    <xdr:clientData/>
  </xdr:twoCellAnchor>
  <xdr:twoCellAnchor editAs="oneCell">
    <xdr:from>
      <xdr:col>20</xdr:col>
      <xdr:colOff>178594</xdr:colOff>
      <xdr:row>85</xdr:row>
      <xdr:rowOff>29766</xdr:rowOff>
    </xdr:from>
    <xdr:to>
      <xdr:col>24</xdr:col>
      <xdr:colOff>186691</xdr:colOff>
      <xdr:row>88</xdr:row>
      <xdr:rowOff>154783</xdr:rowOff>
    </xdr:to>
    <xdr:pic>
      <xdr:nvPicPr>
        <xdr:cNvPr id="130" name="Grafik 129">
          <a:extLst>
            <a:ext uri="{FF2B5EF4-FFF2-40B4-BE49-F238E27FC236}">
              <a16:creationId xmlns:a16="http://schemas.microsoft.com/office/drawing/2014/main" id="{00000000-0008-0000-0500-000082000000}"/>
            </a:ext>
          </a:extLst>
        </xdr:cNvPr>
        <xdr:cNvPicPr>
          <a:picLocks noChangeAspect="1"/>
        </xdr:cNvPicPr>
      </xdr:nvPicPr>
      <xdr:blipFill rotWithShape="1">
        <a:blip xmlns:r="http://schemas.openxmlformats.org/officeDocument/2006/relationships" r:embed="rId47">
          <a:duotone>
            <a:prstClr val="black"/>
            <a:schemeClr val="accent3">
              <a:tint val="45000"/>
              <a:satMod val="400000"/>
            </a:schemeClr>
          </a:duotone>
          <a:extLst>
            <a:ext uri="{BEBA8EAE-BF5A-486C-A8C5-ECC9F3942E4B}">
              <a14:imgProps xmlns:a14="http://schemas.microsoft.com/office/drawing/2010/main">
                <a14:imgLayer r:embed="rId48">
                  <a14:imgEffect>
                    <a14:colorTemperature colorTemp="11500"/>
                  </a14:imgEffect>
                  <a14:imgEffect>
                    <a14:saturation sat="400000"/>
                  </a14:imgEffect>
                </a14:imgLayer>
              </a14:imgProps>
            </a:ext>
          </a:extLst>
        </a:blip>
        <a:srcRect t="6513" b="3729"/>
        <a:stretch/>
      </xdr:blipFill>
      <xdr:spPr>
        <a:xfrm>
          <a:off x="5036344" y="14088666"/>
          <a:ext cx="884397" cy="610792"/>
        </a:xfrm>
        <a:prstGeom prst="rect">
          <a:avLst/>
        </a:prstGeom>
      </xdr:spPr>
    </xdr:pic>
    <xdr:clientData/>
  </xdr:twoCellAnchor>
  <xdr:twoCellAnchor editAs="oneCell">
    <xdr:from>
      <xdr:col>20</xdr:col>
      <xdr:colOff>203519</xdr:colOff>
      <xdr:row>90</xdr:row>
      <xdr:rowOff>28578</xdr:rowOff>
    </xdr:from>
    <xdr:to>
      <xdr:col>25</xdr:col>
      <xdr:colOff>9286</xdr:colOff>
      <xdr:row>95</xdr:row>
      <xdr:rowOff>3851</xdr:rowOff>
    </xdr:to>
    <xdr:pic>
      <xdr:nvPicPr>
        <xdr:cNvPr id="131" name="Grafik 130">
          <a:extLst>
            <a:ext uri="{FF2B5EF4-FFF2-40B4-BE49-F238E27FC236}">
              <a16:creationId xmlns:a16="http://schemas.microsoft.com/office/drawing/2014/main" id="{00000000-0008-0000-0500-000083000000}"/>
            </a:ext>
          </a:extLst>
        </xdr:cNvPr>
        <xdr:cNvPicPr>
          <a:picLocks noChangeAspect="1"/>
        </xdr:cNvPicPr>
      </xdr:nvPicPr>
      <xdr:blipFill>
        <a:blip xmlns:r="http://schemas.openxmlformats.org/officeDocument/2006/relationships" r:embed="rId49">
          <a:duotone>
            <a:prstClr val="black"/>
            <a:schemeClr val="accent3">
              <a:tint val="45000"/>
              <a:satMod val="400000"/>
            </a:schemeClr>
          </a:duotone>
          <a:extLst>
            <a:ext uri="{BEBA8EAE-BF5A-486C-A8C5-ECC9F3942E4B}">
              <a14:imgProps xmlns:a14="http://schemas.microsoft.com/office/drawing/2010/main">
                <a14:imgLayer r:embed="rId50">
                  <a14:imgEffect>
                    <a14:colorTemperature colorTemp="11500"/>
                  </a14:imgEffect>
                  <a14:imgEffect>
                    <a14:saturation sat="400000"/>
                  </a14:imgEffect>
                </a14:imgLayer>
              </a14:imgProps>
            </a:ext>
          </a:extLst>
        </a:blip>
        <a:stretch>
          <a:fillRect/>
        </a:stretch>
      </xdr:blipFill>
      <xdr:spPr>
        <a:xfrm>
          <a:off x="5061269" y="14897103"/>
          <a:ext cx="901142" cy="784898"/>
        </a:xfrm>
        <a:prstGeom prst="rect">
          <a:avLst/>
        </a:prstGeom>
      </xdr:spPr>
    </xdr:pic>
    <xdr:clientData/>
  </xdr:twoCellAnchor>
  <xdr:twoCellAnchor>
    <xdr:from>
      <xdr:col>9</xdr:col>
      <xdr:colOff>92316</xdr:colOff>
      <xdr:row>72</xdr:row>
      <xdr:rowOff>73315</xdr:rowOff>
    </xdr:from>
    <xdr:to>
      <xdr:col>10</xdr:col>
      <xdr:colOff>145072</xdr:colOff>
      <xdr:row>75</xdr:row>
      <xdr:rowOff>54427</xdr:rowOff>
    </xdr:to>
    <xdr:sp macro="" textlink="">
      <xdr:nvSpPr>
        <xdr:cNvPr id="132" name="Rechteck 131">
          <a:extLst>
            <a:ext uri="{FF2B5EF4-FFF2-40B4-BE49-F238E27FC236}">
              <a16:creationId xmlns:a16="http://schemas.microsoft.com/office/drawing/2014/main" id="{00000000-0008-0000-0500-000084000000}"/>
            </a:ext>
          </a:extLst>
        </xdr:cNvPr>
        <xdr:cNvSpPr/>
      </xdr:nvSpPr>
      <xdr:spPr>
        <a:xfrm>
          <a:off x="2540241" y="12036715"/>
          <a:ext cx="271831"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152400</xdr:colOff>
      <xdr:row>73</xdr:row>
      <xdr:rowOff>54431</xdr:rowOff>
    </xdr:from>
    <xdr:to>
      <xdr:col>5</xdr:col>
      <xdr:colOff>67915</xdr:colOff>
      <xdr:row>74</xdr:row>
      <xdr:rowOff>112663</xdr:rowOff>
    </xdr:to>
    <xdr:pic>
      <xdr:nvPicPr>
        <xdr:cNvPr id="133" name="Grafik 132">
          <a:extLst>
            <a:ext uri="{FF2B5EF4-FFF2-40B4-BE49-F238E27FC236}">
              <a16:creationId xmlns:a16="http://schemas.microsoft.com/office/drawing/2014/main" id="{00000000-0008-0000-0500-000085000000}"/>
            </a:ext>
          </a:extLst>
        </xdr:cNvPr>
        <xdr:cNvPicPr>
          <a:picLocks noChangeAspect="1"/>
        </xdr:cNvPicPr>
      </xdr:nvPicPr>
      <xdr:blipFill>
        <a:blip xmlns:r="http://schemas.openxmlformats.org/officeDocument/2006/relationships" r:embed="rId51">
          <a:duotone>
            <a:prstClr val="black"/>
            <a:schemeClr val="accent3">
              <a:tint val="45000"/>
              <a:satMod val="400000"/>
            </a:schemeClr>
          </a:duotone>
          <a:extLst>
            <a:ext uri="{BEBA8EAE-BF5A-486C-A8C5-ECC9F3942E4B}">
              <a14:imgProps xmlns:a14="http://schemas.microsoft.com/office/drawing/2010/main">
                <a14:imgLayer r:embed="rId52">
                  <a14:imgEffect>
                    <a14:colorTemperature colorTemp="11500"/>
                  </a14:imgEffect>
                  <a14:imgEffect>
                    <a14:saturation sat="400000"/>
                  </a14:imgEffect>
                </a14:imgLayer>
              </a14:imgProps>
            </a:ext>
          </a:extLst>
        </a:blip>
        <a:stretch>
          <a:fillRect/>
        </a:stretch>
      </xdr:blipFill>
      <xdr:spPr>
        <a:xfrm>
          <a:off x="1228725" y="12179756"/>
          <a:ext cx="410815" cy="220157"/>
        </a:xfrm>
        <a:prstGeom prst="rect">
          <a:avLst/>
        </a:prstGeom>
      </xdr:spPr>
    </xdr:pic>
    <xdr:clientData/>
  </xdr:twoCellAnchor>
  <xdr:twoCellAnchor editAs="oneCell">
    <xdr:from>
      <xdr:col>2</xdr:col>
      <xdr:colOff>152570</xdr:colOff>
      <xdr:row>86</xdr:row>
      <xdr:rowOff>56809</xdr:rowOff>
    </xdr:from>
    <xdr:to>
      <xdr:col>5</xdr:col>
      <xdr:colOff>68085</xdr:colOff>
      <xdr:row>87</xdr:row>
      <xdr:rowOff>115041</xdr:rowOff>
    </xdr:to>
    <xdr:pic>
      <xdr:nvPicPr>
        <xdr:cNvPr id="134" name="Grafik 133">
          <a:extLst>
            <a:ext uri="{FF2B5EF4-FFF2-40B4-BE49-F238E27FC236}">
              <a16:creationId xmlns:a16="http://schemas.microsoft.com/office/drawing/2014/main" id="{00000000-0008-0000-0500-000086000000}"/>
            </a:ext>
          </a:extLst>
        </xdr:cNvPr>
        <xdr:cNvPicPr>
          <a:picLocks noChangeAspect="1"/>
        </xdr:cNvPicPr>
      </xdr:nvPicPr>
      <xdr:blipFill>
        <a:blip xmlns:r="http://schemas.openxmlformats.org/officeDocument/2006/relationships" r:embed="rId51">
          <a:duotone>
            <a:prstClr val="black"/>
            <a:schemeClr val="accent3">
              <a:tint val="45000"/>
              <a:satMod val="400000"/>
            </a:schemeClr>
          </a:duotone>
          <a:extLst>
            <a:ext uri="{BEBA8EAE-BF5A-486C-A8C5-ECC9F3942E4B}">
              <a14:imgProps xmlns:a14="http://schemas.microsoft.com/office/drawing/2010/main">
                <a14:imgLayer r:embed="rId52">
                  <a14:imgEffect>
                    <a14:colorTemperature colorTemp="11500"/>
                  </a14:imgEffect>
                  <a14:imgEffect>
                    <a14:saturation sat="400000"/>
                  </a14:imgEffect>
                </a14:imgLayer>
              </a14:imgProps>
            </a:ext>
          </a:extLst>
        </a:blip>
        <a:stretch>
          <a:fillRect/>
        </a:stretch>
      </xdr:blipFill>
      <xdr:spPr>
        <a:xfrm>
          <a:off x="1228895" y="14277634"/>
          <a:ext cx="410815" cy="220157"/>
        </a:xfrm>
        <a:prstGeom prst="rect">
          <a:avLst/>
        </a:prstGeom>
      </xdr:spPr>
    </xdr:pic>
    <xdr:clientData/>
  </xdr:twoCellAnchor>
  <xdr:twoCellAnchor editAs="oneCell">
    <xdr:from>
      <xdr:col>12</xdr:col>
      <xdr:colOff>155174</xdr:colOff>
      <xdr:row>85</xdr:row>
      <xdr:rowOff>157162</xdr:rowOff>
    </xdr:from>
    <xdr:to>
      <xdr:col>17</xdr:col>
      <xdr:colOff>191320</xdr:colOff>
      <xdr:row>93</xdr:row>
      <xdr:rowOff>29765</xdr:rowOff>
    </xdr:to>
    <xdr:pic>
      <xdr:nvPicPr>
        <xdr:cNvPr id="135" name="Grafik 134">
          <a:extLst>
            <a:ext uri="{FF2B5EF4-FFF2-40B4-BE49-F238E27FC236}">
              <a16:creationId xmlns:a16="http://schemas.microsoft.com/office/drawing/2014/main" id="{00000000-0008-0000-0500-000087000000}"/>
            </a:ext>
          </a:extLst>
        </xdr:cNvPr>
        <xdr:cNvPicPr>
          <a:picLocks noChangeAspect="1"/>
        </xdr:cNvPicPr>
      </xdr:nvPicPr>
      <xdr:blipFill>
        <a:blip xmlns:r="http://schemas.openxmlformats.org/officeDocument/2006/relationships" r:embed="rId53">
          <a:duotone>
            <a:prstClr val="black"/>
            <a:schemeClr val="accent3">
              <a:tint val="45000"/>
              <a:satMod val="400000"/>
            </a:schemeClr>
          </a:duotone>
          <a:extLst>
            <a:ext uri="{BEBA8EAE-BF5A-486C-A8C5-ECC9F3942E4B}">
              <a14:imgProps xmlns:a14="http://schemas.microsoft.com/office/drawing/2010/main">
                <a14:imgLayer r:embed="rId54">
                  <a14:imgEffect>
                    <a14:colorTemperature colorTemp="11500"/>
                  </a14:imgEffect>
                  <a14:imgEffect>
                    <a14:saturation sat="400000"/>
                  </a14:imgEffect>
                </a14:imgLayer>
              </a14:imgProps>
            </a:ext>
          </a:extLst>
        </a:blip>
        <a:stretch>
          <a:fillRect/>
        </a:stretch>
      </xdr:blipFill>
      <xdr:spPr>
        <a:xfrm>
          <a:off x="3260324" y="14216062"/>
          <a:ext cx="1131521" cy="1168003"/>
        </a:xfrm>
        <a:prstGeom prst="rect">
          <a:avLst/>
        </a:prstGeom>
      </xdr:spPr>
    </xdr:pic>
    <xdr:clientData/>
  </xdr:twoCellAnchor>
  <xdr:twoCellAnchor>
    <xdr:from>
      <xdr:col>12</xdr:col>
      <xdr:colOff>38057</xdr:colOff>
      <xdr:row>91</xdr:row>
      <xdr:rowOff>115158</xdr:rowOff>
    </xdr:from>
    <xdr:to>
      <xdr:col>13</xdr:col>
      <xdr:colOff>90813</xdr:colOff>
      <xdr:row>93</xdr:row>
      <xdr:rowOff>125016</xdr:rowOff>
    </xdr:to>
    <xdr:sp macro="" textlink="">
      <xdr:nvSpPr>
        <xdr:cNvPr id="136" name="Rechteck 135">
          <a:extLst>
            <a:ext uri="{FF2B5EF4-FFF2-40B4-BE49-F238E27FC236}">
              <a16:creationId xmlns:a16="http://schemas.microsoft.com/office/drawing/2014/main" id="{00000000-0008-0000-0500-000088000000}"/>
            </a:ext>
          </a:extLst>
        </xdr:cNvPr>
        <xdr:cNvSpPr/>
      </xdr:nvSpPr>
      <xdr:spPr>
        <a:xfrm>
          <a:off x="3143207" y="15145608"/>
          <a:ext cx="271831" cy="33370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12</xdr:col>
      <xdr:colOff>164564</xdr:colOff>
      <xdr:row>65</xdr:row>
      <xdr:rowOff>151896</xdr:rowOff>
    </xdr:from>
    <xdr:to>
      <xdr:col>14</xdr:col>
      <xdr:colOff>1699</xdr:colOff>
      <xdr:row>68</xdr:row>
      <xdr:rowOff>133008</xdr:rowOff>
    </xdr:to>
    <xdr:sp macro="" textlink="">
      <xdr:nvSpPr>
        <xdr:cNvPr id="137" name="Rechteck 136">
          <a:extLst>
            <a:ext uri="{FF2B5EF4-FFF2-40B4-BE49-F238E27FC236}">
              <a16:creationId xmlns:a16="http://schemas.microsoft.com/office/drawing/2014/main" id="{00000000-0008-0000-0500-000089000000}"/>
            </a:ext>
          </a:extLst>
        </xdr:cNvPr>
        <xdr:cNvSpPr/>
      </xdr:nvSpPr>
      <xdr:spPr>
        <a:xfrm>
          <a:off x="3269714" y="10981821"/>
          <a:ext cx="275285"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31</xdr:col>
      <xdr:colOff>81642</xdr:colOff>
      <xdr:row>59</xdr:row>
      <xdr:rowOff>152401</xdr:rowOff>
    </xdr:from>
    <xdr:to>
      <xdr:col>36</xdr:col>
      <xdr:colOff>168727</xdr:colOff>
      <xdr:row>61</xdr:row>
      <xdr:rowOff>136072</xdr:rowOff>
    </xdr:to>
    <xdr:sp macro="" textlink="">
      <xdr:nvSpPr>
        <xdr:cNvPr id="138" name="Rechteck 137">
          <a:extLst>
            <a:ext uri="{FF2B5EF4-FFF2-40B4-BE49-F238E27FC236}">
              <a16:creationId xmlns:a16="http://schemas.microsoft.com/office/drawing/2014/main" id="{00000000-0008-0000-0500-00008A000000}"/>
            </a:ext>
          </a:extLst>
        </xdr:cNvPr>
        <xdr:cNvSpPr/>
      </xdr:nvSpPr>
      <xdr:spPr>
        <a:xfrm>
          <a:off x="7349217" y="10010776"/>
          <a:ext cx="1182460" cy="30752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30</xdr:col>
      <xdr:colOff>5442</xdr:colOff>
      <xdr:row>60</xdr:row>
      <xdr:rowOff>22963</xdr:rowOff>
    </xdr:from>
    <xdr:to>
      <xdr:col>45</xdr:col>
      <xdr:colOff>585</xdr:colOff>
      <xdr:row>67</xdr:row>
      <xdr:rowOff>100205</xdr:rowOff>
    </xdr:to>
    <xdr:pic>
      <xdr:nvPicPr>
        <xdr:cNvPr id="2" name="Grafik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duotone>
            <a:prstClr val="black"/>
            <a:schemeClr val="accent3">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tretch>
          <a:fillRect/>
        </a:stretch>
      </xdr:blipFill>
      <xdr:spPr>
        <a:xfrm>
          <a:off x="7053942" y="10043263"/>
          <a:ext cx="3157443" cy="1210717"/>
        </a:xfrm>
        <a:prstGeom prst="rect">
          <a:avLst/>
        </a:prstGeom>
      </xdr:spPr>
    </xdr:pic>
    <xdr:clientData/>
  </xdr:twoCellAnchor>
  <xdr:twoCellAnchor>
    <xdr:from>
      <xdr:col>40</xdr:col>
      <xdr:colOff>210150</xdr:colOff>
      <xdr:row>61</xdr:row>
      <xdr:rowOff>130629</xdr:rowOff>
    </xdr:from>
    <xdr:to>
      <xdr:col>42</xdr:col>
      <xdr:colOff>47285</xdr:colOff>
      <xdr:row>63</xdr:row>
      <xdr:rowOff>77218</xdr:rowOff>
    </xdr:to>
    <xdr:sp macro="" textlink="">
      <xdr:nvSpPr>
        <xdr:cNvPr id="3" name="Rechteck 2">
          <a:extLst>
            <a:ext uri="{FF2B5EF4-FFF2-40B4-BE49-F238E27FC236}">
              <a16:creationId xmlns:a16="http://schemas.microsoft.com/office/drawing/2014/main" id="{00000000-0008-0000-0700-000003000000}"/>
            </a:ext>
          </a:extLst>
        </xdr:cNvPr>
        <xdr:cNvSpPr/>
      </xdr:nvSpPr>
      <xdr:spPr>
        <a:xfrm>
          <a:off x="9449400" y="10312854"/>
          <a:ext cx="275285" cy="27043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37</xdr:col>
      <xdr:colOff>152399</xdr:colOff>
      <xdr:row>61</xdr:row>
      <xdr:rowOff>119743</xdr:rowOff>
    </xdr:from>
    <xdr:to>
      <xdr:col>38</xdr:col>
      <xdr:colOff>134370</xdr:colOff>
      <xdr:row>63</xdr:row>
      <xdr:rowOff>39119</xdr:rowOff>
    </xdr:to>
    <xdr:sp macro="" textlink="">
      <xdr:nvSpPr>
        <xdr:cNvPr id="4" name="Rechteck 3">
          <a:extLst>
            <a:ext uri="{FF2B5EF4-FFF2-40B4-BE49-F238E27FC236}">
              <a16:creationId xmlns:a16="http://schemas.microsoft.com/office/drawing/2014/main" id="{00000000-0008-0000-0700-000004000000}"/>
            </a:ext>
          </a:extLst>
        </xdr:cNvPr>
        <xdr:cNvSpPr/>
      </xdr:nvSpPr>
      <xdr:spPr>
        <a:xfrm>
          <a:off x="8734424" y="10301968"/>
          <a:ext cx="201046" cy="24322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34</xdr:col>
      <xdr:colOff>5443</xdr:colOff>
      <xdr:row>60</xdr:row>
      <xdr:rowOff>1</xdr:rowOff>
    </xdr:from>
    <xdr:to>
      <xdr:col>34</xdr:col>
      <xdr:colOff>199685</xdr:colOff>
      <xdr:row>63</xdr:row>
      <xdr:rowOff>44562</xdr:rowOff>
    </xdr:to>
    <xdr:sp macro="" textlink="">
      <xdr:nvSpPr>
        <xdr:cNvPr id="5" name="Rechteck 4">
          <a:extLst>
            <a:ext uri="{FF2B5EF4-FFF2-40B4-BE49-F238E27FC236}">
              <a16:creationId xmlns:a16="http://schemas.microsoft.com/office/drawing/2014/main" id="{00000000-0008-0000-0700-000005000000}"/>
            </a:ext>
          </a:extLst>
        </xdr:cNvPr>
        <xdr:cNvSpPr/>
      </xdr:nvSpPr>
      <xdr:spPr>
        <a:xfrm>
          <a:off x="7930243" y="10020301"/>
          <a:ext cx="194242" cy="53033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29</xdr:col>
      <xdr:colOff>190501</xdr:colOff>
      <xdr:row>60</xdr:row>
      <xdr:rowOff>10884</xdr:rowOff>
    </xdr:from>
    <xdr:to>
      <xdr:col>31</xdr:col>
      <xdr:colOff>101713</xdr:colOff>
      <xdr:row>63</xdr:row>
      <xdr:rowOff>50004</xdr:rowOff>
    </xdr:to>
    <xdr:sp macro="" textlink="">
      <xdr:nvSpPr>
        <xdr:cNvPr id="6" name="Rechteck 5">
          <a:extLst>
            <a:ext uri="{FF2B5EF4-FFF2-40B4-BE49-F238E27FC236}">
              <a16:creationId xmlns:a16="http://schemas.microsoft.com/office/drawing/2014/main" id="{00000000-0008-0000-0700-000006000000}"/>
            </a:ext>
          </a:extLst>
        </xdr:cNvPr>
        <xdr:cNvSpPr/>
      </xdr:nvSpPr>
      <xdr:spPr>
        <a:xfrm>
          <a:off x="7019926" y="10031184"/>
          <a:ext cx="349362" cy="52489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12</xdr:col>
      <xdr:colOff>192090</xdr:colOff>
      <xdr:row>72</xdr:row>
      <xdr:rowOff>27219</xdr:rowOff>
    </xdr:from>
    <xdr:to>
      <xdr:col>17</xdr:col>
      <xdr:colOff>153161</xdr:colOff>
      <xdr:row>82</xdr:row>
      <xdr:rowOff>125188</xdr:rowOff>
    </xdr:to>
    <xdr:pic>
      <xdr:nvPicPr>
        <xdr:cNvPr id="7" name="Grafik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3">
          <a:duotone>
            <a:prstClr val="black"/>
            <a:schemeClr val="accent3">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tretch>
          <a:fillRect/>
        </a:stretch>
      </xdr:blipFill>
      <xdr:spPr>
        <a:xfrm>
          <a:off x="3297240" y="11990619"/>
          <a:ext cx="1056446" cy="1707694"/>
        </a:xfrm>
        <a:prstGeom prst="rect">
          <a:avLst/>
        </a:prstGeom>
      </xdr:spPr>
    </xdr:pic>
    <xdr:clientData/>
  </xdr:twoCellAnchor>
  <xdr:twoCellAnchor editAs="oneCell">
    <xdr:from>
      <xdr:col>20</xdr:col>
      <xdr:colOff>21771</xdr:colOff>
      <xdr:row>72</xdr:row>
      <xdr:rowOff>38099</xdr:rowOff>
    </xdr:from>
    <xdr:to>
      <xdr:col>24</xdr:col>
      <xdr:colOff>119658</xdr:colOff>
      <xdr:row>82</xdr:row>
      <xdr:rowOff>108687</xdr:rowOff>
    </xdr:to>
    <xdr:pic>
      <xdr:nvPicPr>
        <xdr:cNvPr id="8" name="Grafik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duotone>
            <a:prstClr val="black"/>
            <a:schemeClr val="accent3">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4879521" y="12001499"/>
          <a:ext cx="974187" cy="1680313"/>
        </a:xfrm>
        <a:prstGeom prst="rect">
          <a:avLst/>
        </a:prstGeom>
      </xdr:spPr>
    </xdr:pic>
    <xdr:clientData/>
  </xdr:twoCellAnchor>
  <xdr:twoCellAnchor editAs="oneCell">
    <xdr:from>
      <xdr:col>11</xdr:col>
      <xdr:colOff>5468</xdr:colOff>
      <xdr:row>61</xdr:row>
      <xdr:rowOff>76196</xdr:rowOff>
    </xdr:from>
    <xdr:to>
      <xdr:col>13</xdr:col>
      <xdr:colOff>148233</xdr:colOff>
      <xdr:row>69</xdr:row>
      <xdr:rowOff>92528</xdr:rowOff>
    </xdr:to>
    <xdr:pic>
      <xdr:nvPicPr>
        <xdr:cNvPr id="9" name="Grafik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7">
          <a:duotone>
            <a:prstClr val="black"/>
            <a:schemeClr val="accent3">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2891543" y="10258421"/>
          <a:ext cx="580915" cy="1311732"/>
        </a:xfrm>
        <a:prstGeom prst="rect">
          <a:avLst/>
        </a:prstGeom>
      </xdr:spPr>
    </xdr:pic>
    <xdr:clientData/>
  </xdr:twoCellAnchor>
  <xdr:twoCellAnchor editAs="oneCell">
    <xdr:from>
      <xdr:col>17</xdr:col>
      <xdr:colOff>87086</xdr:colOff>
      <xdr:row>54</xdr:row>
      <xdr:rowOff>62093</xdr:rowOff>
    </xdr:from>
    <xdr:to>
      <xdr:col>22</xdr:col>
      <xdr:colOff>197926</xdr:colOff>
      <xdr:row>57</xdr:row>
      <xdr:rowOff>120598</xdr:rowOff>
    </xdr:to>
    <xdr:pic>
      <xdr:nvPicPr>
        <xdr:cNvPr id="10" name="Grafik 9">
          <a:extLst>
            <a:ext uri="{FF2B5EF4-FFF2-40B4-BE49-F238E27FC236}">
              <a16:creationId xmlns:a16="http://schemas.microsoft.com/office/drawing/2014/main" id="{00000000-0008-0000-0700-00000A000000}"/>
            </a:ext>
          </a:extLst>
        </xdr:cNvPr>
        <xdr:cNvPicPr>
          <a:picLocks noChangeAspect="1"/>
        </xdr:cNvPicPr>
      </xdr:nvPicPr>
      <xdr:blipFill rotWithShape="1">
        <a:blip xmlns:r="http://schemas.openxmlformats.org/officeDocument/2006/relationships" r:embed="rId9">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rcRect t="20856"/>
        <a:stretch/>
      </xdr:blipFill>
      <xdr:spPr>
        <a:xfrm rot="16200000">
          <a:off x="4618579" y="8779875"/>
          <a:ext cx="544280" cy="1206215"/>
        </a:xfrm>
        <a:prstGeom prst="rect">
          <a:avLst/>
        </a:prstGeom>
      </xdr:spPr>
    </xdr:pic>
    <xdr:clientData/>
  </xdr:twoCellAnchor>
  <xdr:twoCellAnchor editAs="oneCell">
    <xdr:from>
      <xdr:col>15</xdr:col>
      <xdr:colOff>200024</xdr:colOff>
      <xdr:row>54</xdr:row>
      <xdr:rowOff>65315</xdr:rowOff>
    </xdr:from>
    <xdr:to>
      <xdr:col>17</xdr:col>
      <xdr:colOff>103414</xdr:colOff>
      <xdr:row>57</xdr:row>
      <xdr:rowOff>65313</xdr:rowOff>
    </xdr:to>
    <xdr:pic>
      <xdr:nvPicPr>
        <xdr:cNvPr id="11" name="Grafik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11">
          <a:duotone>
            <a:prstClr val="black"/>
            <a:schemeClr val="accent3">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962399" y="9114065"/>
          <a:ext cx="341540" cy="485773"/>
        </a:xfrm>
        <a:prstGeom prst="rect">
          <a:avLst/>
        </a:prstGeom>
      </xdr:spPr>
    </xdr:pic>
    <xdr:clientData/>
  </xdr:twoCellAnchor>
  <xdr:twoCellAnchor editAs="oneCell">
    <xdr:from>
      <xdr:col>16</xdr:col>
      <xdr:colOff>22261</xdr:colOff>
      <xdr:row>46</xdr:row>
      <xdr:rowOff>24211</xdr:rowOff>
    </xdr:from>
    <xdr:to>
      <xdr:col>22</xdr:col>
      <xdr:colOff>177151</xdr:colOff>
      <xdr:row>51</xdr:row>
      <xdr:rowOff>150798</xdr:rowOff>
    </xdr:to>
    <xdr:pic>
      <xdr:nvPicPr>
        <xdr:cNvPr id="12" name="Grafik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3">
          <a:duotone>
            <a:prstClr val="black"/>
            <a:schemeClr val="accent3">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4003711" y="7777561"/>
          <a:ext cx="1469340" cy="936212"/>
        </a:xfrm>
        <a:prstGeom prst="rect">
          <a:avLst/>
        </a:prstGeom>
      </xdr:spPr>
    </xdr:pic>
    <xdr:clientData/>
  </xdr:twoCellAnchor>
  <xdr:twoCellAnchor editAs="oneCell">
    <xdr:from>
      <xdr:col>16</xdr:col>
      <xdr:colOff>22813</xdr:colOff>
      <xdr:row>35</xdr:row>
      <xdr:rowOff>96858</xdr:rowOff>
    </xdr:from>
    <xdr:to>
      <xdr:col>22</xdr:col>
      <xdr:colOff>210682</xdr:colOff>
      <xdr:row>41</xdr:row>
      <xdr:rowOff>49818</xdr:rowOff>
    </xdr:to>
    <xdr:pic>
      <xdr:nvPicPr>
        <xdr:cNvPr id="13" name="Grafik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15">
          <a:duotone>
            <a:prstClr val="black"/>
            <a:schemeClr val="accent3">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4004263" y="6069033"/>
          <a:ext cx="1502319" cy="924510"/>
        </a:xfrm>
        <a:prstGeom prst="rect">
          <a:avLst/>
        </a:prstGeom>
      </xdr:spPr>
    </xdr:pic>
    <xdr:clientData/>
  </xdr:twoCellAnchor>
  <xdr:twoCellAnchor editAs="oneCell">
    <xdr:from>
      <xdr:col>11</xdr:col>
      <xdr:colOff>51108</xdr:colOff>
      <xdr:row>49</xdr:row>
      <xdr:rowOff>46466</xdr:rowOff>
    </xdr:from>
    <xdr:to>
      <xdr:col>14</xdr:col>
      <xdr:colOff>197975</xdr:colOff>
      <xdr:row>58</xdr:row>
      <xdr:rowOff>148683</xdr:rowOff>
    </xdr:to>
    <xdr:pic>
      <xdr:nvPicPr>
        <xdr:cNvPr id="14" name="Grafik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17">
          <a:duotone>
            <a:prstClr val="black"/>
            <a:schemeClr val="accent3">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2937183" y="8285591"/>
          <a:ext cx="804092" cy="1559542"/>
        </a:xfrm>
        <a:prstGeom prst="rect">
          <a:avLst/>
        </a:prstGeom>
      </xdr:spPr>
    </xdr:pic>
    <xdr:clientData/>
  </xdr:twoCellAnchor>
  <xdr:twoCellAnchor editAs="oneCell">
    <xdr:from>
      <xdr:col>3</xdr:col>
      <xdr:colOff>55758</xdr:colOff>
      <xdr:row>49</xdr:row>
      <xdr:rowOff>46464</xdr:rowOff>
    </xdr:from>
    <xdr:to>
      <xdr:col>7</xdr:col>
      <xdr:colOff>139393</xdr:colOff>
      <xdr:row>59</xdr:row>
      <xdr:rowOff>5434</xdr:rowOff>
    </xdr:to>
    <xdr:pic>
      <xdr:nvPicPr>
        <xdr:cNvPr id="15" name="Grafik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1322583" y="8285589"/>
          <a:ext cx="826585" cy="1578220"/>
        </a:xfrm>
        <a:prstGeom prst="rect">
          <a:avLst/>
        </a:prstGeom>
      </xdr:spPr>
    </xdr:pic>
    <xdr:clientData/>
  </xdr:twoCellAnchor>
  <xdr:twoCellAnchor editAs="oneCell">
    <xdr:from>
      <xdr:col>12</xdr:col>
      <xdr:colOff>201399</xdr:colOff>
      <xdr:row>40</xdr:row>
      <xdr:rowOff>86556</xdr:rowOff>
    </xdr:from>
    <xdr:to>
      <xdr:col>14</xdr:col>
      <xdr:colOff>191874</xdr:colOff>
      <xdr:row>47</xdr:row>
      <xdr:rowOff>141295</xdr:rowOff>
    </xdr:to>
    <xdr:pic>
      <xdr:nvPicPr>
        <xdr:cNvPr id="16" name="Grafik 15">
          <a:extLst>
            <a:ext uri="{FF2B5EF4-FFF2-40B4-BE49-F238E27FC236}">
              <a16:creationId xmlns:a16="http://schemas.microsoft.com/office/drawing/2014/main" id="{00000000-0008-0000-0700-000010000000}"/>
            </a:ext>
          </a:extLst>
        </xdr:cNvPr>
        <xdr:cNvPicPr>
          <a:picLocks noChangeAspect="1"/>
        </xdr:cNvPicPr>
      </xdr:nvPicPr>
      <xdr:blipFill>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rot="10800000">
          <a:off x="3306549" y="6868356"/>
          <a:ext cx="428625" cy="1188214"/>
        </a:xfrm>
        <a:prstGeom prst="rect">
          <a:avLst/>
        </a:prstGeom>
        <a:effectLst>
          <a:reflection endPos="0" dir="5400000" sy="-100000" algn="bl" rotWithShape="0"/>
        </a:effectLst>
      </xdr:spPr>
    </xdr:pic>
    <xdr:clientData/>
  </xdr:twoCellAnchor>
  <xdr:twoCellAnchor>
    <xdr:from>
      <xdr:col>3</xdr:col>
      <xdr:colOff>42480</xdr:colOff>
      <xdr:row>47</xdr:row>
      <xdr:rowOff>130630</xdr:rowOff>
    </xdr:from>
    <xdr:to>
      <xdr:col>4</xdr:col>
      <xdr:colOff>87406</xdr:colOff>
      <xdr:row>49</xdr:row>
      <xdr:rowOff>125452</xdr:rowOff>
    </xdr:to>
    <xdr:sp macro="" textlink="">
      <xdr:nvSpPr>
        <xdr:cNvPr id="17" name="Rechteck 16">
          <a:extLst>
            <a:ext uri="{FF2B5EF4-FFF2-40B4-BE49-F238E27FC236}">
              <a16:creationId xmlns:a16="http://schemas.microsoft.com/office/drawing/2014/main" id="{00000000-0008-0000-0700-000011000000}"/>
            </a:ext>
          </a:extLst>
        </xdr:cNvPr>
        <xdr:cNvSpPr/>
      </xdr:nvSpPr>
      <xdr:spPr>
        <a:xfrm>
          <a:off x="1309305" y="8045905"/>
          <a:ext cx="130651" cy="3186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3</xdr:col>
      <xdr:colOff>65314</xdr:colOff>
      <xdr:row>40</xdr:row>
      <xdr:rowOff>86556</xdr:rowOff>
    </xdr:from>
    <xdr:to>
      <xdr:col>5</xdr:col>
      <xdr:colOff>189139</xdr:colOff>
      <xdr:row>47</xdr:row>
      <xdr:rowOff>141295</xdr:rowOff>
    </xdr:to>
    <xdr:pic>
      <xdr:nvPicPr>
        <xdr:cNvPr id="18" name="Grafik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a:off x="1332139" y="6868356"/>
          <a:ext cx="428625" cy="1188214"/>
        </a:xfrm>
        <a:prstGeom prst="rect">
          <a:avLst/>
        </a:prstGeom>
      </xdr:spPr>
    </xdr:pic>
    <xdr:clientData/>
  </xdr:twoCellAnchor>
  <xdr:twoCellAnchor>
    <xdr:from>
      <xdr:col>14</xdr:col>
      <xdr:colOff>69695</xdr:colOff>
      <xdr:row>47</xdr:row>
      <xdr:rowOff>141515</xdr:rowOff>
    </xdr:from>
    <xdr:to>
      <xdr:col>14</xdr:col>
      <xdr:colOff>201706</xdr:colOff>
      <xdr:row>49</xdr:row>
      <xdr:rowOff>134744</xdr:rowOff>
    </xdr:to>
    <xdr:sp macro="" textlink="">
      <xdr:nvSpPr>
        <xdr:cNvPr id="19" name="Rechteck 18">
          <a:extLst>
            <a:ext uri="{FF2B5EF4-FFF2-40B4-BE49-F238E27FC236}">
              <a16:creationId xmlns:a16="http://schemas.microsoft.com/office/drawing/2014/main" id="{00000000-0008-0000-0700-000013000000}"/>
            </a:ext>
          </a:extLst>
        </xdr:cNvPr>
        <xdr:cNvSpPr/>
      </xdr:nvSpPr>
      <xdr:spPr>
        <a:xfrm>
          <a:off x="3612995" y="8056790"/>
          <a:ext cx="132011" cy="31707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19836</xdr:rowOff>
    </xdr:from>
    <xdr:to>
      <xdr:col>14</xdr:col>
      <xdr:colOff>209550</xdr:colOff>
      <xdr:row>49</xdr:row>
      <xdr:rowOff>19836</xdr:rowOff>
    </xdr:to>
    <xdr:cxnSp macro="">
      <xdr:nvCxnSpPr>
        <xdr:cNvPr id="20" name="Gerader Verbinder 19">
          <a:extLst>
            <a:ext uri="{FF2B5EF4-FFF2-40B4-BE49-F238E27FC236}">
              <a16:creationId xmlns:a16="http://schemas.microsoft.com/office/drawing/2014/main" id="{00000000-0008-0000-0700-000014000000}"/>
            </a:ext>
          </a:extLst>
        </xdr:cNvPr>
        <xdr:cNvCxnSpPr/>
      </xdr:nvCxnSpPr>
      <xdr:spPr>
        <a:xfrm>
          <a:off x="1308497" y="8258961"/>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53</xdr:row>
      <xdr:rowOff>48985</xdr:rowOff>
    </xdr:from>
    <xdr:to>
      <xdr:col>26</xdr:col>
      <xdr:colOff>111141</xdr:colOff>
      <xdr:row>57</xdr:row>
      <xdr:rowOff>119742</xdr:rowOff>
    </xdr:to>
    <xdr:cxnSp macro="">
      <xdr:nvCxnSpPr>
        <xdr:cNvPr id="21" name="Gerader Verbinder 20">
          <a:extLst>
            <a:ext uri="{FF2B5EF4-FFF2-40B4-BE49-F238E27FC236}">
              <a16:creationId xmlns:a16="http://schemas.microsoft.com/office/drawing/2014/main" id="{00000000-0008-0000-0700-000015000000}"/>
            </a:ext>
          </a:extLst>
        </xdr:cNvPr>
        <xdr:cNvCxnSpPr/>
      </xdr:nvCxnSpPr>
      <xdr:spPr>
        <a:xfrm>
          <a:off x="6283341" y="8935810"/>
          <a:ext cx="0" cy="71845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23258</xdr:rowOff>
    </xdr:from>
    <xdr:to>
      <xdr:col>26</xdr:col>
      <xdr:colOff>196235</xdr:colOff>
      <xdr:row>57</xdr:row>
      <xdr:rowOff>23258</xdr:rowOff>
    </xdr:to>
    <xdr:cxnSp macro="">
      <xdr:nvCxnSpPr>
        <xdr:cNvPr id="22" name="Gerader Verbinder 21">
          <a:extLst>
            <a:ext uri="{FF2B5EF4-FFF2-40B4-BE49-F238E27FC236}">
              <a16:creationId xmlns:a16="http://schemas.microsoft.com/office/drawing/2014/main" id="{00000000-0008-0000-0700-000016000000}"/>
            </a:ext>
          </a:extLst>
        </xdr:cNvPr>
        <xdr:cNvCxnSpPr/>
      </xdr:nvCxnSpPr>
      <xdr:spPr>
        <a:xfrm>
          <a:off x="5402745" y="95577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52</xdr:row>
      <xdr:rowOff>37171</xdr:rowOff>
    </xdr:to>
    <xdr:cxnSp macro="">
      <xdr:nvCxnSpPr>
        <xdr:cNvPr id="23" name="Gerader Verbinder 22">
          <a:extLst>
            <a:ext uri="{FF2B5EF4-FFF2-40B4-BE49-F238E27FC236}">
              <a16:creationId xmlns:a16="http://schemas.microsoft.com/office/drawing/2014/main" id="{00000000-0008-0000-0700-000017000000}"/>
            </a:ext>
          </a:extLst>
        </xdr:cNvPr>
        <xdr:cNvCxnSpPr/>
      </xdr:nvCxnSpPr>
      <xdr:spPr>
        <a:xfrm>
          <a:off x="6282933" y="6044499"/>
          <a:ext cx="0" cy="271757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51</xdr:row>
      <xdr:rowOff>113209</xdr:rowOff>
    </xdr:from>
    <xdr:to>
      <xdr:col>26</xdr:col>
      <xdr:colOff>197625</xdr:colOff>
      <xdr:row>51</xdr:row>
      <xdr:rowOff>113209</xdr:rowOff>
    </xdr:to>
    <xdr:cxnSp macro="">
      <xdr:nvCxnSpPr>
        <xdr:cNvPr id="24" name="Gerader Verbinder 23">
          <a:extLst>
            <a:ext uri="{FF2B5EF4-FFF2-40B4-BE49-F238E27FC236}">
              <a16:creationId xmlns:a16="http://schemas.microsoft.com/office/drawing/2014/main" id="{00000000-0008-0000-0700-000018000000}"/>
            </a:ext>
          </a:extLst>
        </xdr:cNvPr>
        <xdr:cNvCxnSpPr/>
      </xdr:nvCxnSpPr>
      <xdr:spPr>
        <a:xfrm>
          <a:off x="5404135" y="8676184"/>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116158</xdr:colOff>
      <xdr:row>35</xdr:row>
      <xdr:rowOff>150759</xdr:rowOff>
    </xdr:from>
    <xdr:to>
      <xdr:col>26</xdr:col>
      <xdr:colOff>179210</xdr:colOff>
      <xdr:row>35</xdr:row>
      <xdr:rowOff>150759</xdr:rowOff>
    </xdr:to>
    <xdr:cxnSp macro="">
      <xdr:nvCxnSpPr>
        <xdr:cNvPr id="25" name="Gerader Verbinder 24">
          <a:extLst>
            <a:ext uri="{FF2B5EF4-FFF2-40B4-BE49-F238E27FC236}">
              <a16:creationId xmlns:a16="http://schemas.microsoft.com/office/drawing/2014/main" id="{00000000-0008-0000-0700-000019000000}"/>
            </a:ext>
          </a:extLst>
        </xdr:cNvPr>
        <xdr:cNvCxnSpPr/>
      </xdr:nvCxnSpPr>
      <xdr:spPr>
        <a:xfrm>
          <a:off x="5412058" y="6122934"/>
          <a:ext cx="93935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56</xdr:row>
      <xdr:rowOff>123461</xdr:rowOff>
    </xdr:from>
    <xdr:to>
      <xdr:col>26</xdr:col>
      <xdr:colOff>174620</xdr:colOff>
      <xdr:row>57</xdr:row>
      <xdr:rowOff>65645</xdr:rowOff>
    </xdr:to>
    <xdr:cxnSp macro="">
      <xdr:nvCxnSpPr>
        <xdr:cNvPr id="26" name="Gerader Verbinder 25">
          <a:extLst>
            <a:ext uri="{FF2B5EF4-FFF2-40B4-BE49-F238E27FC236}">
              <a16:creationId xmlns:a16="http://schemas.microsoft.com/office/drawing/2014/main" id="{00000000-0008-0000-0700-00001A000000}"/>
            </a:ext>
          </a:extLst>
        </xdr:cNvPr>
        <xdr:cNvCxnSpPr/>
      </xdr:nvCxnSpPr>
      <xdr:spPr>
        <a:xfrm flipV="1">
          <a:off x="6232116" y="9496061"/>
          <a:ext cx="114704" cy="104109"/>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51</xdr:row>
      <xdr:rowOff>57887</xdr:rowOff>
    </xdr:from>
    <xdr:to>
      <xdr:col>26</xdr:col>
      <xdr:colOff>172696</xdr:colOff>
      <xdr:row>52</xdr:row>
      <xdr:rowOff>8366</xdr:rowOff>
    </xdr:to>
    <xdr:cxnSp macro="">
      <xdr:nvCxnSpPr>
        <xdr:cNvPr id="27" name="Gerader Verbinder 26">
          <a:extLst>
            <a:ext uri="{FF2B5EF4-FFF2-40B4-BE49-F238E27FC236}">
              <a16:creationId xmlns:a16="http://schemas.microsoft.com/office/drawing/2014/main" id="{00000000-0008-0000-0700-00001B000000}"/>
            </a:ext>
          </a:extLst>
        </xdr:cNvPr>
        <xdr:cNvCxnSpPr/>
      </xdr:nvCxnSpPr>
      <xdr:spPr>
        <a:xfrm flipV="1">
          <a:off x="6230192" y="8620862"/>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8" name="Gerader Verbinder 27">
          <a:extLst>
            <a:ext uri="{FF2B5EF4-FFF2-40B4-BE49-F238E27FC236}">
              <a16:creationId xmlns:a16="http://schemas.microsoft.com/office/drawing/2014/main" id="{00000000-0008-0000-0700-00001C000000}"/>
            </a:ext>
          </a:extLst>
        </xdr:cNvPr>
        <xdr:cNvCxnSpPr/>
      </xdr:nvCxnSpPr>
      <xdr:spPr>
        <a:xfrm flipV="1">
          <a:off x="6225561" y="6067981"/>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11265" name="Drop Down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30" name="Grafik 29">
          <a:extLst>
            <a:ext uri="{FF2B5EF4-FFF2-40B4-BE49-F238E27FC236}">
              <a16:creationId xmlns:a16="http://schemas.microsoft.com/office/drawing/2014/main" id="{00000000-0008-0000-0700-00001E000000}"/>
            </a:ext>
          </a:extLst>
        </xdr:cNvPr>
        <xdr:cNvPicPr>
          <a:picLocks noChangeAspect="1"/>
        </xdr:cNvPicPr>
      </xdr:nvPicPr>
      <xdr:blipFill rotWithShape="1">
        <a:blip xmlns:r="http://schemas.openxmlformats.org/officeDocument/2006/relationships" r:embed="rId23">
          <a:duotone>
            <a:prstClr val="black"/>
            <a:schemeClr val="accent3">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Lst>
        </a:blip>
        <a:srcRect t="3845" b="7693"/>
        <a:stretch/>
      </xdr:blipFill>
      <xdr:spPr>
        <a:xfrm>
          <a:off x="2723027" y="6084234"/>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788</xdr:rowOff>
    </xdr:to>
    <xdr:pic>
      <xdr:nvPicPr>
        <xdr:cNvPr id="31" name="Grafik 30">
          <a:extLst>
            <a:ext uri="{FF2B5EF4-FFF2-40B4-BE49-F238E27FC236}">
              <a16:creationId xmlns:a16="http://schemas.microsoft.com/office/drawing/2014/main" id="{00000000-0008-0000-0700-00001F000000}"/>
            </a:ext>
          </a:extLst>
        </xdr:cNvPr>
        <xdr:cNvPicPr>
          <a:picLocks noChangeAspect="1"/>
        </xdr:cNvPicPr>
      </xdr:nvPicPr>
      <xdr:blipFill>
        <a:blip xmlns:r="http://schemas.openxmlformats.org/officeDocument/2006/relationships" r:embed="rId25">
          <a:duotone>
            <a:prstClr val="black"/>
            <a:schemeClr val="accent3">
              <a:tint val="45000"/>
              <a:satMod val="400000"/>
            </a:schemeClr>
          </a:duotone>
          <a:extLst>
            <a:ext uri="{BEBA8EAE-BF5A-486C-A8C5-ECC9F3942E4B}">
              <a14:imgProps xmlns:a14="http://schemas.microsoft.com/office/drawing/2010/main">
                <a14:imgLayer r:embed="rId26">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073030"/>
          <a:ext cx="1006848" cy="547633"/>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11269" name="Check Box 5" hidden="1">
              <a:extLst>
                <a:ext uri="{63B3BB69-23CF-44E3-9099-C40C66FF867C}">
                  <a14:compatExt spid="_x0000_s11269"/>
                </a:ext>
                <a:ext uri="{FF2B5EF4-FFF2-40B4-BE49-F238E27FC236}">
                  <a16:creationId xmlns:a16="http://schemas.microsoft.com/office/drawing/2014/main" id="{00000000-0008-0000-0700-00000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11270" name="Check Box 6" hidden="1">
              <a:extLst>
                <a:ext uri="{63B3BB69-23CF-44E3-9099-C40C66FF867C}">
                  <a14:compatExt spid="_x0000_s11270"/>
                </a:ext>
                <a:ext uri="{FF2B5EF4-FFF2-40B4-BE49-F238E27FC236}">
                  <a16:creationId xmlns:a16="http://schemas.microsoft.com/office/drawing/2014/main" id="{00000000-0008-0000-0700-00000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36</xdr:row>
          <xdr:rowOff>0</xdr:rowOff>
        </xdr:from>
        <xdr:to>
          <xdr:col>31</xdr:col>
          <xdr:colOff>0</xdr:colOff>
          <xdr:row>37</xdr:row>
          <xdr:rowOff>9525</xdr:rowOff>
        </xdr:to>
        <xdr:sp macro="" textlink="">
          <xdr:nvSpPr>
            <xdr:cNvPr id="11271" name="Check Box 7" hidden="1">
              <a:extLst>
                <a:ext uri="{63B3BB69-23CF-44E3-9099-C40C66FF867C}">
                  <a14:compatExt spid="_x0000_s11271"/>
                </a:ext>
                <a:ext uri="{FF2B5EF4-FFF2-40B4-BE49-F238E27FC236}">
                  <a16:creationId xmlns:a16="http://schemas.microsoft.com/office/drawing/2014/main" id="{00000000-0008-0000-0700-00000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11272" name="Check Box 8" hidden="1">
              <a:extLst>
                <a:ext uri="{63B3BB69-23CF-44E3-9099-C40C66FF867C}">
                  <a14:compatExt spid="_x0000_s11272"/>
                </a:ext>
                <a:ext uri="{FF2B5EF4-FFF2-40B4-BE49-F238E27FC236}">
                  <a16:creationId xmlns:a16="http://schemas.microsoft.com/office/drawing/2014/main" id="{00000000-0008-0000-0700-00000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11273" name="Check Box 9" hidden="1">
              <a:extLst>
                <a:ext uri="{63B3BB69-23CF-44E3-9099-C40C66FF867C}">
                  <a14:compatExt spid="_x0000_s11273"/>
                </a:ext>
                <a:ext uri="{FF2B5EF4-FFF2-40B4-BE49-F238E27FC236}">
                  <a16:creationId xmlns:a16="http://schemas.microsoft.com/office/drawing/2014/main" id="{00000000-0008-0000-0700-00000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31</xdr:col>
          <xdr:colOff>0</xdr:colOff>
          <xdr:row>33</xdr:row>
          <xdr:rowOff>9525</xdr:rowOff>
        </xdr:to>
        <xdr:sp macro="" textlink="">
          <xdr:nvSpPr>
            <xdr:cNvPr id="11274" name="Check Box 10" hidden="1">
              <a:extLst>
                <a:ext uri="{63B3BB69-23CF-44E3-9099-C40C66FF867C}">
                  <a14:compatExt spid="_x0000_s11274"/>
                </a:ext>
                <a:ext uri="{FF2B5EF4-FFF2-40B4-BE49-F238E27FC236}">
                  <a16:creationId xmlns:a16="http://schemas.microsoft.com/office/drawing/2014/main" id="{00000000-0008-0000-0700-00000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32</xdr:row>
          <xdr:rowOff>0</xdr:rowOff>
        </xdr:from>
        <xdr:to>
          <xdr:col>40</xdr:col>
          <xdr:colOff>0</xdr:colOff>
          <xdr:row>33</xdr:row>
          <xdr:rowOff>0</xdr:rowOff>
        </xdr:to>
        <xdr:sp macro="" textlink="">
          <xdr:nvSpPr>
            <xdr:cNvPr id="11275" name="Check Box 11" hidden="1">
              <a:extLst>
                <a:ext uri="{63B3BB69-23CF-44E3-9099-C40C66FF867C}">
                  <a14:compatExt spid="_x0000_s11275"/>
                </a:ext>
                <a:ext uri="{FF2B5EF4-FFF2-40B4-BE49-F238E27FC236}">
                  <a16:creationId xmlns:a16="http://schemas.microsoft.com/office/drawing/2014/main" id="{00000000-0008-0000-0700-00000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5</xdr:row>
          <xdr:rowOff>9525</xdr:rowOff>
        </xdr:to>
        <xdr:sp macro="" textlink="">
          <xdr:nvSpPr>
            <xdr:cNvPr id="11276" name="Check Box 12" hidden="1">
              <a:extLst>
                <a:ext uri="{63B3BB69-23CF-44E3-9099-C40C66FF867C}">
                  <a14:compatExt spid="_x0000_s11276"/>
                </a:ext>
                <a:ext uri="{FF2B5EF4-FFF2-40B4-BE49-F238E27FC236}">
                  <a16:creationId xmlns:a16="http://schemas.microsoft.com/office/drawing/2014/main" id="{00000000-0008-0000-0700-00000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19050</xdr:rowOff>
        </xdr:to>
        <xdr:sp macro="" textlink="">
          <xdr:nvSpPr>
            <xdr:cNvPr id="11277" name="Check Box 13" hidden="1">
              <a:extLst>
                <a:ext uri="{63B3BB69-23CF-44E3-9099-C40C66FF867C}">
                  <a14:compatExt spid="_x0000_s11277"/>
                </a:ext>
                <a:ext uri="{FF2B5EF4-FFF2-40B4-BE49-F238E27FC236}">
                  <a16:creationId xmlns:a16="http://schemas.microsoft.com/office/drawing/2014/main" id="{00000000-0008-0000-0700-00000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11278" name="Check Box 14" hidden="1">
              <a:extLst>
                <a:ext uri="{63B3BB69-23CF-44E3-9099-C40C66FF867C}">
                  <a14:compatExt spid="_x0000_s11278"/>
                </a:ext>
                <a:ext uri="{FF2B5EF4-FFF2-40B4-BE49-F238E27FC236}">
                  <a16:creationId xmlns:a16="http://schemas.microsoft.com/office/drawing/2014/main" id="{00000000-0008-0000-0700-00000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11279" name="Check Box 15" hidden="1">
              <a:extLst>
                <a:ext uri="{63B3BB69-23CF-44E3-9099-C40C66FF867C}">
                  <a14:compatExt spid="_x0000_s11279"/>
                </a:ext>
                <a:ext uri="{FF2B5EF4-FFF2-40B4-BE49-F238E27FC236}">
                  <a16:creationId xmlns:a16="http://schemas.microsoft.com/office/drawing/2014/main" id="{00000000-0008-0000-0700-00000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19050</xdr:rowOff>
        </xdr:to>
        <xdr:sp macro="" textlink="">
          <xdr:nvSpPr>
            <xdr:cNvPr id="11280" name="Check Box 16" hidden="1">
              <a:extLst>
                <a:ext uri="{63B3BB69-23CF-44E3-9099-C40C66FF867C}">
                  <a14:compatExt spid="_x0000_s11280"/>
                </a:ext>
                <a:ext uri="{FF2B5EF4-FFF2-40B4-BE49-F238E27FC236}">
                  <a16:creationId xmlns:a16="http://schemas.microsoft.com/office/drawing/2014/main" id="{00000000-0008-0000-0700-00001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11281" name="Check Box 17" hidden="1">
              <a:extLst>
                <a:ext uri="{63B3BB69-23CF-44E3-9099-C40C66FF867C}">
                  <a14:compatExt spid="_x0000_s11281"/>
                </a:ext>
                <a:ext uri="{FF2B5EF4-FFF2-40B4-BE49-F238E27FC236}">
                  <a16:creationId xmlns:a16="http://schemas.microsoft.com/office/drawing/2014/main" id="{00000000-0008-0000-0700-00001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50053</xdr:colOff>
      <xdr:row>48</xdr:row>
      <xdr:rowOff>116001</xdr:rowOff>
    </xdr:from>
    <xdr:to>
      <xdr:col>4</xdr:col>
      <xdr:colOff>78381</xdr:colOff>
      <xdr:row>49</xdr:row>
      <xdr:rowOff>76916</xdr:rowOff>
    </xdr:to>
    <xdr:cxnSp macro="">
      <xdr:nvCxnSpPr>
        <xdr:cNvPr id="48" name="Gerader Verbinder 47">
          <a:extLst>
            <a:ext uri="{FF2B5EF4-FFF2-40B4-BE49-F238E27FC236}">
              <a16:creationId xmlns:a16="http://schemas.microsoft.com/office/drawing/2014/main" id="{00000000-0008-0000-0700-000030000000}"/>
            </a:ext>
          </a:extLst>
        </xdr:cNvPr>
        <xdr:cNvCxnSpPr/>
      </xdr:nvCxnSpPr>
      <xdr:spPr>
        <a:xfrm flipV="1">
          <a:off x="1316878" y="8193201"/>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103516</xdr:colOff>
      <xdr:row>48</xdr:row>
      <xdr:rowOff>111917</xdr:rowOff>
    </xdr:from>
    <xdr:to>
      <xdr:col>14</xdr:col>
      <xdr:colOff>215188</xdr:colOff>
      <xdr:row>49</xdr:row>
      <xdr:rowOff>75126</xdr:rowOff>
    </xdr:to>
    <xdr:cxnSp macro="">
      <xdr:nvCxnSpPr>
        <xdr:cNvPr id="49" name="Gerader Verbinder 48">
          <a:extLst>
            <a:ext uri="{FF2B5EF4-FFF2-40B4-BE49-F238E27FC236}">
              <a16:creationId xmlns:a16="http://schemas.microsoft.com/office/drawing/2014/main" id="{00000000-0008-0000-0700-000031000000}"/>
            </a:ext>
          </a:extLst>
        </xdr:cNvPr>
        <xdr:cNvCxnSpPr/>
      </xdr:nvCxnSpPr>
      <xdr:spPr>
        <a:xfrm flipV="1">
          <a:off x="3646816" y="818911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114300</xdr:rowOff>
        </xdr:from>
        <xdr:to>
          <xdr:col>7</xdr:col>
          <xdr:colOff>38100</xdr:colOff>
          <xdr:row>44</xdr:row>
          <xdr:rowOff>114300</xdr:rowOff>
        </xdr:to>
        <xdr:sp macro="" textlink="">
          <xdr:nvSpPr>
            <xdr:cNvPr id="11282" name="Check Box 18" hidden="1">
              <a:extLst>
                <a:ext uri="{63B3BB69-23CF-44E3-9099-C40C66FF867C}">
                  <a14:compatExt spid="_x0000_s11282"/>
                </a:ext>
                <a:ext uri="{FF2B5EF4-FFF2-40B4-BE49-F238E27FC236}">
                  <a16:creationId xmlns:a16="http://schemas.microsoft.com/office/drawing/2014/main" id="{00000000-0008-0000-0700-00001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114300</xdr:rowOff>
        </xdr:from>
        <xdr:to>
          <xdr:col>12</xdr:col>
          <xdr:colOff>152400</xdr:colOff>
          <xdr:row>44</xdr:row>
          <xdr:rowOff>104775</xdr:rowOff>
        </xdr:to>
        <xdr:sp macro="" textlink="">
          <xdr:nvSpPr>
            <xdr:cNvPr id="11283" name="Check Box 19" hidden="1">
              <a:extLst>
                <a:ext uri="{63B3BB69-23CF-44E3-9099-C40C66FF867C}">
                  <a14:compatExt spid="_x0000_s11283"/>
                </a:ext>
                <a:ext uri="{FF2B5EF4-FFF2-40B4-BE49-F238E27FC236}">
                  <a16:creationId xmlns:a16="http://schemas.microsoft.com/office/drawing/2014/main" id="{00000000-0008-0000-0700-00001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52</xdr:row>
          <xdr:rowOff>85725</xdr:rowOff>
        </xdr:from>
        <xdr:to>
          <xdr:col>8</xdr:col>
          <xdr:colOff>171450</xdr:colOff>
          <xdr:row>53</xdr:row>
          <xdr:rowOff>85725</xdr:rowOff>
        </xdr:to>
        <xdr:sp macro="" textlink="">
          <xdr:nvSpPr>
            <xdr:cNvPr id="11284" name="Check Box 20" hidden="1">
              <a:extLst>
                <a:ext uri="{63B3BB69-23CF-44E3-9099-C40C66FF867C}">
                  <a14:compatExt spid="_x0000_s11284"/>
                </a:ext>
                <a:ext uri="{FF2B5EF4-FFF2-40B4-BE49-F238E27FC236}">
                  <a16:creationId xmlns:a16="http://schemas.microsoft.com/office/drawing/2014/main" id="{00000000-0008-0000-0700-00001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219075</xdr:colOff>
          <xdr:row>52</xdr:row>
          <xdr:rowOff>85725</xdr:rowOff>
        </xdr:from>
        <xdr:to>
          <xdr:col>11</xdr:col>
          <xdr:colOff>0</xdr:colOff>
          <xdr:row>53</xdr:row>
          <xdr:rowOff>85725</xdr:rowOff>
        </xdr:to>
        <xdr:sp macro="" textlink="">
          <xdr:nvSpPr>
            <xdr:cNvPr id="11285" name="Check Box 21" hidden="1">
              <a:extLst>
                <a:ext uri="{63B3BB69-23CF-44E3-9099-C40C66FF867C}">
                  <a14:compatExt spid="_x0000_s11285"/>
                </a:ext>
                <a:ext uri="{FF2B5EF4-FFF2-40B4-BE49-F238E27FC236}">
                  <a16:creationId xmlns:a16="http://schemas.microsoft.com/office/drawing/2014/main" id="{00000000-0008-0000-0700-00001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47</xdr:row>
      <xdr:rowOff>5443</xdr:rowOff>
    </xdr:from>
    <xdr:to>
      <xdr:col>14</xdr:col>
      <xdr:colOff>152400</xdr:colOff>
      <xdr:row>50</xdr:row>
      <xdr:rowOff>81643</xdr:rowOff>
    </xdr:to>
    <xdr:cxnSp macro="">
      <xdr:nvCxnSpPr>
        <xdr:cNvPr id="54" name="Gerader Verbinder 53">
          <a:extLst>
            <a:ext uri="{FF2B5EF4-FFF2-40B4-BE49-F238E27FC236}">
              <a16:creationId xmlns:a16="http://schemas.microsoft.com/office/drawing/2014/main" id="{00000000-0008-0000-0700-000036000000}"/>
            </a:ext>
          </a:extLst>
        </xdr:cNvPr>
        <xdr:cNvCxnSpPr/>
      </xdr:nvCxnSpPr>
      <xdr:spPr>
        <a:xfrm>
          <a:off x="3695700" y="7920718"/>
          <a:ext cx="0" cy="561975"/>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30</xdr:col>
          <xdr:colOff>0</xdr:colOff>
          <xdr:row>54</xdr:row>
          <xdr:rowOff>142875</xdr:rowOff>
        </xdr:from>
        <xdr:to>
          <xdr:col>31</xdr:col>
          <xdr:colOff>0</xdr:colOff>
          <xdr:row>55</xdr:row>
          <xdr:rowOff>142875</xdr:rowOff>
        </xdr:to>
        <xdr:sp macro="" textlink="">
          <xdr:nvSpPr>
            <xdr:cNvPr id="11286" name="Check Box 22" hidden="1">
              <a:extLst>
                <a:ext uri="{63B3BB69-23CF-44E3-9099-C40C66FF867C}">
                  <a14:compatExt spid="_x0000_s11286"/>
                </a:ext>
                <a:ext uri="{FF2B5EF4-FFF2-40B4-BE49-F238E27FC236}">
                  <a16:creationId xmlns:a16="http://schemas.microsoft.com/office/drawing/2014/main" id="{00000000-0008-0000-0700-00001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xdr:col>
      <xdr:colOff>19050</xdr:colOff>
      <xdr:row>47</xdr:row>
      <xdr:rowOff>16329</xdr:rowOff>
    </xdr:from>
    <xdr:to>
      <xdr:col>4</xdr:col>
      <xdr:colOff>19050</xdr:colOff>
      <xdr:row>50</xdr:row>
      <xdr:rowOff>70757</xdr:rowOff>
    </xdr:to>
    <xdr:cxnSp macro="">
      <xdr:nvCxnSpPr>
        <xdr:cNvPr id="56" name="Gerader Verbinder 55">
          <a:extLst>
            <a:ext uri="{FF2B5EF4-FFF2-40B4-BE49-F238E27FC236}">
              <a16:creationId xmlns:a16="http://schemas.microsoft.com/office/drawing/2014/main" id="{00000000-0008-0000-0700-000038000000}"/>
            </a:ext>
          </a:extLst>
        </xdr:cNvPr>
        <xdr:cNvCxnSpPr/>
      </xdr:nvCxnSpPr>
      <xdr:spPr>
        <a:xfrm>
          <a:off x="1371600" y="7931604"/>
          <a:ext cx="0" cy="540203"/>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37</xdr:col>
          <xdr:colOff>219075</xdr:colOff>
          <xdr:row>55</xdr:row>
          <xdr:rowOff>0</xdr:rowOff>
        </xdr:from>
        <xdr:to>
          <xdr:col>39</xdr:col>
          <xdr:colOff>0</xdr:colOff>
          <xdr:row>56</xdr:row>
          <xdr:rowOff>0</xdr:rowOff>
        </xdr:to>
        <xdr:sp macro="" textlink="">
          <xdr:nvSpPr>
            <xdr:cNvPr id="11287" name="Check Box 23" hidden="1">
              <a:extLst>
                <a:ext uri="{63B3BB69-23CF-44E3-9099-C40C66FF867C}">
                  <a14:compatExt spid="_x0000_s11287"/>
                </a:ext>
                <a:ext uri="{FF2B5EF4-FFF2-40B4-BE49-F238E27FC236}">
                  <a16:creationId xmlns:a16="http://schemas.microsoft.com/office/drawing/2014/main" id="{00000000-0008-0000-0700-00001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11288" name="Check Box 24" hidden="1">
              <a:extLst>
                <a:ext uri="{63B3BB69-23CF-44E3-9099-C40C66FF867C}">
                  <a14:compatExt spid="_x0000_s11288"/>
                </a:ext>
                <a:ext uri="{FF2B5EF4-FFF2-40B4-BE49-F238E27FC236}">
                  <a16:creationId xmlns:a16="http://schemas.microsoft.com/office/drawing/2014/main" id="{00000000-0008-0000-0700-00001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33</xdr:col>
          <xdr:colOff>180975</xdr:colOff>
          <xdr:row>62</xdr:row>
          <xdr:rowOff>0</xdr:rowOff>
        </xdr:from>
        <xdr:to>
          <xdr:col>34</xdr:col>
          <xdr:colOff>190500</xdr:colOff>
          <xdr:row>63</xdr:row>
          <xdr:rowOff>9525</xdr:rowOff>
        </xdr:to>
        <xdr:sp macro="" textlink="">
          <xdr:nvSpPr>
            <xdr:cNvPr id="11289" name="Check Box 25" hidden="1">
              <a:extLst>
                <a:ext uri="{63B3BB69-23CF-44E3-9099-C40C66FF867C}">
                  <a14:compatExt spid="_x0000_s11289"/>
                </a:ext>
                <a:ext uri="{FF2B5EF4-FFF2-40B4-BE49-F238E27FC236}">
                  <a16:creationId xmlns:a16="http://schemas.microsoft.com/office/drawing/2014/main" id="{00000000-0008-0000-0700-00001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104775</xdr:colOff>
          <xdr:row>62</xdr:row>
          <xdr:rowOff>0</xdr:rowOff>
        </xdr:from>
        <xdr:to>
          <xdr:col>38</xdr:col>
          <xdr:colOff>104775</xdr:colOff>
          <xdr:row>63</xdr:row>
          <xdr:rowOff>19050</xdr:rowOff>
        </xdr:to>
        <xdr:sp macro="" textlink="">
          <xdr:nvSpPr>
            <xdr:cNvPr id="11290" name="Check Box 26" hidden="1">
              <a:extLst>
                <a:ext uri="{63B3BB69-23CF-44E3-9099-C40C66FF867C}">
                  <a14:compatExt spid="_x0000_s11290"/>
                </a:ext>
                <a:ext uri="{FF2B5EF4-FFF2-40B4-BE49-F238E27FC236}">
                  <a16:creationId xmlns:a16="http://schemas.microsoft.com/office/drawing/2014/main" id="{00000000-0008-0000-0700-00001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57150</xdr:colOff>
          <xdr:row>62</xdr:row>
          <xdr:rowOff>0</xdr:rowOff>
        </xdr:from>
        <xdr:to>
          <xdr:col>42</xdr:col>
          <xdr:colOff>57150</xdr:colOff>
          <xdr:row>63</xdr:row>
          <xdr:rowOff>9525</xdr:rowOff>
        </xdr:to>
        <xdr:sp macro="" textlink="">
          <xdr:nvSpPr>
            <xdr:cNvPr id="11291" name="Check Box 27" hidden="1">
              <a:extLst>
                <a:ext uri="{63B3BB69-23CF-44E3-9099-C40C66FF867C}">
                  <a14:compatExt spid="_x0000_s11291"/>
                </a:ext>
                <a:ext uri="{FF2B5EF4-FFF2-40B4-BE49-F238E27FC236}">
                  <a16:creationId xmlns:a16="http://schemas.microsoft.com/office/drawing/2014/main" id="{00000000-0008-0000-0700-00001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11292" name="Check Box 28" hidden="1">
              <a:extLst>
                <a:ext uri="{63B3BB69-23CF-44E3-9099-C40C66FF867C}">
                  <a14:compatExt spid="_x0000_s11292"/>
                </a:ext>
                <a:ext uri="{FF2B5EF4-FFF2-40B4-BE49-F238E27FC236}">
                  <a16:creationId xmlns:a16="http://schemas.microsoft.com/office/drawing/2014/main" id="{00000000-0008-0000-0700-00001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11293" name="Check Box 29" hidden="1">
              <a:extLst>
                <a:ext uri="{63B3BB69-23CF-44E3-9099-C40C66FF867C}">
                  <a14:compatExt spid="_x0000_s11293"/>
                </a:ext>
                <a:ext uri="{FF2B5EF4-FFF2-40B4-BE49-F238E27FC236}">
                  <a16:creationId xmlns:a16="http://schemas.microsoft.com/office/drawing/2014/main" id="{00000000-0008-0000-0700-00001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11294" name="Check Box 30" hidden="1">
              <a:extLst>
                <a:ext uri="{63B3BB69-23CF-44E3-9099-C40C66FF867C}">
                  <a14:compatExt spid="_x0000_s11294"/>
                </a:ext>
                <a:ext uri="{FF2B5EF4-FFF2-40B4-BE49-F238E27FC236}">
                  <a16:creationId xmlns:a16="http://schemas.microsoft.com/office/drawing/2014/main" id="{00000000-0008-0000-0700-00001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11295" name="Check Box 31" hidden="1">
              <a:extLst>
                <a:ext uri="{63B3BB69-23CF-44E3-9099-C40C66FF867C}">
                  <a14:compatExt spid="_x0000_s11295"/>
                </a:ext>
                <a:ext uri="{FF2B5EF4-FFF2-40B4-BE49-F238E27FC236}">
                  <a16:creationId xmlns:a16="http://schemas.microsoft.com/office/drawing/2014/main" id="{00000000-0008-0000-0700-00001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66" name="Gerader Verbinder 65">
          <a:extLst>
            <a:ext uri="{FF2B5EF4-FFF2-40B4-BE49-F238E27FC236}">
              <a16:creationId xmlns:a16="http://schemas.microsoft.com/office/drawing/2014/main" id="{00000000-0008-0000-0700-000042000000}"/>
            </a:ext>
          </a:extLst>
        </xdr:cNvPr>
        <xdr:cNvCxnSpPr/>
      </xdr:nvCxnSpPr>
      <xdr:spPr>
        <a:xfrm>
          <a:off x="5464488" y="7953492"/>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67" name="Gerader Verbinder 66">
          <a:extLst>
            <a:ext uri="{FF2B5EF4-FFF2-40B4-BE49-F238E27FC236}">
              <a16:creationId xmlns:a16="http://schemas.microsoft.com/office/drawing/2014/main" id="{00000000-0008-0000-0700-000043000000}"/>
            </a:ext>
          </a:extLst>
        </xdr:cNvPr>
        <xdr:cNvCxnSpPr/>
      </xdr:nvCxnSpPr>
      <xdr:spPr>
        <a:xfrm>
          <a:off x="5620705" y="7337270"/>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68" name="Gerader Verbinder 67">
          <a:extLst>
            <a:ext uri="{FF2B5EF4-FFF2-40B4-BE49-F238E27FC236}">
              <a16:creationId xmlns:a16="http://schemas.microsoft.com/office/drawing/2014/main" id="{00000000-0008-0000-0700-000044000000}"/>
            </a:ext>
          </a:extLst>
        </xdr:cNvPr>
        <xdr:cNvCxnSpPr/>
      </xdr:nvCxnSpPr>
      <xdr:spPr>
        <a:xfrm>
          <a:off x="5094773" y="7432788"/>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69" name="Gerader Verbinder 68">
          <a:extLst>
            <a:ext uri="{FF2B5EF4-FFF2-40B4-BE49-F238E27FC236}">
              <a16:creationId xmlns:a16="http://schemas.microsoft.com/office/drawing/2014/main" id="{00000000-0008-0000-0700-000045000000}"/>
            </a:ext>
          </a:extLst>
        </xdr:cNvPr>
        <xdr:cNvCxnSpPr/>
      </xdr:nvCxnSpPr>
      <xdr:spPr>
        <a:xfrm flipV="1">
          <a:off x="5564542" y="7375392"/>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70" name="Gerader Verbinder 69">
          <a:extLst>
            <a:ext uri="{FF2B5EF4-FFF2-40B4-BE49-F238E27FC236}">
              <a16:creationId xmlns:a16="http://schemas.microsoft.com/office/drawing/2014/main" id="{00000000-0008-0000-0700-000046000000}"/>
            </a:ext>
          </a:extLst>
        </xdr:cNvPr>
        <xdr:cNvCxnSpPr/>
      </xdr:nvCxnSpPr>
      <xdr:spPr>
        <a:xfrm flipV="1">
          <a:off x="5564542" y="7893692"/>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11296" name="Check Box 32" hidden="1">
              <a:extLst>
                <a:ext uri="{63B3BB69-23CF-44E3-9099-C40C66FF867C}">
                  <a14:compatExt spid="_x0000_s11296"/>
                </a:ext>
                <a:ext uri="{FF2B5EF4-FFF2-40B4-BE49-F238E27FC236}">
                  <a16:creationId xmlns:a16="http://schemas.microsoft.com/office/drawing/2014/main" id="{00000000-0008-0000-0700-00002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11297" name="Check Box 33" hidden="1">
              <a:extLst>
                <a:ext uri="{63B3BB69-23CF-44E3-9099-C40C66FF867C}">
                  <a14:compatExt spid="_x0000_s11297"/>
                </a:ext>
                <a:ext uri="{FF2B5EF4-FFF2-40B4-BE49-F238E27FC236}">
                  <a16:creationId xmlns:a16="http://schemas.microsoft.com/office/drawing/2014/main" id="{00000000-0008-0000-0700-00002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11298" name="Check Box 34" hidden="1">
              <a:extLst>
                <a:ext uri="{63B3BB69-23CF-44E3-9099-C40C66FF867C}">
                  <a14:compatExt spid="_x0000_s11298"/>
                </a:ext>
                <a:ext uri="{FF2B5EF4-FFF2-40B4-BE49-F238E27FC236}">
                  <a16:creationId xmlns:a16="http://schemas.microsoft.com/office/drawing/2014/main" id="{00000000-0008-0000-0700-00002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11299" name="Check Box 35" hidden="1">
              <a:extLst>
                <a:ext uri="{63B3BB69-23CF-44E3-9099-C40C66FF867C}">
                  <a14:compatExt spid="_x0000_s11299"/>
                </a:ext>
                <a:ext uri="{FF2B5EF4-FFF2-40B4-BE49-F238E27FC236}">
                  <a16:creationId xmlns:a16="http://schemas.microsoft.com/office/drawing/2014/main" id="{00000000-0008-0000-0700-00002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1300" name="Check Box 36" hidden="1">
              <a:extLst>
                <a:ext uri="{63B3BB69-23CF-44E3-9099-C40C66FF867C}">
                  <a14:compatExt spid="_x0000_s11300"/>
                </a:ext>
                <a:ext uri="{FF2B5EF4-FFF2-40B4-BE49-F238E27FC236}">
                  <a16:creationId xmlns:a16="http://schemas.microsoft.com/office/drawing/2014/main" id="{00000000-0008-0000-0700-00002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11301" name="Check Box 37" hidden="1">
              <a:extLst>
                <a:ext uri="{63B3BB69-23CF-44E3-9099-C40C66FF867C}">
                  <a14:compatExt spid="_x0000_s11301"/>
                </a:ext>
                <a:ext uri="{FF2B5EF4-FFF2-40B4-BE49-F238E27FC236}">
                  <a16:creationId xmlns:a16="http://schemas.microsoft.com/office/drawing/2014/main" id="{00000000-0008-0000-0700-00002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11302" name="Check Box 38" hidden="1">
              <a:extLst>
                <a:ext uri="{63B3BB69-23CF-44E3-9099-C40C66FF867C}">
                  <a14:compatExt spid="_x0000_s11302"/>
                </a:ext>
                <a:ext uri="{FF2B5EF4-FFF2-40B4-BE49-F238E27FC236}">
                  <a16:creationId xmlns:a16="http://schemas.microsoft.com/office/drawing/2014/main" id="{00000000-0008-0000-0700-00002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89</xdr:row>
          <xdr:rowOff>0</xdr:rowOff>
        </xdr:from>
        <xdr:to>
          <xdr:col>21</xdr:col>
          <xdr:colOff>0</xdr:colOff>
          <xdr:row>90</xdr:row>
          <xdr:rowOff>0</xdr:rowOff>
        </xdr:to>
        <xdr:sp macro="" textlink="">
          <xdr:nvSpPr>
            <xdr:cNvPr id="11303" name="Check Box 39" hidden="1">
              <a:extLst>
                <a:ext uri="{63B3BB69-23CF-44E3-9099-C40C66FF867C}">
                  <a14:compatExt spid="_x0000_s11303"/>
                </a:ext>
                <a:ext uri="{FF2B5EF4-FFF2-40B4-BE49-F238E27FC236}">
                  <a16:creationId xmlns:a16="http://schemas.microsoft.com/office/drawing/2014/main" id="{00000000-0008-0000-0700-00002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219075</xdr:colOff>
          <xdr:row>95</xdr:row>
          <xdr:rowOff>0</xdr:rowOff>
        </xdr:from>
        <xdr:to>
          <xdr:col>21</xdr:col>
          <xdr:colOff>0</xdr:colOff>
          <xdr:row>96</xdr:row>
          <xdr:rowOff>0</xdr:rowOff>
        </xdr:to>
        <xdr:sp macro="" textlink="">
          <xdr:nvSpPr>
            <xdr:cNvPr id="11304" name="Check Box 40" hidden="1">
              <a:extLst>
                <a:ext uri="{63B3BB69-23CF-44E3-9099-C40C66FF867C}">
                  <a14:compatExt spid="_x0000_s11304"/>
                </a:ext>
                <a:ext uri="{FF2B5EF4-FFF2-40B4-BE49-F238E27FC236}">
                  <a16:creationId xmlns:a16="http://schemas.microsoft.com/office/drawing/2014/main" id="{00000000-0008-0000-0700-000028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70757</xdr:rowOff>
    </xdr:from>
    <xdr:to>
      <xdr:col>16</xdr:col>
      <xdr:colOff>156882</xdr:colOff>
      <xdr:row>75</xdr:row>
      <xdr:rowOff>133829</xdr:rowOff>
    </xdr:to>
    <xdr:sp macro="" textlink="">
      <xdr:nvSpPr>
        <xdr:cNvPr id="80" name="Rechteck 79">
          <a:extLst>
            <a:ext uri="{FF2B5EF4-FFF2-40B4-BE49-F238E27FC236}">
              <a16:creationId xmlns:a16="http://schemas.microsoft.com/office/drawing/2014/main" id="{00000000-0008-0000-0700-000050000000}"/>
            </a:ext>
          </a:extLst>
        </xdr:cNvPr>
        <xdr:cNvSpPr/>
      </xdr:nvSpPr>
      <xdr:spPr>
        <a:xfrm>
          <a:off x="3964620" y="12034157"/>
          <a:ext cx="173712" cy="54884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11305" name="Check Box 41" hidden="1">
              <a:extLst>
                <a:ext uri="{63B3BB69-23CF-44E3-9099-C40C66FF867C}">
                  <a14:compatExt spid="_x0000_s11305"/>
                </a:ext>
                <a:ext uri="{FF2B5EF4-FFF2-40B4-BE49-F238E27FC236}">
                  <a16:creationId xmlns:a16="http://schemas.microsoft.com/office/drawing/2014/main" id="{00000000-0008-0000-0700-000029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11306" name="Check Box 42" hidden="1">
              <a:extLst>
                <a:ext uri="{63B3BB69-23CF-44E3-9099-C40C66FF867C}">
                  <a14:compatExt spid="_x0000_s11306"/>
                </a:ext>
                <a:ext uri="{FF2B5EF4-FFF2-40B4-BE49-F238E27FC236}">
                  <a16:creationId xmlns:a16="http://schemas.microsoft.com/office/drawing/2014/main" id="{00000000-0008-0000-0700-00002A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11307" name="Check Box 43" hidden="1">
              <a:extLst>
                <a:ext uri="{63B3BB69-23CF-44E3-9099-C40C66FF867C}">
                  <a14:compatExt spid="_x0000_s11307"/>
                </a:ext>
                <a:ext uri="{FF2B5EF4-FFF2-40B4-BE49-F238E27FC236}">
                  <a16:creationId xmlns:a16="http://schemas.microsoft.com/office/drawing/2014/main" id="{00000000-0008-0000-0700-00002B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92528</xdr:rowOff>
    </xdr:to>
    <xdr:sp macro="" textlink="">
      <xdr:nvSpPr>
        <xdr:cNvPr id="84" name="Rechteck 83">
          <a:extLst>
            <a:ext uri="{FF2B5EF4-FFF2-40B4-BE49-F238E27FC236}">
              <a16:creationId xmlns:a16="http://schemas.microsoft.com/office/drawing/2014/main" id="{00000000-0008-0000-0700-000054000000}"/>
            </a:ext>
          </a:extLst>
        </xdr:cNvPr>
        <xdr:cNvSpPr/>
      </xdr:nvSpPr>
      <xdr:spPr>
        <a:xfrm>
          <a:off x="3432341" y="13056396"/>
          <a:ext cx="186551" cy="60925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104775</xdr:colOff>
          <xdr:row>80</xdr:row>
          <xdr:rowOff>152400</xdr:rowOff>
        </xdr:from>
        <xdr:to>
          <xdr:col>14</xdr:col>
          <xdr:colOff>104775</xdr:colOff>
          <xdr:row>82</xdr:row>
          <xdr:rowOff>0</xdr:rowOff>
        </xdr:to>
        <xdr:sp macro="" textlink="">
          <xdr:nvSpPr>
            <xdr:cNvPr id="11308" name="Check Box 44" hidden="1">
              <a:extLst>
                <a:ext uri="{63B3BB69-23CF-44E3-9099-C40C66FF867C}">
                  <a14:compatExt spid="_x0000_s11308"/>
                </a:ext>
                <a:ext uri="{FF2B5EF4-FFF2-40B4-BE49-F238E27FC236}">
                  <a16:creationId xmlns:a16="http://schemas.microsoft.com/office/drawing/2014/main" id="{00000000-0008-0000-0700-00002C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86" name="Rechteck 85">
          <a:extLst>
            <a:ext uri="{FF2B5EF4-FFF2-40B4-BE49-F238E27FC236}">
              <a16:creationId xmlns:a16="http://schemas.microsoft.com/office/drawing/2014/main" id="{00000000-0008-0000-0700-000056000000}"/>
            </a:ext>
          </a:extLst>
        </xdr:cNvPr>
        <xdr:cNvSpPr/>
      </xdr:nvSpPr>
      <xdr:spPr>
        <a:xfrm>
          <a:off x="3365106" y="10348002"/>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11309" name="Check Box 45" hidden="1">
              <a:extLst>
                <a:ext uri="{63B3BB69-23CF-44E3-9099-C40C66FF867C}">
                  <a14:compatExt spid="_x0000_s11309"/>
                </a:ext>
                <a:ext uri="{FF2B5EF4-FFF2-40B4-BE49-F238E27FC236}">
                  <a16:creationId xmlns:a16="http://schemas.microsoft.com/office/drawing/2014/main" id="{00000000-0008-0000-0700-00002D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55</xdr:row>
          <xdr:rowOff>0</xdr:rowOff>
        </xdr:from>
        <xdr:to>
          <xdr:col>24</xdr:col>
          <xdr:colOff>0</xdr:colOff>
          <xdr:row>56</xdr:row>
          <xdr:rowOff>38100</xdr:rowOff>
        </xdr:to>
        <xdr:sp macro="" textlink="">
          <xdr:nvSpPr>
            <xdr:cNvPr id="11310" name="Check Box 46" hidden="1">
              <a:extLst>
                <a:ext uri="{63B3BB69-23CF-44E3-9099-C40C66FF867C}">
                  <a14:compatExt spid="_x0000_s11310"/>
                </a:ext>
                <a:ext uri="{FF2B5EF4-FFF2-40B4-BE49-F238E27FC236}">
                  <a16:creationId xmlns:a16="http://schemas.microsoft.com/office/drawing/2014/main" id="{00000000-0008-0000-0700-00002E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89" name="Gerader Verbinder 88">
          <a:extLst>
            <a:ext uri="{FF2B5EF4-FFF2-40B4-BE49-F238E27FC236}">
              <a16:creationId xmlns:a16="http://schemas.microsoft.com/office/drawing/2014/main" id="{00000000-0008-0000-0700-000059000000}"/>
            </a:ext>
          </a:extLst>
        </xdr:cNvPr>
        <xdr:cNvCxnSpPr/>
      </xdr:nvCxnSpPr>
      <xdr:spPr>
        <a:xfrm flipV="1">
          <a:off x="1296709" y="4890327"/>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39</xdr:col>
          <xdr:colOff>0</xdr:colOff>
          <xdr:row>33</xdr:row>
          <xdr:rowOff>0</xdr:rowOff>
        </xdr:from>
        <xdr:to>
          <xdr:col>40</xdr:col>
          <xdr:colOff>0</xdr:colOff>
          <xdr:row>34</xdr:row>
          <xdr:rowOff>0</xdr:rowOff>
        </xdr:to>
        <xdr:sp macro="" textlink="">
          <xdr:nvSpPr>
            <xdr:cNvPr id="11311" name="Check Box 47" hidden="1">
              <a:extLst>
                <a:ext uri="{63B3BB69-23CF-44E3-9099-C40C66FF867C}">
                  <a14:compatExt spid="_x0000_s11311"/>
                </a:ext>
                <a:ext uri="{FF2B5EF4-FFF2-40B4-BE49-F238E27FC236}">
                  <a16:creationId xmlns:a16="http://schemas.microsoft.com/office/drawing/2014/main" id="{00000000-0008-0000-0700-00002F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160442</xdr:colOff>
      <xdr:row>27</xdr:row>
      <xdr:rowOff>171880</xdr:rowOff>
    </xdr:from>
    <xdr:to>
      <xdr:col>8</xdr:col>
      <xdr:colOff>52827</xdr:colOff>
      <xdr:row>28</xdr:row>
      <xdr:rowOff>57668</xdr:rowOff>
    </xdr:to>
    <xdr:cxnSp macro="">
      <xdr:nvCxnSpPr>
        <xdr:cNvPr id="91" name="Gerader Verbinder 90">
          <a:extLst>
            <a:ext uri="{FF2B5EF4-FFF2-40B4-BE49-F238E27FC236}">
              <a16:creationId xmlns:a16="http://schemas.microsoft.com/office/drawing/2014/main" id="{00000000-0008-0000-0700-00005B000000}"/>
            </a:ext>
          </a:extLst>
        </xdr:cNvPr>
        <xdr:cNvCxnSpPr/>
      </xdr:nvCxnSpPr>
      <xdr:spPr>
        <a:xfrm flipV="1">
          <a:off x="2170217" y="4896280"/>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92" name="Gerader Verbinder 91">
          <a:extLst>
            <a:ext uri="{FF2B5EF4-FFF2-40B4-BE49-F238E27FC236}">
              <a16:creationId xmlns:a16="http://schemas.microsoft.com/office/drawing/2014/main" id="{00000000-0008-0000-0700-00005C000000}"/>
            </a:ext>
          </a:extLst>
        </xdr:cNvPr>
        <xdr:cNvCxnSpPr/>
      </xdr:nvCxnSpPr>
      <xdr:spPr>
        <a:xfrm flipV="1">
          <a:off x="3044135" y="4899852"/>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93" name="Gerader Verbinder 92">
          <a:extLst>
            <a:ext uri="{FF2B5EF4-FFF2-40B4-BE49-F238E27FC236}">
              <a16:creationId xmlns:a16="http://schemas.microsoft.com/office/drawing/2014/main" id="{00000000-0008-0000-0700-00005D000000}"/>
            </a:ext>
          </a:extLst>
        </xdr:cNvPr>
        <xdr:cNvCxnSpPr/>
      </xdr:nvCxnSpPr>
      <xdr:spPr>
        <a:xfrm flipV="1">
          <a:off x="3924007" y="4897471"/>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94" name="Gerader Verbinder 93">
          <a:extLst>
            <a:ext uri="{FF2B5EF4-FFF2-40B4-BE49-F238E27FC236}">
              <a16:creationId xmlns:a16="http://schemas.microsoft.com/office/drawing/2014/main" id="{00000000-0008-0000-0700-00005E000000}"/>
            </a:ext>
          </a:extLst>
        </xdr:cNvPr>
        <xdr:cNvCxnSpPr/>
      </xdr:nvCxnSpPr>
      <xdr:spPr>
        <a:xfrm flipV="1">
          <a:off x="4797925" y="4895090"/>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95" name="Gerader Verbinder 94">
          <a:extLst>
            <a:ext uri="{FF2B5EF4-FFF2-40B4-BE49-F238E27FC236}">
              <a16:creationId xmlns:a16="http://schemas.microsoft.com/office/drawing/2014/main" id="{00000000-0008-0000-0700-00005F000000}"/>
            </a:ext>
          </a:extLst>
        </xdr:cNvPr>
        <xdr:cNvCxnSpPr/>
      </xdr:nvCxnSpPr>
      <xdr:spPr>
        <a:xfrm flipV="1">
          <a:off x="5677797" y="4898662"/>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96" name="Gerader Verbinder 95">
          <a:extLst>
            <a:ext uri="{FF2B5EF4-FFF2-40B4-BE49-F238E27FC236}">
              <a16:creationId xmlns:a16="http://schemas.microsoft.com/office/drawing/2014/main" id="{00000000-0008-0000-0700-000060000000}"/>
            </a:ext>
          </a:extLst>
        </xdr:cNvPr>
        <xdr:cNvCxnSpPr/>
      </xdr:nvCxnSpPr>
      <xdr:spPr>
        <a:xfrm flipV="1">
          <a:off x="6551715" y="4896281"/>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97" name="Gerader Verbinder 96">
          <a:extLst>
            <a:ext uri="{FF2B5EF4-FFF2-40B4-BE49-F238E27FC236}">
              <a16:creationId xmlns:a16="http://schemas.microsoft.com/office/drawing/2014/main" id="{00000000-0008-0000-0700-000061000000}"/>
            </a:ext>
          </a:extLst>
        </xdr:cNvPr>
        <xdr:cNvCxnSpPr/>
      </xdr:nvCxnSpPr>
      <xdr:spPr>
        <a:xfrm flipV="1">
          <a:off x="7431587" y="4893900"/>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98" name="Gerader Verbinder 97">
          <a:extLst>
            <a:ext uri="{FF2B5EF4-FFF2-40B4-BE49-F238E27FC236}">
              <a16:creationId xmlns:a16="http://schemas.microsoft.com/office/drawing/2014/main" id="{00000000-0008-0000-0700-000062000000}"/>
            </a:ext>
          </a:extLst>
        </xdr:cNvPr>
        <xdr:cNvCxnSpPr/>
      </xdr:nvCxnSpPr>
      <xdr:spPr>
        <a:xfrm flipV="1">
          <a:off x="8305505" y="4897472"/>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99" name="Gerader Verbinder 98">
          <a:extLst>
            <a:ext uri="{FF2B5EF4-FFF2-40B4-BE49-F238E27FC236}">
              <a16:creationId xmlns:a16="http://schemas.microsoft.com/office/drawing/2014/main" id="{00000000-0008-0000-0700-000063000000}"/>
            </a:ext>
          </a:extLst>
        </xdr:cNvPr>
        <xdr:cNvCxnSpPr/>
      </xdr:nvCxnSpPr>
      <xdr:spPr>
        <a:xfrm flipV="1">
          <a:off x="9179424" y="4889138"/>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100" name="Gerader Verbinder 99">
          <a:extLst>
            <a:ext uri="{FF2B5EF4-FFF2-40B4-BE49-F238E27FC236}">
              <a16:creationId xmlns:a16="http://schemas.microsoft.com/office/drawing/2014/main" id="{00000000-0008-0000-0700-000064000000}"/>
            </a:ext>
          </a:extLst>
        </xdr:cNvPr>
        <xdr:cNvCxnSpPr/>
      </xdr:nvCxnSpPr>
      <xdr:spPr>
        <a:xfrm flipV="1">
          <a:off x="10059296" y="4898663"/>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101" name="Grafik 100">
          <a:extLst>
            <a:ext uri="{FF2B5EF4-FFF2-40B4-BE49-F238E27FC236}">
              <a16:creationId xmlns:a16="http://schemas.microsoft.com/office/drawing/2014/main" id="{00000000-0008-0000-0700-000065000000}"/>
            </a:ext>
          </a:extLst>
        </xdr:cNvPr>
        <xdr:cNvPicPr>
          <a:picLocks noChangeAspect="1"/>
        </xdr:cNvPicPr>
      </xdr:nvPicPr>
      <xdr:blipFill>
        <a:blip xmlns:r="http://schemas.openxmlformats.org/officeDocument/2006/relationships" r:embed="rId27"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11312" name="Check Box 48" hidden="1">
              <a:extLst>
                <a:ext uri="{63B3BB69-23CF-44E3-9099-C40C66FF867C}">
                  <a14:compatExt spid="_x0000_s11312"/>
                </a:ext>
                <a:ext uri="{FF2B5EF4-FFF2-40B4-BE49-F238E27FC236}">
                  <a16:creationId xmlns:a16="http://schemas.microsoft.com/office/drawing/2014/main" id="{00000000-0008-0000-0700-000030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11313" name="Check Box 49" hidden="1">
              <a:extLst>
                <a:ext uri="{63B3BB69-23CF-44E3-9099-C40C66FF867C}">
                  <a14:compatExt spid="_x0000_s11313"/>
                </a:ext>
                <a:ext uri="{FF2B5EF4-FFF2-40B4-BE49-F238E27FC236}">
                  <a16:creationId xmlns:a16="http://schemas.microsoft.com/office/drawing/2014/main" id="{00000000-0008-0000-0700-00003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56</xdr:row>
          <xdr:rowOff>19050</xdr:rowOff>
        </xdr:from>
        <xdr:to>
          <xdr:col>31</xdr:col>
          <xdr:colOff>0</xdr:colOff>
          <xdr:row>57</xdr:row>
          <xdr:rowOff>38100</xdr:rowOff>
        </xdr:to>
        <xdr:sp macro="" textlink="">
          <xdr:nvSpPr>
            <xdr:cNvPr id="11314" name="Check Box 50" hidden="1">
              <a:extLst>
                <a:ext uri="{63B3BB69-23CF-44E3-9099-C40C66FF867C}">
                  <a14:compatExt spid="_x0000_s11314"/>
                </a:ext>
                <a:ext uri="{FF2B5EF4-FFF2-40B4-BE49-F238E27FC236}">
                  <a16:creationId xmlns:a16="http://schemas.microsoft.com/office/drawing/2014/main" id="{00000000-0008-0000-0700-00003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11315" name="Check Box 51" hidden="1">
              <a:extLst>
                <a:ext uri="{63B3BB69-23CF-44E3-9099-C40C66FF867C}">
                  <a14:compatExt spid="_x0000_s11315"/>
                </a:ext>
                <a:ext uri="{FF2B5EF4-FFF2-40B4-BE49-F238E27FC236}">
                  <a16:creationId xmlns:a16="http://schemas.microsoft.com/office/drawing/2014/main" id="{00000000-0008-0000-0700-00003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106" name="Grafik 105">
          <a:extLst>
            <a:ext uri="{FF2B5EF4-FFF2-40B4-BE49-F238E27FC236}">
              <a16:creationId xmlns:a16="http://schemas.microsoft.com/office/drawing/2014/main" id="{00000000-0008-0000-0700-00006A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6277" t="10351" r="77528" b="74663"/>
        <a:stretch/>
      </xdr:blipFill>
      <xdr:spPr>
        <a:xfrm>
          <a:off x="6472514" y="16898661"/>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107" name="Grafik 106">
          <a:extLst>
            <a:ext uri="{FF2B5EF4-FFF2-40B4-BE49-F238E27FC236}">
              <a16:creationId xmlns:a16="http://schemas.microsoft.com/office/drawing/2014/main" id="{00000000-0008-0000-0700-00006B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25697" t="10250" r="56015" b="76270"/>
        <a:stretch/>
      </xdr:blipFill>
      <xdr:spPr>
        <a:xfrm>
          <a:off x="7721414" y="16884014"/>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108" name="Grafik 107">
          <a:extLst>
            <a:ext uri="{FF2B5EF4-FFF2-40B4-BE49-F238E27FC236}">
              <a16:creationId xmlns:a16="http://schemas.microsoft.com/office/drawing/2014/main" id="{00000000-0008-0000-0700-00006C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8824" t="10375" r="34746" b="74144"/>
        <a:stretch/>
      </xdr:blipFill>
      <xdr:spPr>
        <a:xfrm>
          <a:off x="9146522" y="16898008"/>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109" name="Grafik 108">
          <a:extLst>
            <a:ext uri="{FF2B5EF4-FFF2-40B4-BE49-F238E27FC236}">
              <a16:creationId xmlns:a16="http://schemas.microsoft.com/office/drawing/2014/main" id="{00000000-0008-0000-0700-00006D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6350" t="42700" r="40451" b="43145"/>
        <a:stretch/>
      </xdr:blipFill>
      <xdr:spPr>
        <a:xfrm>
          <a:off x="6563926" y="18569879"/>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165006</xdr:rowOff>
    </xdr:to>
    <xdr:pic>
      <xdr:nvPicPr>
        <xdr:cNvPr id="110" name="Grafik 109">
          <a:extLst>
            <a:ext uri="{FF2B5EF4-FFF2-40B4-BE49-F238E27FC236}">
              <a16:creationId xmlns:a16="http://schemas.microsoft.com/office/drawing/2014/main" id="{00000000-0008-0000-0700-00006E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6350" t="40330" r="40451" b="41065"/>
        <a:stretch/>
      </xdr:blipFill>
      <xdr:spPr>
        <a:xfrm>
          <a:off x="9225824" y="18345161"/>
          <a:ext cx="884662" cy="1784245"/>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111" name="Rechteck 110">
          <a:extLst>
            <a:ext uri="{FF2B5EF4-FFF2-40B4-BE49-F238E27FC236}">
              <a16:creationId xmlns:a16="http://schemas.microsoft.com/office/drawing/2014/main" id="{00000000-0008-0000-0700-00006F000000}"/>
            </a:ext>
          </a:extLst>
        </xdr:cNvPr>
        <xdr:cNvSpPr/>
      </xdr:nvSpPr>
      <xdr:spPr>
        <a:xfrm>
          <a:off x="7861588" y="18470240"/>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179295</xdr:rowOff>
    </xdr:to>
    <xdr:pic>
      <xdr:nvPicPr>
        <xdr:cNvPr id="112" name="Grafik 111">
          <a:extLst>
            <a:ext uri="{FF2B5EF4-FFF2-40B4-BE49-F238E27FC236}">
              <a16:creationId xmlns:a16="http://schemas.microsoft.com/office/drawing/2014/main" id="{00000000-0008-0000-0700-000070000000}"/>
            </a:ext>
          </a:extLst>
        </xdr:cNvPr>
        <xdr:cNvPicPr>
          <a:picLocks noChangeAspect="1"/>
        </xdr:cNvPicPr>
      </xdr:nvPicPr>
      <xdr:blipFill rotWithShape="1">
        <a:blip xmlns:r="http://schemas.openxmlformats.org/officeDocument/2006/relationships" r:embed="rId29" cstate="print">
          <a:duotone>
            <a:prstClr val="black"/>
            <a:schemeClr val="accent3">
              <a:tint val="45000"/>
              <a:satMod val="400000"/>
            </a:schemeClr>
          </a:duotone>
          <a:extLst>
            <a:ext uri="{BEBA8EAE-BF5A-486C-A8C5-ECC9F3942E4B}">
              <a14:imgProps xmlns:a14="http://schemas.microsoft.com/office/drawing/2010/main">
                <a14:imgLayer r:embed="rId30">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08156"/>
          <a:ext cx="3941304" cy="2183464"/>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116522</xdr:rowOff>
    </xdr:to>
    <xdr:pic>
      <xdr:nvPicPr>
        <xdr:cNvPr id="113" name="Grafik 112">
          <a:extLst>
            <a:ext uri="{FF2B5EF4-FFF2-40B4-BE49-F238E27FC236}">
              <a16:creationId xmlns:a16="http://schemas.microsoft.com/office/drawing/2014/main" id="{00000000-0008-0000-0700-000071000000}"/>
            </a:ext>
          </a:extLst>
        </xdr:cNvPr>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val="0"/>
            </a:ext>
          </a:extLst>
        </a:blip>
        <a:srcRect l="63390" t="41256" r="16917" b="41369"/>
        <a:stretch/>
      </xdr:blipFill>
      <xdr:spPr>
        <a:xfrm>
          <a:off x="7709911" y="18472147"/>
          <a:ext cx="1332502" cy="1608775"/>
        </a:xfrm>
        <a:prstGeom prst="rect">
          <a:avLst/>
        </a:prstGeom>
      </xdr:spPr>
    </xdr:pic>
    <xdr:clientData/>
  </xdr:twoCellAnchor>
  <xdr:twoCellAnchor>
    <xdr:from>
      <xdr:col>17</xdr:col>
      <xdr:colOff>145677</xdr:colOff>
      <xdr:row>90</xdr:row>
      <xdr:rowOff>0</xdr:rowOff>
    </xdr:from>
    <xdr:to>
      <xdr:col>19</xdr:col>
      <xdr:colOff>56030</xdr:colOff>
      <xdr:row>92</xdr:row>
      <xdr:rowOff>145677</xdr:rowOff>
    </xdr:to>
    <xdr:sp macro="" textlink="">
      <xdr:nvSpPr>
        <xdr:cNvPr id="114" name="Rechteck 113">
          <a:extLst>
            <a:ext uri="{FF2B5EF4-FFF2-40B4-BE49-F238E27FC236}">
              <a16:creationId xmlns:a16="http://schemas.microsoft.com/office/drawing/2014/main" id="{00000000-0008-0000-0700-000072000000}"/>
            </a:ext>
          </a:extLst>
        </xdr:cNvPr>
        <xdr:cNvSpPr/>
      </xdr:nvSpPr>
      <xdr:spPr>
        <a:xfrm>
          <a:off x="4346202" y="14868525"/>
          <a:ext cx="348503" cy="46952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52</xdr:col>
      <xdr:colOff>81803</xdr:colOff>
      <xdr:row>24</xdr:row>
      <xdr:rowOff>9930</xdr:rowOff>
    </xdr:from>
    <xdr:to>
      <xdr:col>52</xdr:col>
      <xdr:colOff>535195</xdr:colOff>
      <xdr:row>25</xdr:row>
      <xdr:rowOff>111344</xdr:rowOff>
    </xdr:to>
    <xdr:sp macro="" textlink="">
      <xdr:nvSpPr>
        <xdr:cNvPr id="115" name="Pfeil nach rechts 16">
          <a:hlinkClick xmlns:r="http://schemas.openxmlformats.org/officeDocument/2006/relationships" r:id="rId32"/>
          <a:extLst>
            <a:ext uri="{FF2B5EF4-FFF2-40B4-BE49-F238E27FC236}">
              <a16:creationId xmlns:a16="http://schemas.microsoft.com/office/drawing/2014/main" id="{00000000-0008-0000-0700-000073000000}"/>
            </a:ext>
          </a:extLst>
        </xdr:cNvPr>
        <xdr:cNvSpPr/>
      </xdr:nvSpPr>
      <xdr:spPr>
        <a:xfrm>
          <a:off x="14883653" y="4286655"/>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39</xdr:col>
          <xdr:colOff>0</xdr:colOff>
          <xdr:row>33</xdr:row>
          <xdr:rowOff>152400</xdr:rowOff>
        </xdr:from>
        <xdr:to>
          <xdr:col>40</xdr:col>
          <xdr:colOff>0</xdr:colOff>
          <xdr:row>35</xdr:row>
          <xdr:rowOff>0</xdr:rowOff>
        </xdr:to>
        <xdr:sp macro="" textlink="">
          <xdr:nvSpPr>
            <xdr:cNvPr id="11316" name="Check Box 52" hidden="1">
              <a:extLst>
                <a:ext uri="{63B3BB69-23CF-44E3-9099-C40C66FF867C}">
                  <a14:compatExt spid="_x0000_s11316"/>
                </a:ext>
                <a:ext uri="{FF2B5EF4-FFF2-40B4-BE49-F238E27FC236}">
                  <a16:creationId xmlns:a16="http://schemas.microsoft.com/office/drawing/2014/main" id="{00000000-0008-0000-0700-00003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34</xdr:row>
          <xdr:rowOff>142875</xdr:rowOff>
        </xdr:from>
        <xdr:to>
          <xdr:col>40</xdr:col>
          <xdr:colOff>0</xdr:colOff>
          <xdr:row>36</xdr:row>
          <xdr:rowOff>0</xdr:rowOff>
        </xdr:to>
        <xdr:sp macro="" textlink="">
          <xdr:nvSpPr>
            <xdr:cNvPr id="11317" name="Check Box 53" hidden="1">
              <a:extLst>
                <a:ext uri="{63B3BB69-23CF-44E3-9099-C40C66FF867C}">
                  <a14:compatExt spid="_x0000_s11317"/>
                </a:ext>
                <a:ext uri="{FF2B5EF4-FFF2-40B4-BE49-F238E27FC236}">
                  <a16:creationId xmlns:a16="http://schemas.microsoft.com/office/drawing/2014/main" id="{00000000-0008-0000-0700-000035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35</xdr:row>
          <xdr:rowOff>142875</xdr:rowOff>
        </xdr:from>
        <xdr:to>
          <xdr:col>40</xdr:col>
          <xdr:colOff>0</xdr:colOff>
          <xdr:row>37</xdr:row>
          <xdr:rowOff>0</xdr:rowOff>
        </xdr:to>
        <xdr:sp macro="" textlink="">
          <xdr:nvSpPr>
            <xdr:cNvPr id="11318" name="Check Box 54" hidden="1">
              <a:extLst>
                <a:ext uri="{63B3BB69-23CF-44E3-9099-C40C66FF867C}">
                  <a14:compatExt spid="_x0000_s11318"/>
                </a:ext>
                <a:ext uri="{FF2B5EF4-FFF2-40B4-BE49-F238E27FC236}">
                  <a16:creationId xmlns:a16="http://schemas.microsoft.com/office/drawing/2014/main" id="{00000000-0008-0000-0700-000036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38</xdr:row>
          <xdr:rowOff>142875</xdr:rowOff>
        </xdr:from>
        <xdr:to>
          <xdr:col>31</xdr:col>
          <xdr:colOff>0</xdr:colOff>
          <xdr:row>40</xdr:row>
          <xdr:rowOff>0</xdr:rowOff>
        </xdr:to>
        <xdr:sp macro="" textlink="">
          <xdr:nvSpPr>
            <xdr:cNvPr id="11319" name="Check Box 55" hidden="1">
              <a:extLst>
                <a:ext uri="{63B3BB69-23CF-44E3-9099-C40C66FF867C}">
                  <a14:compatExt spid="_x0000_s11319"/>
                </a:ext>
                <a:ext uri="{FF2B5EF4-FFF2-40B4-BE49-F238E27FC236}">
                  <a16:creationId xmlns:a16="http://schemas.microsoft.com/office/drawing/2014/main" id="{00000000-0008-0000-0700-000037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49</xdr:col>
      <xdr:colOff>49695</xdr:colOff>
      <xdr:row>75</xdr:row>
      <xdr:rowOff>34374</xdr:rowOff>
    </xdr:from>
    <xdr:to>
      <xdr:col>49</xdr:col>
      <xdr:colOff>749316</xdr:colOff>
      <xdr:row>79</xdr:row>
      <xdr:rowOff>132523</xdr:rowOff>
    </xdr:to>
    <xdr:pic>
      <xdr:nvPicPr>
        <xdr:cNvPr id="120" name="Grafik 119">
          <a:extLst>
            <a:ext uri="{FF2B5EF4-FFF2-40B4-BE49-F238E27FC236}">
              <a16:creationId xmlns:a16="http://schemas.microsoft.com/office/drawing/2014/main" id="{00000000-0008-0000-0700-000078000000}"/>
            </a:ext>
          </a:extLst>
        </xdr:cNvPr>
        <xdr:cNvPicPr>
          <a:picLocks noChangeAspect="1"/>
        </xdr:cNvPicPr>
      </xdr:nvPicPr>
      <xdr:blipFill rotWithShape="1">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Layer>
              </a14:imgProps>
            </a:ext>
          </a:extLst>
        </a:blip>
        <a:srcRect l="51024"/>
        <a:stretch/>
      </xdr:blipFill>
      <xdr:spPr>
        <a:xfrm>
          <a:off x="12060720" y="12483549"/>
          <a:ext cx="699621" cy="745849"/>
        </a:xfrm>
        <a:prstGeom prst="rect">
          <a:avLst/>
        </a:prstGeom>
        <a:ln>
          <a:noFill/>
        </a:ln>
      </xdr:spPr>
    </xdr:pic>
    <xdr:clientData/>
  </xdr:twoCellAnchor>
  <xdr:twoCellAnchor editAs="oneCell">
    <xdr:from>
      <xdr:col>48</xdr:col>
      <xdr:colOff>44726</xdr:colOff>
      <xdr:row>75</xdr:row>
      <xdr:rowOff>21121</xdr:rowOff>
    </xdr:from>
    <xdr:to>
      <xdr:col>48</xdr:col>
      <xdr:colOff>728870</xdr:colOff>
      <xdr:row>79</xdr:row>
      <xdr:rowOff>119270</xdr:rowOff>
    </xdr:to>
    <xdr:pic>
      <xdr:nvPicPr>
        <xdr:cNvPr id="121" name="Grafik 120">
          <a:extLst>
            <a:ext uri="{FF2B5EF4-FFF2-40B4-BE49-F238E27FC236}">
              <a16:creationId xmlns:a16="http://schemas.microsoft.com/office/drawing/2014/main" id="{00000000-0008-0000-0700-000079000000}"/>
            </a:ext>
          </a:extLst>
        </xdr:cNvPr>
        <xdr:cNvPicPr>
          <a:picLocks noChangeAspect="1"/>
        </xdr:cNvPicPr>
      </xdr:nvPicPr>
      <xdr:blipFill rotWithShape="1">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Layer>
              </a14:imgProps>
            </a:ext>
          </a:extLst>
        </a:blip>
        <a:srcRect r="52107"/>
        <a:stretch/>
      </xdr:blipFill>
      <xdr:spPr>
        <a:xfrm>
          <a:off x="11293751" y="12470296"/>
          <a:ext cx="684144" cy="745849"/>
        </a:xfrm>
        <a:prstGeom prst="rect">
          <a:avLst/>
        </a:prstGeom>
        <a:ln>
          <a:noFill/>
        </a:ln>
      </xdr:spPr>
    </xdr:pic>
    <xdr:clientData/>
  </xdr:twoCellAnchor>
  <xdr:twoCellAnchor editAs="oneCell">
    <xdr:from>
      <xdr:col>4</xdr:col>
      <xdr:colOff>173820</xdr:colOff>
      <xdr:row>61</xdr:row>
      <xdr:rowOff>147667</xdr:rowOff>
    </xdr:from>
    <xdr:to>
      <xdr:col>7</xdr:col>
      <xdr:colOff>165065</xdr:colOff>
      <xdr:row>68</xdr:row>
      <xdr:rowOff>142671</xdr:rowOff>
    </xdr:to>
    <xdr:pic>
      <xdr:nvPicPr>
        <xdr:cNvPr id="122" name="Grafik 121">
          <a:extLst>
            <a:ext uri="{FF2B5EF4-FFF2-40B4-BE49-F238E27FC236}">
              <a16:creationId xmlns:a16="http://schemas.microsoft.com/office/drawing/2014/main" id="{00000000-0008-0000-0700-00007A000000}"/>
            </a:ext>
          </a:extLst>
        </xdr:cNvPr>
        <xdr:cNvPicPr>
          <a:picLocks noChangeAspect="1"/>
        </xdr:cNvPicPr>
      </xdr:nvPicPr>
      <xdr:blipFill>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tretch>
          <a:fillRect/>
        </a:stretch>
      </xdr:blipFill>
      <xdr:spPr>
        <a:xfrm>
          <a:off x="1526370" y="10329892"/>
          <a:ext cx="648470" cy="1128479"/>
        </a:xfrm>
        <a:prstGeom prst="rect">
          <a:avLst/>
        </a:prstGeom>
      </xdr:spPr>
    </xdr:pic>
    <xdr:clientData/>
  </xdr:twoCellAnchor>
  <xdr:twoCellAnchor editAs="oneCell">
    <xdr:from>
      <xdr:col>23</xdr:col>
      <xdr:colOff>29211</xdr:colOff>
      <xdr:row>61</xdr:row>
      <xdr:rowOff>72420</xdr:rowOff>
    </xdr:from>
    <xdr:to>
      <xdr:col>25</xdr:col>
      <xdr:colOff>177961</xdr:colOff>
      <xdr:row>69</xdr:row>
      <xdr:rowOff>87088</xdr:rowOff>
    </xdr:to>
    <xdr:pic>
      <xdr:nvPicPr>
        <xdr:cNvPr id="123" name="Grafik 122">
          <a:extLst>
            <a:ext uri="{FF2B5EF4-FFF2-40B4-BE49-F238E27FC236}">
              <a16:creationId xmlns:a16="http://schemas.microsoft.com/office/drawing/2014/main" id="{00000000-0008-0000-0700-00007B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Lst>
        </a:blip>
        <a:stretch>
          <a:fillRect/>
        </a:stretch>
      </xdr:blipFill>
      <xdr:spPr>
        <a:xfrm>
          <a:off x="5544186" y="10254645"/>
          <a:ext cx="586900" cy="1310068"/>
        </a:xfrm>
        <a:prstGeom prst="rect">
          <a:avLst/>
        </a:prstGeom>
      </xdr:spPr>
    </xdr:pic>
    <xdr:clientData/>
  </xdr:twoCellAnchor>
  <xdr:twoCellAnchor editAs="oneCell">
    <xdr:from>
      <xdr:col>16</xdr:col>
      <xdr:colOff>132163</xdr:colOff>
      <xdr:row>61</xdr:row>
      <xdr:rowOff>27451</xdr:rowOff>
    </xdr:from>
    <xdr:to>
      <xdr:col>21</xdr:col>
      <xdr:colOff>53892</xdr:colOff>
      <xdr:row>69</xdr:row>
      <xdr:rowOff>141283</xdr:rowOff>
    </xdr:to>
    <xdr:pic>
      <xdr:nvPicPr>
        <xdr:cNvPr id="124" name="Grafik 123">
          <a:extLst>
            <a:ext uri="{FF2B5EF4-FFF2-40B4-BE49-F238E27FC236}">
              <a16:creationId xmlns:a16="http://schemas.microsoft.com/office/drawing/2014/main" id="{00000000-0008-0000-0700-00007C000000}"/>
            </a:ext>
          </a:extLst>
        </xdr:cNvPr>
        <xdr:cNvPicPr>
          <a:picLocks noChangeAspect="1"/>
        </xdr:cNvPicPr>
      </xdr:nvPicPr>
      <xdr:blipFill>
        <a:blip xmlns:r="http://schemas.openxmlformats.org/officeDocument/2006/relationships" r:embed="rId39">
          <a:duotone>
            <a:prstClr val="black"/>
            <a:schemeClr val="accent3">
              <a:tint val="45000"/>
              <a:satMod val="400000"/>
            </a:schemeClr>
          </a:duotone>
          <a:extLst>
            <a:ext uri="{BEBA8EAE-BF5A-486C-A8C5-ECC9F3942E4B}">
              <a14:imgProps xmlns:a14="http://schemas.microsoft.com/office/drawing/2010/main">
                <a14:imgLayer r:embed="rId40">
                  <a14:imgEffect>
                    <a14:colorTemperature colorTemp="11500"/>
                  </a14:imgEffect>
                  <a14:imgEffect>
                    <a14:saturation sat="400000"/>
                  </a14:imgEffect>
                </a14:imgLayer>
              </a14:imgProps>
            </a:ext>
          </a:extLst>
        </a:blip>
        <a:stretch>
          <a:fillRect/>
        </a:stretch>
      </xdr:blipFill>
      <xdr:spPr>
        <a:xfrm>
          <a:off x="4113613" y="10209676"/>
          <a:ext cx="1017104" cy="1409232"/>
        </a:xfrm>
        <a:prstGeom prst="rect">
          <a:avLst/>
        </a:prstGeom>
      </xdr:spPr>
    </xdr:pic>
    <xdr:clientData/>
  </xdr:twoCellAnchor>
  <xdr:twoCellAnchor>
    <xdr:from>
      <xdr:col>6</xdr:col>
      <xdr:colOff>195521</xdr:colOff>
      <xdr:row>65</xdr:row>
      <xdr:rowOff>122301</xdr:rowOff>
    </xdr:from>
    <xdr:to>
      <xdr:col>8</xdr:col>
      <xdr:colOff>32656</xdr:colOff>
      <xdr:row>68</xdr:row>
      <xdr:rowOff>103413</xdr:rowOff>
    </xdr:to>
    <xdr:sp macro="" textlink="">
      <xdr:nvSpPr>
        <xdr:cNvPr id="125" name="Rechteck 124">
          <a:extLst>
            <a:ext uri="{FF2B5EF4-FFF2-40B4-BE49-F238E27FC236}">
              <a16:creationId xmlns:a16="http://schemas.microsoft.com/office/drawing/2014/main" id="{00000000-0008-0000-0700-00007D000000}"/>
            </a:ext>
          </a:extLst>
        </xdr:cNvPr>
        <xdr:cNvSpPr/>
      </xdr:nvSpPr>
      <xdr:spPr>
        <a:xfrm>
          <a:off x="1986221" y="10952226"/>
          <a:ext cx="275285"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18</xdr:col>
      <xdr:colOff>122043</xdr:colOff>
      <xdr:row>66</xdr:row>
      <xdr:rowOff>35215</xdr:rowOff>
    </xdr:from>
    <xdr:to>
      <xdr:col>21</xdr:col>
      <xdr:colOff>111579</xdr:colOff>
      <xdr:row>67</xdr:row>
      <xdr:rowOff>27214</xdr:rowOff>
    </xdr:to>
    <xdr:sp macro="" textlink="">
      <xdr:nvSpPr>
        <xdr:cNvPr id="126" name="Rechteck 125">
          <a:extLst>
            <a:ext uri="{FF2B5EF4-FFF2-40B4-BE49-F238E27FC236}">
              <a16:creationId xmlns:a16="http://schemas.microsoft.com/office/drawing/2014/main" id="{00000000-0008-0000-0700-00007E000000}"/>
            </a:ext>
          </a:extLst>
        </xdr:cNvPr>
        <xdr:cNvSpPr/>
      </xdr:nvSpPr>
      <xdr:spPr>
        <a:xfrm>
          <a:off x="4541643" y="11027065"/>
          <a:ext cx="646761" cy="153924"/>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3</xdr:col>
      <xdr:colOff>14654</xdr:colOff>
      <xdr:row>62</xdr:row>
      <xdr:rowOff>43962</xdr:rowOff>
    </xdr:from>
    <xdr:to>
      <xdr:col>5</xdr:col>
      <xdr:colOff>22210</xdr:colOff>
      <xdr:row>63</xdr:row>
      <xdr:rowOff>131884</xdr:rowOff>
    </xdr:to>
    <xdr:pic>
      <xdr:nvPicPr>
        <xdr:cNvPr id="127" name="Grafik 126">
          <a:extLst>
            <a:ext uri="{FF2B5EF4-FFF2-40B4-BE49-F238E27FC236}">
              <a16:creationId xmlns:a16="http://schemas.microsoft.com/office/drawing/2014/main" id="{00000000-0008-0000-0700-00007F000000}"/>
            </a:ext>
          </a:extLst>
        </xdr:cNvPr>
        <xdr:cNvPicPr>
          <a:picLocks noChangeAspect="1"/>
        </xdr:cNvPicPr>
      </xdr:nvPicPr>
      <xdr:blipFill>
        <a:blip xmlns:r="http://schemas.openxmlformats.org/officeDocument/2006/relationships" r:embed="rId41">
          <a:duotone>
            <a:prstClr val="black"/>
            <a:schemeClr val="accent3">
              <a:tint val="45000"/>
              <a:satMod val="400000"/>
            </a:schemeClr>
          </a:duotone>
          <a:extLst>
            <a:ext uri="{BEBA8EAE-BF5A-486C-A8C5-ECC9F3942E4B}">
              <a14:imgProps xmlns:a14="http://schemas.microsoft.com/office/drawing/2010/main">
                <a14:imgLayer r:embed="rId42">
                  <a14:imgEffect>
                    <a14:colorTemperature colorTemp="11500"/>
                  </a14:imgEffect>
                  <a14:imgEffect>
                    <a14:saturation sat="400000"/>
                  </a14:imgEffect>
                </a14:imgLayer>
              </a14:imgProps>
            </a:ext>
          </a:extLst>
        </a:blip>
        <a:stretch>
          <a:fillRect/>
        </a:stretch>
      </xdr:blipFill>
      <xdr:spPr>
        <a:xfrm>
          <a:off x="1281479" y="10388112"/>
          <a:ext cx="312356" cy="249847"/>
        </a:xfrm>
        <a:prstGeom prst="rect">
          <a:avLst/>
        </a:prstGeom>
      </xdr:spPr>
    </xdr:pic>
    <xdr:clientData/>
  </xdr:twoCellAnchor>
  <xdr:twoCellAnchor editAs="oneCell">
    <xdr:from>
      <xdr:col>6</xdr:col>
      <xdr:colOff>51449</xdr:colOff>
      <xdr:row>73</xdr:row>
      <xdr:rowOff>14420</xdr:rowOff>
    </xdr:from>
    <xdr:to>
      <xdr:col>10</xdr:col>
      <xdr:colOff>140036</xdr:colOff>
      <xdr:row>81</xdr:row>
      <xdr:rowOff>119751</xdr:rowOff>
    </xdr:to>
    <xdr:pic>
      <xdr:nvPicPr>
        <xdr:cNvPr id="128" name="Grafik 127">
          <a:extLst>
            <a:ext uri="{FF2B5EF4-FFF2-40B4-BE49-F238E27FC236}">
              <a16:creationId xmlns:a16="http://schemas.microsoft.com/office/drawing/2014/main" id="{00000000-0008-0000-0700-000080000000}"/>
            </a:ext>
          </a:extLst>
        </xdr:cNvPr>
        <xdr:cNvPicPr>
          <a:picLocks noChangeAspect="1"/>
        </xdr:cNvPicPr>
      </xdr:nvPicPr>
      <xdr:blipFill>
        <a:blip xmlns:r="http://schemas.openxmlformats.org/officeDocument/2006/relationships" r:embed="rId43">
          <a:duotone>
            <a:prstClr val="black"/>
            <a:schemeClr val="accent3">
              <a:tint val="45000"/>
              <a:satMod val="400000"/>
            </a:schemeClr>
          </a:duotone>
          <a:extLst>
            <a:ext uri="{BEBA8EAE-BF5A-486C-A8C5-ECC9F3942E4B}">
              <a14:imgProps xmlns:a14="http://schemas.microsoft.com/office/drawing/2010/main">
                <a14:imgLayer r:embed="rId44">
                  <a14:imgEffect>
                    <a14:colorTemperature colorTemp="11500"/>
                  </a14:imgEffect>
                  <a14:imgEffect>
                    <a14:saturation sat="400000"/>
                  </a14:imgEffect>
                </a14:imgLayer>
              </a14:imgProps>
            </a:ext>
          </a:extLst>
        </a:blip>
        <a:stretch>
          <a:fillRect/>
        </a:stretch>
      </xdr:blipFill>
      <xdr:spPr>
        <a:xfrm>
          <a:off x="1842149" y="12139745"/>
          <a:ext cx="964887" cy="1391206"/>
        </a:xfrm>
        <a:prstGeom prst="rect">
          <a:avLst/>
        </a:prstGeom>
      </xdr:spPr>
    </xdr:pic>
    <xdr:clientData/>
  </xdr:twoCellAnchor>
  <xdr:twoCellAnchor editAs="oneCell">
    <xdr:from>
      <xdr:col>5</xdr:col>
      <xdr:colOff>199197</xdr:colOff>
      <xdr:row>87</xdr:row>
      <xdr:rowOff>94338</xdr:rowOff>
    </xdr:from>
    <xdr:to>
      <xdr:col>11</xdr:col>
      <xdr:colOff>132531</xdr:colOff>
      <xdr:row>93</xdr:row>
      <xdr:rowOff>53576</xdr:rowOff>
    </xdr:to>
    <xdr:pic>
      <xdr:nvPicPr>
        <xdr:cNvPr id="129" name="Grafik 128">
          <a:extLst>
            <a:ext uri="{FF2B5EF4-FFF2-40B4-BE49-F238E27FC236}">
              <a16:creationId xmlns:a16="http://schemas.microsoft.com/office/drawing/2014/main" id="{00000000-0008-0000-0700-000081000000}"/>
            </a:ext>
          </a:extLst>
        </xdr:cNvPr>
        <xdr:cNvPicPr>
          <a:picLocks noChangeAspect="1"/>
        </xdr:cNvPicPr>
      </xdr:nvPicPr>
      <xdr:blipFill rotWithShape="1">
        <a:blip xmlns:r="http://schemas.openxmlformats.org/officeDocument/2006/relationships" r:embed="rId45">
          <a:duotone>
            <a:prstClr val="black"/>
            <a:schemeClr val="accent3">
              <a:tint val="45000"/>
              <a:satMod val="400000"/>
            </a:schemeClr>
          </a:duotone>
          <a:extLst>
            <a:ext uri="{BEBA8EAE-BF5A-486C-A8C5-ECC9F3942E4B}">
              <a14:imgProps xmlns:a14="http://schemas.microsoft.com/office/drawing/2010/main">
                <a14:imgLayer r:embed="rId46">
                  <a14:imgEffect>
                    <a14:colorTemperature colorTemp="11500"/>
                  </a14:imgEffect>
                  <a14:imgEffect>
                    <a14:saturation sat="400000"/>
                  </a14:imgEffect>
                </a14:imgLayer>
              </a14:imgProps>
            </a:ext>
          </a:extLst>
        </a:blip>
        <a:srcRect r="1820"/>
        <a:stretch/>
      </xdr:blipFill>
      <xdr:spPr>
        <a:xfrm>
          <a:off x="1770822" y="14477088"/>
          <a:ext cx="1247784" cy="930788"/>
        </a:xfrm>
        <a:prstGeom prst="rect">
          <a:avLst/>
        </a:prstGeom>
      </xdr:spPr>
    </xdr:pic>
    <xdr:clientData/>
  </xdr:twoCellAnchor>
  <xdr:twoCellAnchor editAs="oneCell">
    <xdr:from>
      <xdr:col>20</xdr:col>
      <xdr:colOff>178594</xdr:colOff>
      <xdr:row>85</xdr:row>
      <xdr:rowOff>29766</xdr:rowOff>
    </xdr:from>
    <xdr:to>
      <xdr:col>24</xdr:col>
      <xdr:colOff>186691</xdr:colOff>
      <xdr:row>88</xdr:row>
      <xdr:rowOff>154783</xdr:rowOff>
    </xdr:to>
    <xdr:pic>
      <xdr:nvPicPr>
        <xdr:cNvPr id="130" name="Grafik 129">
          <a:extLst>
            <a:ext uri="{FF2B5EF4-FFF2-40B4-BE49-F238E27FC236}">
              <a16:creationId xmlns:a16="http://schemas.microsoft.com/office/drawing/2014/main" id="{00000000-0008-0000-0700-000082000000}"/>
            </a:ext>
          </a:extLst>
        </xdr:cNvPr>
        <xdr:cNvPicPr>
          <a:picLocks noChangeAspect="1"/>
        </xdr:cNvPicPr>
      </xdr:nvPicPr>
      <xdr:blipFill rotWithShape="1">
        <a:blip xmlns:r="http://schemas.openxmlformats.org/officeDocument/2006/relationships" r:embed="rId47">
          <a:duotone>
            <a:prstClr val="black"/>
            <a:schemeClr val="accent3">
              <a:tint val="45000"/>
              <a:satMod val="400000"/>
            </a:schemeClr>
          </a:duotone>
          <a:extLst>
            <a:ext uri="{BEBA8EAE-BF5A-486C-A8C5-ECC9F3942E4B}">
              <a14:imgProps xmlns:a14="http://schemas.microsoft.com/office/drawing/2010/main">
                <a14:imgLayer r:embed="rId48">
                  <a14:imgEffect>
                    <a14:colorTemperature colorTemp="11500"/>
                  </a14:imgEffect>
                  <a14:imgEffect>
                    <a14:saturation sat="400000"/>
                  </a14:imgEffect>
                </a14:imgLayer>
              </a14:imgProps>
            </a:ext>
          </a:extLst>
        </a:blip>
        <a:srcRect t="6513" b="3729"/>
        <a:stretch/>
      </xdr:blipFill>
      <xdr:spPr>
        <a:xfrm>
          <a:off x="5036344" y="14088666"/>
          <a:ext cx="884397" cy="610792"/>
        </a:xfrm>
        <a:prstGeom prst="rect">
          <a:avLst/>
        </a:prstGeom>
      </xdr:spPr>
    </xdr:pic>
    <xdr:clientData/>
  </xdr:twoCellAnchor>
  <xdr:twoCellAnchor editAs="oneCell">
    <xdr:from>
      <xdr:col>20</xdr:col>
      <xdr:colOff>203519</xdr:colOff>
      <xdr:row>90</xdr:row>
      <xdr:rowOff>28578</xdr:rowOff>
    </xdr:from>
    <xdr:to>
      <xdr:col>25</xdr:col>
      <xdr:colOff>9286</xdr:colOff>
      <xdr:row>95</xdr:row>
      <xdr:rowOff>3851</xdr:rowOff>
    </xdr:to>
    <xdr:pic>
      <xdr:nvPicPr>
        <xdr:cNvPr id="131" name="Grafik 130">
          <a:extLst>
            <a:ext uri="{FF2B5EF4-FFF2-40B4-BE49-F238E27FC236}">
              <a16:creationId xmlns:a16="http://schemas.microsoft.com/office/drawing/2014/main" id="{00000000-0008-0000-0700-000083000000}"/>
            </a:ext>
          </a:extLst>
        </xdr:cNvPr>
        <xdr:cNvPicPr>
          <a:picLocks noChangeAspect="1"/>
        </xdr:cNvPicPr>
      </xdr:nvPicPr>
      <xdr:blipFill>
        <a:blip xmlns:r="http://schemas.openxmlformats.org/officeDocument/2006/relationships" r:embed="rId49">
          <a:duotone>
            <a:prstClr val="black"/>
            <a:schemeClr val="accent3">
              <a:tint val="45000"/>
              <a:satMod val="400000"/>
            </a:schemeClr>
          </a:duotone>
          <a:extLst>
            <a:ext uri="{BEBA8EAE-BF5A-486C-A8C5-ECC9F3942E4B}">
              <a14:imgProps xmlns:a14="http://schemas.microsoft.com/office/drawing/2010/main">
                <a14:imgLayer r:embed="rId50">
                  <a14:imgEffect>
                    <a14:colorTemperature colorTemp="11500"/>
                  </a14:imgEffect>
                  <a14:imgEffect>
                    <a14:saturation sat="400000"/>
                  </a14:imgEffect>
                </a14:imgLayer>
              </a14:imgProps>
            </a:ext>
          </a:extLst>
        </a:blip>
        <a:stretch>
          <a:fillRect/>
        </a:stretch>
      </xdr:blipFill>
      <xdr:spPr>
        <a:xfrm>
          <a:off x="5061269" y="14897103"/>
          <a:ext cx="901142" cy="784898"/>
        </a:xfrm>
        <a:prstGeom prst="rect">
          <a:avLst/>
        </a:prstGeom>
      </xdr:spPr>
    </xdr:pic>
    <xdr:clientData/>
  </xdr:twoCellAnchor>
  <xdr:twoCellAnchor>
    <xdr:from>
      <xdr:col>9</xdr:col>
      <xdr:colOff>92316</xdr:colOff>
      <xdr:row>72</xdr:row>
      <xdr:rowOff>73315</xdr:rowOff>
    </xdr:from>
    <xdr:to>
      <xdr:col>10</xdr:col>
      <xdr:colOff>145072</xdr:colOff>
      <xdr:row>75</xdr:row>
      <xdr:rowOff>54427</xdr:rowOff>
    </xdr:to>
    <xdr:sp macro="" textlink="">
      <xdr:nvSpPr>
        <xdr:cNvPr id="132" name="Rechteck 131">
          <a:extLst>
            <a:ext uri="{FF2B5EF4-FFF2-40B4-BE49-F238E27FC236}">
              <a16:creationId xmlns:a16="http://schemas.microsoft.com/office/drawing/2014/main" id="{00000000-0008-0000-0700-000084000000}"/>
            </a:ext>
          </a:extLst>
        </xdr:cNvPr>
        <xdr:cNvSpPr/>
      </xdr:nvSpPr>
      <xdr:spPr>
        <a:xfrm>
          <a:off x="2540241" y="12036715"/>
          <a:ext cx="271831"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152400</xdr:colOff>
      <xdr:row>73</xdr:row>
      <xdr:rowOff>54431</xdr:rowOff>
    </xdr:from>
    <xdr:to>
      <xdr:col>5</xdr:col>
      <xdr:colOff>67915</xdr:colOff>
      <xdr:row>74</xdr:row>
      <xdr:rowOff>112663</xdr:rowOff>
    </xdr:to>
    <xdr:pic>
      <xdr:nvPicPr>
        <xdr:cNvPr id="133" name="Grafik 132">
          <a:extLst>
            <a:ext uri="{FF2B5EF4-FFF2-40B4-BE49-F238E27FC236}">
              <a16:creationId xmlns:a16="http://schemas.microsoft.com/office/drawing/2014/main" id="{00000000-0008-0000-0700-000085000000}"/>
            </a:ext>
          </a:extLst>
        </xdr:cNvPr>
        <xdr:cNvPicPr>
          <a:picLocks noChangeAspect="1"/>
        </xdr:cNvPicPr>
      </xdr:nvPicPr>
      <xdr:blipFill>
        <a:blip xmlns:r="http://schemas.openxmlformats.org/officeDocument/2006/relationships" r:embed="rId51">
          <a:duotone>
            <a:prstClr val="black"/>
            <a:schemeClr val="accent3">
              <a:tint val="45000"/>
              <a:satMod val="400000"/>
            </a:schemeClr>
          </a:duotone>
          <a:extLst>
            <a:ext uri="{BEBA8EAE-BF5A-486C-A8C5-ECC9F3942E4B}">
              <a14:imgProps xmlns:a14="http://schemas.microsoft.com/office/drawing/2010/main">
                <a14:imgLayer r:embed="rId52">
                  <a14:imgEffect>
                    <a14:colorTemperature colorTemp="11500"/>
                  </a14:imgEffect>
                  <a14:imgEffect>
                    <a14:saturation sat="400000"/>
                  </a14:imgEffect>
                </a14:imgLayer>
              </a14:imgProps>
            </a:ext>
          </a:extLst>
        </a:blip>
        <a:stretch>
          <a:fillRect/>
        </a:stretch>
      </xdr:blipFill>
      <xdr:spPr>
        <a:xfrm>
          <a:off x="1228725" y="12179756"/>
          <a:ext cx="410815" cy="220157"/>
        </a:xfrm>
        <a:prstGeom prst="rect">
          <a:avLst/>
        </a:prstGeom>
      </xdr:spPr>
    </xdr:pic>
    <xdr:clientData/>
  </xdr:twoCellAnchor>
  <xdr:twoCellAnchor editAs="oneCell">
    <xdr:from>
      <xdr:col>2</xdr:col>
      <xdr:colOff>152570</xdr:colOff>
      <xdr:row>86</xdr:row>
      <xdr:rowOff>56809</xdr:rowOff>
    </xdr:from>
    <xdr:to>
      <xdr:col>5</xdr:col>
      <xdr:colOff>68085</xdr:colOff>
      <xdr:row>87</xdr:row>
      <xdr:rowOff>115041</xdr:rowOff>
    </xdr:to>
    <xdr:pic>
      <xdr:nvPicPr>
        <xdr:cNvPr id="134" name="Grafik 133">
          <a:extLst>
            <a:ext uri="{FF2B5EF4-FFF2-40B4-BE49-F238E27FC236}">
              <a16:creationId xmlns:a16="http://schemas.microsoft.com/office/drawing/2014/main" id="{00000000-0008-0000-0700-000086000000}"/>
            </a:ext>
          </a:extLst>
        </xdr:cNvPr>
        <xdr:cNvPicPr>
          <a:picLocks noChangeAspect="1"/>
        </xdr:cNvPicPr>
      </xdr:nvPicPr>
      <xdr:blipFill>
        <a:blip xmlns:r="http://schemas.openxmlformats.org/officeDocument/2006/relationships" r:embed="rId51">
          <a:duotone>
            <a:prstClr val="black"/>
            <a:schemeClr val="accent3">
              <a:tint val="45000"/>
              <a:satMod val="400000"/>
            </a:schemeClr>
          </a:duotone>
          <a:extLst>
            <a:ext uri="{BEBA8EAE-BF5A-486C-A8C5-ECC9F3942E4B}">
              <a14:imgProps xmlns:a14="http://schemas.microsoft.com/office/drawing/2010/main">
                <a14:imgLayer r:embed="rId52">
                  <a14:imgEffect>
                    <a14:colorTemperature colorTemp="11500"/>
                  </a14:imgEffect>
                  <a14:imgEffect>
                    <a14:saturation sat="400000"/>
                  </a14:imgEffect>
                </a14:imgLayer>
              </a14:imgProps>
            </a:ext>
          </a:extLst>
        </a:blip>
        <a:stretch>
          <a:fillRect/>
        </a:stretch>
      </xdr:blipFill>
      <xdr:spPr>
        <a:xfrm>
          <a:off x="1228895" y="14277634"/>
          <a:ext cx="410815" cy="220157"/>
        </a:xfrm>
        <a:prstGeom prst="rect">
          <a:avLst/>
        </a:prstGeom>
      </xdr:spPr>
    </xdr:pic>
    <xdr:clientData/>
  </xdr:twoCellAnchor>
  <xdr:twoCellAnchor editAs="oneCell">
    <xdr:from>
      <xdr:col>12</xdr:col>
      <xdr:colOff>155174</xdr:colOff>
      <xdr:row>85</xdr:row>
      <xdr:rowOff>157162</xdr:rowOff>
    </xdr:from>
    <xdr:to>
      <xdr:col>17</xdr:col>
      <xdr:colOff>191320</xdr:colOff>
      <xdr:row>93</xdr:row>
      <xdr:rowOff>29765</xdr:rowOff>
    </xdr:to>
    <xdr:pic>
      <xdr:nvPicPr>
        <xdr:cNvPr id="135" name="Grafik 134">
          <a:extLst>
            <a:ext uri="{FF2B5EF4-FFF2-40B4-BE49-F238E27FC236}">
              <a16:creationId xmlns:a16="http://schemas.microsoft.com/office/drawing/2014/main" id="{00000000-0008-0000-0700-000087000000}"/>
            </a:ext>
          </a:extLst>
        </xdr:cNvPr>
        <xdr:cNvPicPr>
          <a:picLocks noChangeAspect="1"/>
        </xdr:cNvPicPr>
      </xdr:nvPicPr>
      <xdr:blipFill>
        <a:blip xmlns:r="http://schemas.openxmlformats.org/officeDocument/2006/relationships" r:embed="rId53">
          <a:duotone>
            <a:prstClr val="black"/>
            <a:schemeClr val="accent3">
              <a:tint val="45000"/>
              <a:satMod val="400000"/>
            </a:schemeClr>
          </a:duotone>
          <a:extLst>
            <a:ext uri="{BEBA8EAE-BF5A-486C-A8C5-ECC9F3942E4B}">
              <a14:imgProps xmlns:a14="http://schemas.microsoft.com/office/drawing/2010/main">
                <a14:imgLayer r:embed="rId54">
                  <a14:imgEffect>
                    <a14:colorTemperature colorTemp="11500"/>
                  </a14:imgEffect>
                  <a14:imgEffect>
                    <a14:saturation sat="400000"/>
                  </a14:imgEffect>
                </a14:imgLayer>
              </a14:imgProps>
            </a:ext>
          </a:extLst>
        </a:blip>
        <a:stretch>
          <a:fillRect/>
        </a:stretch>
      </xdr:blipFill>
      <xdr:spPr>
        <a:xfrm>
          <a:off x="3260324" y="14216062"/>
          <a:ext cx="1131521" cy="1168003"/>
        </a:xfrm>
        <a:prstGeom prst="rect">
          <a:avLst/>
        </a:prstGeom>
      </xdr:spPr>
    </xdr:pic>
    <xdr:clientData/>
  </xdr:twoCellAnchor>
  <xdr:twoCellAnchor>
    <xdr:from>
      <xdr:col>12</xdr:col>
      <xdr:colOff>38057</xdr:colOff>
      <xdr:row>91</xdr:row>
      <xdr:rowOff>115158</xdr:rowOff>
    </xdr:from>
    <xdr:to>
      <xdr:col>13</xdr:col>
      <xdr:colOff>90813</xdr:colOff>
      <xdr:row>93</xdr:row>
      <xdr:rowOff>125016</xdr:rowOff>
    </xdr:to>
    <xdr:sp macro="" textlink="">
      <xdr:nvSpPr>
        <xdr:cNvPr id="136" name="Rechteck 135">
          <a:extLst>
            <a:ext uri="{FF2B5EF4-FFF2-40B4-BE49-F238E27FC236}">
              <a16:creationId xmlns:a16="http://schemas.microsoft.com/office/drawing/2014/main" id="{00000000-0008-0000-0700-000088000000}"/>
            </a:ext>
          </a:extLst>
        </xdr:cNvPr>
        <xdr:cNvSpPr/>
      </xdr:nvSpPr>
      <xdr:spPr>
        <a:xfrm>
          <a:off x="3143207" y="15145608"/>
          <a:ext cx="271831" cy="33370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12</xdr:col>
      <xdr:colOff>164564</xdr:colOff>
      <xdr:row>65</xdr:row>
      <xdr:rowOff>151896</xdr:rowOff>
    </xdr:from>
    <xdr:to>
      <xdr:col>14</xdr:col>
      <xdr:colOff>1699</xdr:colOff>
      <xdr:row>68</xdr:row>
      <xdr:rowOff>133008</xdr:rowOff>
    </xdr:to>
    <xdr:sp macro="" textlink="">
      <xdr:nvSpPr>
        <xdr:cNvPr id="137" name="Rechteck 136">
          <a:extLst>
            <a:ext uri="{FF2B5EF4-FFF2-40B4-BE49-F238E27FC236}">
              <a16:creationId xmlns:a16="http://schemas.microsoft.com/office/drawing/2014/main" id="{00000000-0008-0000-0700-000089000000}"/>
            </a:ext>
          </a:extLst>
        </xdr:cNvPr>
        <xdr:cNvSpPr/>
      </xdr:nvSpPr>
      <xdr:spPr>
        <a:xfrm>
          <a:off x="3269714" y="10981821"/>
          <a:ext cx="275285"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31</xdr:col>
      <xdr:colOff>81642</xdr:colOff>
      <xdr:row>59</xdr:row>
      <xdr:rowOff>152401</xdr:rowOff>
    </xdr:from>
    <xdr:to>
      <xdr:col>36</xdr:col>
      <xdr:colOff>168727</xdr:colOff>
      <xdr:row>61</xdr:row>
      <xdr:rowOff>136072</xdr:rowOff>
    </xdr:to>
    <xdr:sp macro="" textlink="">
      <xdr:nvSpPr>
        <xdr:cNvPr id="138" name="Rechteck 137">
          <a:extLst>
            <a:ext uri="{FF2B5EF4-FFF2-40B4-BE49-F238E27FC236}">
              <a16:creationId xmlns:a16="http://schemas.microsoft.com/office/drawing/2014/main" id="{00000000-0008-0000-0700-00008A000000}"/>
            </a:ext>
          </a:extLst>
        </xdr:cNvPr>
        <xdr:cNvSpPr/>
      </xdr:nvSpPr>
      <xdr:spPr>
        <a:xfrm>
          <a:off x="7349217" y="10010776"/>
          <a:ext cx="1182460" cy="30752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30</xdr:col>
      <xdr:colOff>5442</xdr:colOff>
      <xdr:row>60</xdr:row>
      <xdr:rowOff>22963</xdr:rowOff>
    </xdr:from>
    <xdr:to>
      <xdr:col>45</xdr:col>
      <xdr:colOff>585</xdr:colOff>
      <xdr:row>67</xdr:row>
      <xdr:rowOff>100205</xdr:rowOff>
    </xdr:to>
    <xdr:pic>
      <xdr:nvPicPr>
        <xdr:cNvPr id="2" name="Grafik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duotone>
            <a:prstClr val="black"/>
            <a:schemeClr val="accent3">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tretch>
          <a:fillRect/>
        </a:stretch>
      </xdr:blipFill>
      <xdr:spPr>
        <a:xfrm>
          <a:off x="7053942" y="10043263"/>
          <a:ext cx="3157443" cy="1210717"/>
        </a:xfrm>
        <a:prstGeom prst="rect">
          <a:avLst/>
        </a:prstGeom>
      </xdr:spPr>
    </xdr:pic>
    <xdr:clientData/>
  </xdr:twoCellAnchor>
  <xdr:twoCellAnchor>
    <xdr:from>
      <xdr:col>40</xdr:col>
      <xdr:colOff>210150</xdr:colOff>
      <xdr:row>61</xdr:row>
      <xdr:rowOff>130629</xdr:rowOff>
    </xdr:from>
    <xdr:to>
      <xdr:col>42</xdr:col>
      <xdr:colOff>47285</xdr:colOff>
      <xdr:row>63</xdr:row>
      <xdr:rowOff>77218</xdr:rowOff>
    </xdr:to>
    <xdr:sp macro="" textlink="">
      <xdr:nvSpPr>
        <xdr:cNvPr id="3" name="Rechteck 2">
          <a:extLst>
            <a:ext uri="{FF2B5EF4-FFF2-40B4-BE49-F238E27FC236}">
              <a16:creationId xmlns:a16="http://schemas.microsoft.com/office/drawing/2014/main" id="{00000000-0008-0000-0900-000003000000}"/>
            </a:ext>
          </a:extLst>
        </xdr:cNvPr>
        <xdr:cNvSpPr/>
      </xdr:nvSpPr>
      <xdr:spPr>
        <a:xfrm>
          <a:off x="9449400" y="10312854"/>
          <a:ext cx="275285" cy="27043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37</xdr:col>
      <xdr:colOff>152399</xdr:colOff>
      <xdr:row>61</xdr:row>
      <xdr:rowOff>119743</xdr:rowOff>
    </xdr:from>
    <xdr:to>
      <xdr:col>38</xdr:col>
      <xdr:colOff>134370</xdr:colOff>
      <xdr:row>63</xdr:row>
      <xdr:rowOff>39119</xdr:rowOff>
    </xdr:to>
    <xdr:sp macro="" textlink="">
      <xdr:nvSpPr>
        <xdr:cNvPr id="4" name="Rechteck 3">
          <a:extLst>
            <a:ext uri="{FF2B5EF4-FFF2-40B4-BE49-F238E27FC236}">
              <a16:creationId xmlns:a16="http://schemas.microsoft.com/office/drawing/2014/main" id="{00000000-0008-0000-0900-000004000000}"/>
            </a:ext>
          </a:extLst>
        </xdr:cNvPr>
        <xdr:cNvSpPr/>
      </xdr:nvSpPr>
      <xdr:spPr>
        <a:xfrm>
          <a:off x="8734424" y="10301968"/>
          <a:ext cx="201046" cy="24322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34</xdr:col>
      <xdr:colOff>5443</xdr:colOff>
      <xdr:row>60</xdr:row>
      <xdr:rowOff>1</xdr:rowOff>
    </xdr:from>
    <xdr:to>
      <xdr:col>34</xdr:col>
      <xdr:colOff>199685</xdr:colOff>
      <xdr:row>63</xdr:row>
      <xdr:rowOff>44562</xdr:rowOff>
    </xdr:to>
    <xdr:sp macro="" textlink="">
      <xdr:nvSpPr>
        <xdr:cNvPr id="5" name="Rechteck 4">
          <a:extLst>
            <a:ext uri="{FF2B5EF4-FFF2-40B4-BE49-F238E27FC236}">
              <a16:creationId xmlns:a16="http://schemas.microsoft.com/office/drawing/2014/main" id="{00000000-0008-0000-0900-000005000000}"/>
            </a:ext>
          </a:extLst>
        </xdr:cNvPr>
        <xdr:cNvSpPr/>
      </xdr:nvSpPr>
      <xdr:spPr>
        <a:xfrm>
          <a:off x="7930243" y="10020301"/>
          <a:ext cx="194242" cy="53033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29</xdr:col>
      <xdr:colOff>190501</xdr:colOff>
      <xdr:row>60</xdr:row>
      <xdr:rowOff>10884</xdr:rowOff>
    </xdr:from>
    <xdr:to>
      <xdr:col>31</xdr:col>
      <xdr:colOff>101713</xdr:colOff>
      <xdr:row>63</xdr:row>
      <xdr:rowOff>50004</xdr:rowOff>
    </xdr:to>
    <xdr:sp macro="" textlink="">
      <xdr:nvSpPr>
        <xdr:cNvPr id="6" name="Rechteck 5">
          <a:extLst>
            <a:ext uri="{FF2B5EF4-FFF2-40B4-BE49-F238E27FC236}">
              <a16:creationId xmlns:a16="http://schemas.microsoft.com/office/drawing/2014/main" id="{00000000-0008-0000-0900-000006000000}"/>
            </a:ext>
          </a:extLst>
        </xdr:cNvPr>
        <xdr:cNvSpPr/>
      </xdr:nvSpPr>
      <xdr:spPr>
        <a:xfrm>
          <a:off x="7019926" y="10031184"/>
          <a:ext cx="349362" cy="52489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12</xdr:col>
      <xdr:colOff>192090</xdr:colOff>
      <xdr:row>72</xdr:row>
      <xdr:rowOff>27219</xdr:rowOff>
    </xdr:from>
    <xdr:to>
      <xdr:col>17</xdr:col>
      <xdr:colOff>153161</xdr:colOff>
      <xdr:row>82</xdr:row>
      <xdr:rowOff>125188</xdr:rowOff>
    </xdr:to>
    <xdr:pic>
      <xdr:nvPicPr>
        <xdr:cNvPr id="7" name="Grafik 6">
          <a:extLst>
            <a:ext uri="{FF2B5EF4-FFF2-40B4-BE49-F238E27FC236}">
              <a16:creationId xmlns:a16="http://schemas.microsoft.com/office/drawing/2014/main" id="{00000000-0008-0000-0900-000007000000}"/>
            </a:ext>
          </a:extLst>
        </xdr:cNvPr>
        <xdr:cNvPicPr>
          <a:picLocks noChangeAspect="1"/>
        </xdr:cNvPicPr>
      </xdr:nvPicPr>
      <xdr:blipFill>
        <a:blip xmlns:r="http://schemas.openxmlformats.org/officeDocument/2006/relationships" r:embed="rId3">
          <a:duotone>
            <a:prstClr val="black"/>
            <a:schemeClr val="accent3">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tretch>
          <a:fillRect/>
        </a:stretch>
      </xdr:blipFill>
      <xdr:spPr>
        <a:xfrm>
          <a:off x="3297240" y="11990619"/>
          <a:ext cx="1056446" cy="1707694"/>
        </a:xfrm>
        <a:prstGeom prst="rect">
          <a:avLst/>
        </a:prstGeom>
      </xdr:spPr>
    </xdr:pic>
    <xdr:clientData/>
  </xdr:twoCellAnchor>
  <xdr:twoCellAnchor editAs="oneCell">
    <xdr:from>
      <xdr:col>20</xdr:col>
      <xdr:colOff>21771</xdr:colOff>
      <xdr:row>72</xdr:row>
      <xdr:rowOff>38099</xdr:rowOff>
    </xdr:from>
    <xdr:to>
      <xdr:col>24</xdr:col>
      <xdr:colOff>119658</xdr:colOff>
      <xdr:row>82</xdr:row>
      <xdr:rowOff>108687</xdr:rowOff>
    </xdr:to>
    <xdr:pic>
      <xdr:nvPicPr>
        <xdr:cNvPr id="8" name="Grafik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duotone>
            <a:prstClr val="black"/>
            <a:schemeClr val="accent3">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4879521" y="12001499"/>
          <a:ext cx="974187" cy="1680313"/>
        </a:xfrm>
        <a:prstGeom prst="rect">
          <a:avLst/>
        </a:prstGeom>
      </xdr:spPr>
    </xdr:pic>
    <xdr:clientData/>
  </xdr:twoCellAnchor>
  <xdr:twoCellAnchor editAs="oneCell">
    <xdr:from>
      <xdr:col>11</xdr:col>
      <xdr:colOff>5468</xdr:colOff>
      <xdr:row>61</xdr:row>
      <xdr:rowOff>76196</xdr:rowOff>
    </xdr:from>
    <xdr:to>
      <xdr:col>13</xdr:col>
      <xdr:colOff>148233</xdr:colOff>
      <xdr:row>69</xdr:row>
      <xdr:rowOff>92528</xdr:rowOff>
    </xdr:to>
    <xdr:pic>
      <xdr:nvPicPr>
        <xdr:cNvPr id="9" name="Grafik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7">
          <a:duotone>
            <a:prstClr val="black"/>
            <a:schemeClr val="accent3">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2891543" y="10258421"/>
          <a:ext cx="580915" cy="1311732"/>
        </a:xfrm>
        <a:prstGeom prst="rect">
          <a:avLst/>
        </a:prstGeom>
      </xdr:spPr>
    </xdr:pic>
    <xdr:clientData/>
  </xdr:twoCellAnchor>
  <xdr:twoCellAnchor editAs="oneCell">
    <xdr:from>
      <xdr:col>17</xdr:col>
      <xdr:colOff>87086</xdr:colOff>
      <xdr:row>54</xdr:row>
      <xdr:rowOff>62093</xdr:rowOff>
    </xdr:from>
    <xdr:to>
      <xdr:col>22</xdr:col>
      <xdr:colOff>197926</xdr:colOff>
      <xdr:row>57</xdr:row>
      <xdr:rowOff>120598</xdr:rowOff>
    </xdr:to>
    <xdr:pic>
      <xdr:nvPicPr>
        <xdr:cNvPr id="10" name="Grafik 9">
          <a:extLst>
            <a:ext uri="{FF2B5EF4-FFF2-40B4-BE49-F238E27FC236}">
              <a16:creationId xmlns:a16="http://schemas.microsoft.com/office/drawing/2014/main" id="{00000000-0008-0000-0900-00000A000000}"/>
            </a:ext>
          </a:extLst>
        </xdr:cNvPr>
        <xdr:cNvPicPr>
          <a:picLocks noChangeAspect="1"/>
        </xdr:cNvPicPr>
      </xdr:nvPicPr>
      <xdr:blipFill rotWithShape="1">
        <a:blip xmlns:r="http://schemas.openxmlformats.org/officeDocument/2006/relationships" r:embed="rId9">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rcRect t="20856"/>
        <a:stretch/>
      </xdr:blipFill>
      <xdr:spPr>
        <a:xfrm rot="16200000">
          <a:off x="4618579" y="8779875"/>
          <a:ext cx="544280" cy="1206215"/>
        </a:xfrm>
        <a:prstGeom prst="rect">
          <a:avLst/>
        </a:prstGeom>
      </xdr:spPr>
    </xdr:pic>
    <xdr:clientData/>
  </xdr:twoCellAnchor>
  <xdr:twoCellAnchor editAs="oneCell">
    <xdr:from>
      <xdr:col>15</xdr:col>
      <xdr:colOff>200024</xdr:colOff>
      <xdr:row>54</xdr:row>
      <xdr:rowOff>65315</xdr:rowOff>
    </xdr:from>
    <xdr:to>
      <xdr:col>17</xdr:col>
      <xdr:colOff>103414</xdr:colOff>
      <xdr:row>57</xdr:row>
      <xdr:rowOff>65313</xdr:rowOff>
    </xdr:to>
    <xdr:pic>
      <xdr:nvPicPr>
        <xdr:cNvPr id="11" name="Grafik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1">
          <a:duotone>
            <a:prstClr val="black"/>
            <a:schemeClr val="accent3">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962399" y="9114065"/>
          <a:ext cx="341540" cy="485773"/>
        </a:xfrm>
        <a:prstGeom prst="rect">
          <a:avLst/>
        </a:prstGeom>
      </xdr:spPr>
    </xdr:pic>
    <xdr:clientData/>
  </xdr:twoCellAnchor>
  <xdr:twoCellAnchor editAs="oneCell">
    <xdr:from>
      <xdr:col>16</xdr:col>
      <xdr:colOff>22261</xdr:colOff>
      <xdr:row>46</xdr:row>
      <xdr:rowOff>24211</xdr:rowOff>
    </xdr:from>
    <xdr:to>
      <xdr:col>22</xdr:col>
      <xdr:colOff>177151</xdr:colOff>
      <xdr:row>51</xdr:row>
      <xdr:rowOff>150798</xdr:rowOff>
    </xdr:to>
    <xdr:pic>
      <xdr:nvPicPr>
        <xdr:cNvPr id="12" name="Grafik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13">
          <a:duotone>
            <a:prstClr val="black"/>
            <a:schemeClr val="accent3">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4003711" y="7777561"/>
          <a:ext cx="1469340" cy="936212"/>
        </a:xfrm>
        <a:prstGeom prst="rect">
          <a:avLst/>
        </a:prstGeom>
      </xdr:spPr>
    </xdr:pic>
    <xdr:clientData/>
  </xdr:twoCellAnchor>
  <xdr:twoCellAnchor editAs="oneCell">
    <xdr:from>
      <xdr:col>16</xdr:col>
      <xdr:colOff>22813</xdr:colOff>
      <xdr:row>35</xdr:row>
      <xdr:rowOff>96858</xdr:rowOff>
    </xdr:from>
    <xdr:to>
      <xdr:col>22</xdr:col>
      <xdr:colOff>210682</xdr:colOff>
      <xdr:row>41</xdr:row>
      <xdr:rowOff>49818</xdr:rowOff>
    </xdr:to>
    <xdr:pic>
      <xdr:nvPicPr>
        <xdr:cNvPr id="13" name="Grafik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15">
          <a:duotone>
            <a:prstClr val="black"/>
            <a:schemeClr val="accent3">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4004263" y="6069033"/>
          <a:ext cx="1502319" cy="924510"/>
        </a:xfrm>
        <a:prstGeom prst="rect">
          <a:avLst/>
        </a:prstGeom>
      </xdr:spPr>
    </xdr:pic>
    <xdr:clientData/>
  </xdr:twoCellAnchor>
  <xdr:twoCellAnchor editAs="oneCell">
    <xdr:from>
      <xdr:col>11</xdr:col>
      <xdr:colOff>51108</xdr:colOff>
      <xdr:row>49</xdr:row>
      <xdr:rowOff>46466</xdr:rowOff>
    </xdr:from>
    <xdr:to>
      <xdr:col>14</xdr:col>
      <xdr:colOff>197975</xdr:colOff>
      <xdr:row>58</xdr:row>
      <xdr:rowOff>148683</xdr:rowOff>
    </xdr:to>
    <xdr:pic>
      <xdr:nvPicPr>
        <xdr:cNvPr id="14" name="Grafik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7">
          <a:duotone>
            <a:prstClr val="black"/>
            <a:schemeClr val="accent3">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2937183" y="8285591"/>
          <a:ext cx="804092" cy="1559542"/>
        </a:xfrm>
        <a:prstGeom prst="rect">
          <a:avLst/>
        </a:prstGeom>
      </xdr:spPr>
    </xdr:pic>
    <xdr:clientData/>
  </xdr:twoCellAnchor>
  <xdr:twoCellAnchor editAs="oneCell">
    <xdr:from>
      <xdr:col>3</xdr:col>
      <xdr:colOff>55758</xdr:colOff>
      <xdr:row>49</xdr:row>
      <xdr:rowOff>46464</xdr:rowOff>
    </xdr:from>
    <xdr:to>
      <xdr:col>7</xdr:col>
      <xdr:colOff>139393</xdr:colOff>
      <xdr:row>59</xdr:row>
      <xdr:rowOff>5434</xdr:rowOff>
    </xdr:to>
    <xdr:pic>
      <xdr:nvPicPr>
        <xdr:cNvPr id="15" name="Grafik 14">
          <a:extLst>
            <a:ext uri="{FF2B5EF4-FFF2-40B4-BE49-F238E27FC236}">
              <a16:creationId xmlns:a16="http://schemas.microsoft.com/office/drawing/2014/main" id="{00000000-0008-0000-0900-00000F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1322583" y="8285589"/>
          <a:ext cx="826585" cy="1578220"/>
        </a:xfrm>
        <a:prstGeom prst="rect">
          <a:avLst/>
        </a:prstGeom>
      </xdr:spPr>
    </xdr:pic>
    <xdr:clientData/>
  </xdr:twoCellAnchor>
  <xdr:twoCellAnchor editAs="oneCell">
    <xdr:from>
      <xdr:col>12</xdr:col>
      <xdr:colOff>201399</xdr:colOff>
      <xdr:row>40</xdr:row>
      <xdr:rowOff>86556</xdr:rowOff>
    </xdr:from>
    <xdr:to>
      <xdr:col>14</xdr:col>
      <xdr:colOff>191874</xdr:colOff>
      <xdr:row>47</xdr:row>
      <xdr:rowOff>141295</xdr:rowOff>
    </xdr:to>
    <xdr:pic>
      <xdr:nvPicPr>
        <xdr:cNvPr id="16" name="Grafik 15">
          <a:extLst>
            <a:ext uri="{FF2B5EF4-FFF2-40B4-BE49-F238E27FC236}">
              <a16:creationId xmlns:a16="http://schemas.microsoft.com/office/drawing/2014/main" id="{00000000-0008-0000-0900-000010000000}"/>
            </a:ext>
          </a:extLst>
        </xdr:cNvPr>
        <xdr:cNvPicPr>
          <a:picLocks noChangeAspect="1"/>
        </xdr:cNvPicPr>
      </xdr:nvPicPr>
      <xdr:blipFill>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rot="10800000">
          <a:off x="3306549" y="6868356"/>
          <a:ext cx="428625" cy="1188214"/>
        </a:xfrm>
        <a:prstGeom prst="rect">
          <a:avLst/>
        </a:prstGeom>
        <a:effectLst>
          <a:reflection endPos="0" dir="5400000" sy="-100000" algn="bl" rotWithShape="0"/>
        </a:effectLst>
      </xdr:spPr>
    </xdr:pic>
    <xdr:clientData/>
  </xdr:twoCellAnchor>
  <xdr:twoCellAnchor>
    <xdr:from>
      <xdr:col>3</xdr:col>
      <xdr:colOff>42480</xdr:colOff>
      <xdr:row>47</xdr:row>
      <xdr:rowOff>130630</xdr:rowOff>
    </xdr:from>
    <xdr:to>
      <xdr:col>4</xdr:col>
      <xdr:colOff>87406</xdr:colOff>
      <xdr:row>49</xdr:row>
      <xdr:rowOff>125452</xdr:rowOff>
    </xdr:to>
    <xdr:sp macro="" textlink="">
      <xdr:nvSpPr>
        <xdr:cNvPr id="17" name="Rechteck 16">
          <a:extLst>
            <a:ext uri="{FF2B5EF4-FFF2-40B4-BE49-F238E27FC236}">
              <a16:creationId xmlns:a16="http://schemas.microsoft.com/office/drawing/2014/main" id="{00000000-0008-0000-0900-000011000000}"/>
            </a:ext>
          </a:extLst>
        </xdr:cNvPr>
        <xdr:cNvSpPr/>
      </xdr:nvSpPr>
      <xdr:spPr>
        <a:xfrm>
          <a:off x="1309305" y="8045905"/>
          <a:ext cx="130651" cy="3186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3</xdr:col>
      <xdr:colOff>65314</xdr:colOff>
      <xdr:row>40</xdr:row>
      <xdr:rowOff>86556</xdr:rowOff>
    </xdr:from>
    <xdr:to>
      <xdr:col>5</xdr:col>
      <xdr:colOff>189139</xdr:colOff>
      <xdr:row>47</xdr:row>
      <xdr:rowOff>141295</xdr:rowOff>
    </xdr:to>
    <xdr:pic>
      <xdr:nvPicPr>
        <xdr:cNvPr id="18" name="Grafik 17">
          <a:extLst>
            <a:ext uri="{FF2B5EF4-FFF2-40B4-BE49-F238E27FC236}">
              <a16:creationId xmlns:a16="http://schemas.microsoft.com/office/drawing/2014/main" id="{00000000-0008-0000-0900-000012000000}"/>
            </a:ext>
          </a:extLst>
        </xdr:cNvPr>
        <xdr:cNvPicPr>
          <a:picLocks noChangeAspect="1"/>
        </xdr:cNvPicPr>
      </xdr:nvPicPr>
      <xdr:blipFill>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a:off x="1332139" y="6868356"/>
          <a:ext cx="428625" cy="1188214"/>
        </a:xfrm>
        <a:prstGeom prst="rect">
          <a:avLst/>
        </a:prstGeom>
      </xdr:spPr>
    </xdr:pic>
    <xdr:clientData/>
  </xdr:twoCellAnchor>
  <xdr:twoCellAnchor>
    <xdr:from>
      <xdr:col>14</xdr:col>
      <xdr:colOff>69695</xdr:colOff>
      <xdr:row>47</xdr:row>
      <xdr:rowOff>141515</xdr:rowOff>
    </xdr:from>
    <xdr:to>
      <xdr:col>14</xdr:col>
      <xdr:colOff>201706</xdr:colOff>
      <xdr:row>49</xdr:row>
      <xdr:rowOff>134744</xdr:rowOff>
    </xdr:to>
    <xdr:sp macro="" textlink="">
      <xdr:nvSpPr>
        <xdr:cNvPr id="19" name="Rechteck 18">
          <a:extLst>
            <a:ext uri="{FF2B5EF4-FFF2-40B4-BE49-F238E27FC236}">
              <a16:creationId xmlns:a16="http://schemas.microsoft.com/office/drawing/2014/main" id="{00000000-0008-0000-0900-000013000000}"/>
            </a:ext>
          </a:extLst>
        </xdr:cNvPr>
        <xdr:cNvSpPr/>
      </xdr:nvSpPr>
      <xdr:spPr>
        <a:xfrm>
          <a:off x="3612995" y="8056790"/>
          <a:ext cx="132011" cy="31707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19836</xdr:rowOff>
    </xdr:from>
    <xdr:to>
      <xdr:col>14</xdr:col>
      <xdr:colOff>209550</xdr:colOff>
      <xdr:row>49</xdr:row>
      <xdr:rowOff>19836</xdr:rowOff>
    </xdr:to>
    <xdr:cxnSp macro="">
      <xdr:nvCxnSpPr>
        <xdr:cNvPr id="20" name="Gerader Verbinder 19">
          <a:extLst>
            <a:ext uri="{FF2B5EF4-FFF2-40B4-BE49-F238E27FC236}">
              <a16:creationId xmlns:a16="http://schemas.microsoft.com/office/drawing/2014/main" id="{00000000-0008-0000-0900-000014000000}"/>
            </a:ext>
          </a:extLst>
        </xdr:cNvPr>
        <xdr:cNvCxnSpPr/>
      </xdr:nvCxnSpPr>
      <xdr:spPr>
        <a:xfrm>
          <a:off x="1308497" y="8258961"/>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53</xdr:row>
      <xdr:rowOff>48985</xdr:rowOff>
    </xdr:from>
    <xdr:to>
      <xdr:col>26</xdr:col>
      <xdr:colOff>111141</xdr:colOff>
      <xdr:row>57</xdr:row>
      <xdr:rowOff>119742</xdr:rowOff>
    </xdr:to>
    <xdr:cxnSp macro="">
      <xdr:nvCxnSpPr>
        <xdr:cNvPr id="21" name="Gerader Verbinder 20">
          <a:extLst>
            <a:ext uri="{FF2B5EF4-FFF2-40B4-BE49-F238E27FC236}">
              <a16:creationId xmlns:a16="http://schemas.microsoft.com/office/drawing/2014/main" id="{00000000-0008-0000-0900-000015000000}"/>
            </a:ext>
          </a:extLst>
        </xdr:cNvPr>
        <xdr:cNvCxnSpPr/>
      </xdr:nvCxnSpPr>
      <xdr:spPr>
        <a:xfrm>
          <a:off x="6283341" y="8935810"/>
          <a:ext cx="0" cy="71845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23258</xdr:rowOff>
    </xdr:from>
    <xdr:to>
      <xdr:col>26</xdr:col>
      <xdr:colOff>196235</xdr:colOff>
      <xdr:row>57</xdr:row>
      <xdr:rowOff>23258</xdr:rowOff>
    </xdr:to>
    <xdr:cxnSp macro="">
      <xdr:nvCxnSpPr>
        <xdr:cNvPr id="22" name="Gerader Verbinder 21">
          <a:extLst>
            <a:ext uri="{FF2B5EF4-FFF2-40B4-BE49-F238E27FC236}">
              <a16:creationId xmlns:a16="http://schemas.microsoft.com/office/drawing/2014/main" id="{00000000-0008-0000-0900-000016000000}"/>
            </a:ext>
          </a:extLst>
        </xdr:cNvPr>
        <xdr:cNvCxnSpPr/>
      </xdr:nvCxnSpPr>
      <xdr:spPr>
        <a:xfrm>
          <a:off x="5402745" y="95577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52</xdr:row>
      <xdr:rowOff>37171</xdr:rowOff>
    </xdr:to>
    <xdr:cxnSp macro="">
      <xdr:nvCxnSpPr>
        <xdr:cNvPr id="23" name="Gerader Verbinder 22">
          <a:extLst>
            <a:ext uri="{FF2B5EF4-FFF2-40B4-BE49-F238E27FC236}">
              <a16:creationId xmlns:a16="http://schemas.microsoft.com/office/drawing/2014/main" id="{00000000-0008-0000-0900-000017000000}"/>
            </a:ext>
          </a:extLst>
        </xdr:cNvPr>
        <xdr:cNvCxnSpPr/>
      </xdr:nvCxnSpPr>
      <xdr:spPr>
        <a:xfrm>
          <a:off x="6282933" y="6044499"/>
          <a:ext cx="0" cy="271757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51</xdr:row>
      <xdr:rowOff>113209</xdr:rowOff>
    </xdr:from>
    <xdr:to>
      <xdr:col>26</xdr:col>
      <xdr:colOff>197625</xdr:colOff>
      <xdr:row>51</xdr:row>
      <xdr:rowOff>113209</xdr:rowOff>
    </xdr:to>
    <xdr:cxnSp macro="">
      <xdr:nvCxnSpPr>
        <xdr:cNvPr id="24" name="Gerader Verbinder 23">
          <a:extLst>
            <a:ext uri="{FF2B5EF4-FFF2-40B4-BE49-F238E27FC236}">
              <a16:creationId xmlns:a16="http://schemas.microsoft.com/office/drawing/2014/main" id="{00000000-0008-0000-0900-000018000000}"/>
            </a:ext>
          </a:extLst>
        </xdr:cNvPr>
        <xdr:cNvCxnSpPr/>
      </xdr:nvCxnSpPr>
      <xdr:spPr>
        <a:xfrm>
          <a:off x="5404135" y="8676184"/>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116158</xdr:colOff>
      <xdr:row>35</xdr:row>
      <xdr:rowOff>150759</xdr:rowOff>
    </xdr:from>
    <xdr:to>
      <xdr:col>26</xdr:col>
      <xdr:colOff>179210</xdr:colOff>
      <xdr:row>35</xdr:row>
      <xdr:rowOff>150759</xdr:rowOff>
    </xdr:to>
    <xdr:cxnSp macro="">
      <xdr:nvCxnSpPr>
        <xdr:cNvPr id="25" name="Gerader Verbinder 24">
          <a:extLst>
            <a:ext uri="{FF2B5EF4-FFF2-40B4-BE49-F238E27FC236}">
              <a16:creationId xmlns:a16="http://schemas.microsoft.com/office/drawing/2014/main" id="{00000000-0008-0000-0900-000019000000}"/>
            </a:ext>
          </a:extLst>
        </xdr:cNvPr>
        <xdr:cNvCxnSpPr/>
      </xdr:nvCxnSpPr>
      <xdr:spPr>
        <a:xfrm>
          <a:off x="5412058" y="6122934"/>
          <a:ext cx="93935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56</xdr:row>
      <xdr:rowOff>123461</xdr:rowOff>
    </xdr:from>
    <xdr:to>
      <xdr:col>26</xdr:col>
      <xdr:colOff>174620</xdr:colOff>
      <xdr:row>57</xdr:row>
      <xdr:rowOff>65645</xdr:rowOff>
    </xdr:to>
    <xdr:cxnSp macro="">
      <xdr:nvCxnSpPr>
        <xdr:cNvPr id="26" name="Gerader Verbinder 25">
          <a:extLst>
            <a:ext uri="{FF2B5EF4-FFF2-40B4-BE49-F238E27FC236}">
              <a16:creationId xmlns:a16="http://schemas.microsoft.com/office/drawing/2014/main" id="{00000000-0008-0000-0900-00001A000000}"/>
            </a:ext>
          </a:extLst>
        </xdr:cNvPr>
        <xdr:cNvCxnSpPr/>
      </xdr:nvCxnSpPr>
      <xdr:spPr>
        <a:xfrm flipV="1">
          <a:off x="6232116" y="9496061"/>
          <a:ext cx="114704" cy="104109"/>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51</xdr:row>
      <xdr:rowOff>57887</xdr:rowOff>
    </xdr:from>
    <xdr:to>
      <xdr:col>26</xdr:col>
      <xdr:colOff>172696</xdr:colOff>
      <xdr:row>52</xdr:row>
      <xdr:rowOff>8366</xdr:rowOff>
    </xdr:to>
    <xdr:cxnSp macro="">
      <xdr:nvCxnSpPr>
        <xdr:cNvPr id="27" name="Gerader Verbinder 26">
          <a:extLst>
            <a:ext uri="{FF2B5EF4-FFF2-40B4-BE49-F238E27FC236}">
              <a16:creationId xmlns:a16="http://schemas.microsoft.com/office/drawing/2014/main" id="{00000000-0008-0000-0900-00001B000000}"/>
            </a:ext>
          </a:extLst>
        </xdr:cNvPr>
        <xdr:cNvCxnSpPr/>
      </xdr:nvCxnSpPr>
      <xdr:spPr>
        <a:xfrm flipV="1">
          <a:off x="6230192" y="8620862"/>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8" name="Gerader Verbinder 27">
          <a:extLst>
            <a:ext uri="{FF2B5EF4-FFF2-40B4-BE49-F238E27FC236}">
              <a16:creationId xmlns:a16="http://schemas.microsoft.com/office/drawing/2014/main" id="{00000000-0008-0000-0900-00001C000000}"/>
            </a:ext>
          </a:extLst>
        </xdr:cNvPr>
        <xdr:cNvCxnSpPr/>
      </xdr:nvCxnSpPr>
      <xdr:spPr>
        <a:xfrm flipV="1">
          <a:off x="6225561" y="6067981"/>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13313" name="Drop Down 1" hidden="1">
              <a:extLst>
                <a:ext uri="{63B3BB69-23CF-44E3-9099-C40C66FF867C}">
                  <a14:compatExt spid="_x0000_s13313"/>
                </a:ext>
                <a:ext uri="{FF2B5EF4-FFF2-40B4-BE49-F238E27FC236}">
                  <a16:creationId xmlns:a16="http://schemas.microsoft.com/office/drawing/2014/main" id="{00000000-0008-0000-0900-00000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30" name="Grafik 29">
          <a:extLst>
            <a:ext uri="{FF2B5EF4-FFF2-40B4-BE49-F238E27FC236}">
              <a16:creationId xmlns:a16="http://schemas.microsoft.com/office/drawing/2014/main" id="{00000000-0008-0000-0900-00001E000000}"/>
            </a:ext>
          </a:extLst>
        </xdr:cNvPr>
        <xdr:cNvPicPr>
          <a:picLocks noChangeAspect="1"/>
        </xdr:cNvPicPr>
      </xdr:nvPicPr>
      <xdr:blipFill rotWithShape="1">
        <a:blip xmlns:r="http://schemas.openxmlformats.org/officeDocument/2006/relationships" r:embed="rId23">
          <a:duotone>
            <a:prstClr val="black"/>
            <a:schemeClr val="accent3">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Lst>
        </a:blip>
        <a:srcRect t="3845" b="7693"/>
        <a:stretch/>
      </xdr:blipFill>
      <xdr:spPr>
        <a:xfrm>
          <a:off x="2723027" y="6084234"/>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788</xdr:rowOff>
    </xdr:to>
    <xdr:pic>
      <xdr:nvPicPr>
        <xdr:cNvPr id="31" name="Grafik 30">
          <a:extLst>
            <a:ext uri="{FF2B5EF4-FFF2-40B4-BE49-F238E27FC236}">
              <a16:creationId xmlns:a16="http://schemas.microsoft.com/office/drawing/2014/main" id="{00000000-0008-0000-0900-00001F000000}"/>
            </a:ext>
          </a:extLst>
        </xdr:cNvPr>
        <xdr:cNvPicPr>
          <a:picLocks noChangeAspect="1"/>
        </xdr:cNvPicPr>
      </xdr:nvPicPr>
      <xdr:blipFill>
        <a:blip xmlns:r="http://schemas.openxmlformats.org/officeDocument/2006/relationships" r:embed="rId25">
          <a:duotone>
            <a:prstClr val="black"/>
            <a:schemeClr val="accent3">
              <a:tint val="45000"/>
              <a:satMod val="400000"/>
            </a:schemeClr>
          </a:duotone>
          <a:extLst>
            <a:ext uri="{BEBA8EAE-BF5A-486C-A8C5-ECC9F3942E4B}">
              <a14:imgProps xmlns:a14="http://schemas.microsoft.com/office/drawing/2010/main">
                <a14:imgLayer r:embed="rId26">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073030"/>
          <a:ext cx="1006848" cy="547633"/>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9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9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900-00000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900-00000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900-00000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36</xdr:row>
          <xdr:rowOff>0</xdr:rowOff>
        </xdr:from>
        <xdr:to>
          <xdr:col>31</xdr:col>
          <xdr:colOff>0</xdr:colOff>
          <xdr:row>37</xdr:row>
          <xdr:rowOff>9525</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900-00000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900-00000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900-00000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31</xdr:col>
          <xdr:colOff>0</xdr:colOff>
          <xdr:row>33</xdr:row>
          <xdr:rowOff>9525</xdr:rowOff>
        </xdr:to>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900-00000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32</xdr:row>
          <xdr:rowOff>0</xdr:rowOff>
        </xdr:from>
        <xdr:to>
          <xdr:col>40</xdr:col>
          <xdr:colOff>0</xdr:colOff>
          <xdr:row>33</xdr:row>
          <xdr:rowOff>0</xdr:rowOff>
        </xdr:to>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900-00000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5</xdr:row>
          <xdr:rowOff>9525</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900-00000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19050</xdr:rowOff>
        </xdr:to>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900-00000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900-00000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900-00000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19050</xdr:rowOff>
        </xdr:to>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900-00001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900-00001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50053</xdr:colOff>
      <xdr:row>48</xdr:row>
      <xdr:rowOff>116001</xdr:rowOff>
    </xdr:from>
    <xdr:to>
      <xdr:col>4</xdr:col>
      <xdr:colOff>78381</xdr:colOff>
      <xdr:row>49</xdr:row>
      <xdr:rowOff>76916</xdr:rowOff>
    </xdr:to>
    <xdr:cxnSp macro="">
      <xdr:nvCxnSpPr>
        <xdr:cNvPr id="48" name="Gerader Verbinder 47">
          <a:extLst>
            <a:ext uri="{FF2B5EF4-FFF2-40B4-BE49-F238E27FC236}">
              <a16:creationId xmlns:a16="http://schemas.microsoft.com/office/drawing/2014/main" id="{00000000-0008-0000-0900-000030000000}"/>
            </a:ext>
          </a:extLst>
        </xdr:cNvPr>
        <xdr:cNvCxnSpPr/>
      </xdr:nvCxnSpPr>
      <xdr:spPr>
        <a:xfrm flipV="1">
          <a:off x="1316878" y="8193201"/>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103516</xdr:colOff>
      <xdr:row>48</xdr:row>
      <xdr:rowOff>111917</xdr:rowOff>
    </xdr:from>
    <xdr:to>
      <xdr:col>14</xdr:col>
      <xdr:colOff>215188</xdr:colOff>
      <xdr:row>49</xdr:row>
      <xdr:rowOff>75126</xdr:rowOff>
    </xdr:to>
    <xdr:cxnSp macro="">
      <xdr:nvCxnSpPr>
        <xdr:cNvPr id="49" name="Gerader Verbinder 48">
          <a:extLst>
            <a:ext uri="{FF2B5EF4-FFF2-40B4-BE49-F238E27FC236}">
              <a16:creationId xmlns:a16="http://schemas.microsoft.com/office/drawing/2014/main" id="{00000000-0008-0000-0900-000031000000}"/>
            </a:ext>
          </a:extLst>
        </xdr:cNvPr>
        <xdr:cNvCxnSpPr/>
      </xdr:nvCxnSpPr>
      <xdr:spPr>
        <a:xfrm flipV="1">
          <a:off x="3646816" y="818911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114300</xdr:rowOff>
        </xdr:from>
        <xdr:to>
          <xdr:col>7</xdr:col>
          <xdr:colOff>38100</xdr:colOff>
          <xdr:row>44</xdr:row>
          <xdr:rowOff>114300</xdr:rowOff>
        </xdr:to>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900-00001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114300</xdr:rowOff>
        </xdr:from>
        <xdr:to>
          <xdr:col>12</xdr:col>
          <xdr:colOff>152400</xdr:colOff>
          <xdr:row>44</xdr:row>
          <xdr:rowOff>104775</xdr:rowOff>
        </xdr:to>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900-00001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52</xdr:row>
          <xdr:rowOff>85725</xdr:rowOff>
        </xdr:from>
        <xdr:to>
          <xdr:col>8</xdr:col>
          <xdr:colOff>171450</xdr:colOff>
          <xdr:row>53</xdr:row>
          <xdr:rowOff>85725</xdr:rowOff>
        </xdr:to>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900-00001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219075</xdr:colOff>
          <xdr:row>52</xdr:row>
          <xdr:rowOff>85725</xdr:rowOff>
        </xdr:from>
        <xdr:to>
          <xdr:col>11</xdr:col>
          <xdr:colOff>0</xdr:colOff>
          <xdr:row>53</xdr:row>
          <xdr:rowOff>85725</xdr:rowOff>
        </xdr:to>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900-00001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47</xdr:row>
      <xdr:rowOff>5443</xdr:rowOff>
    </xdr:from>
    <xdr:to>
      <xdr:col>14</xdr:col>
      <xdr:colOff>152400</xdr:colOff>
      <xdr:row>50</xdr:row>
      <xdr:rowOff>81643</xdr:rowOff>
    </xdr:to>
    <xdr:cxnSp macro="">
      <xdr:nvCxnSpPr>
        <xdr:cNvPr id="54" name="Gerader Verbinder 53">
          <a:extLst>
            <a:ext uri="{FF2B5EF4-FFF2-40B4-BE49-F238E27FC236}">
              <a16:creationId xmlns:a16="http://schemas.microsoft.com/office/drawing/2014/main" id="{00000000-0008-0000-0900-000036000000}"/>
            </a:ext>
          </a:extLst>
        </xdr:cNvPr>
        <xdr:cNvCxnSpPr/>
      </xdr:nvCxnSpPr>
      <xdr:spPr>
        <a:xfrm>
          <a:off x="3695700" y="7920718"/>
          <a:ext cx="0" cy="561975"/>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30</xdr:col>
          <xdr:colOff>0</xdr:colOff>
          <xdr:row>54</xdr:row>
          <xdr:rowOff>142875</xdr:rowOff>
        </xdr:from>
        <xdr:to>
          <xdr:col>31</xdr:col>
          <xdr:colOff>0</xdr:colOff>
          <xdr:row>55</xdr:row>
          <xdr:rowOff>142875</xdr:rowOff>
        </xdr:to>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900-00001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xdr:col>
      <xdr:colOff>19050</xdr:colOff>
      <xdr:row>47</xdr:row>
      <xdr:rowOff>16329</xdr:rowOff>
    </xdr:from>
    <xdr:to>
      <xdr:col>4</xdr:col>
      <xdr:colOff>19050</xdr:colOff>
      <xdr:row>50</xdr:row>
      <xdr:rowOff>70757</xdr:rowOff>
    </xdr:to>
    <xdr:cxnSp macro="">
      <xdr:nvCxnSpPr>
        <xdr:cNvPr id="56" name="Gerader Verbinder 55">
          <a:extLst>
            <a:ext uri="{FF2B5EF4-FFF2-40B4-BE49-F238E27FC236}">
              <a16:creationId xmlns:a16="http://schemas.microsoft.com/office/drawing/2014/main" id="{00000000-0008-0000-0900-000038000000}"/>
            </a:ext>
          </a:extLst>
        </xdr:cNvPr>
        <xdr:cNvCxnSpPr/>
      </xdr:nvCxnSpPr>
      <xdr:spPr>
        <a:xfrm>
          <a:off x="1371600" y="7931604"/>
          <a:ext cx="0" cy="540203"/>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37</xdr:col>
          <xdr:colOff>219075</xdr:colOff>
          <xdr:row>55</xdr:row>
          <xdr:rowOff>0</xdr:rowOff>
        </xdr:from>
        <xdr:to>
          <xdr:col>39</xdr:col>
          <xdr:colOff>0</xdr:colOff>
          <xdr:row>56</xdr:row>
          <xdr:rowOff>0</xdr:rowOff>
        </xdr:to>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900-00001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900-00001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33</xdr:col>
          <xdr:colOff>180975</xdr:colOff>
          <xdr:row>62</xdr:row>
          <xdr:rowOff>0</xdr:rowOff>
        </xdr:from>
        <xdr:to>
          <xdr:col>34</xdr:col>
          <xdr:colOff>190500</xdr:colOff>
          <xdr:row>63</xdr:row>
          <xdr:rowOff>9525</xdr:rowOff>
        </xdr:to>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900-00001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104775</xdr:colOff>
          <xdr:row>62</xdr:row>
          <xdr:rowOff>0</xdr:rowOff>
        </xdr:from>
        <xdr:to>
          <xdr:col>38</xdr:col>
          <xdr:colOff>104775</xdr:colOff>
          <xdr:row>63</xdr:row>
          <xdr:rowOff>19050</xdr:rowOff>
        </xdr:to>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900-00001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57150</xdr:colOff>
          <xdr:row>62</xdr:row>
          <xdr:rowOff>0</xdr:rowOff>
        </xdr:from>
        <xdr:to>
          <xdr:col>42</xdr:col>
          <xdr:colOff>57150</xdr:colOff>
          <xdr:row>63</xdr:row>
          <xdr:rowOff>9525</xdr:rowOff>
        </xdr:to>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900-00001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900-00001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900-00001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900-00001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900-00001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66" name="Gerader Verbinder 65">
          <a:extLst>
            <a:ext uri="{FF2B5EF4-FFF2-40B4-BE49-F238E27FC236}">
              <a16:creationId xmlns:a16="http://schemas.microsoft.com/office/drawing/2014/main" id="{00000000-0008-0000-0900-000042000000}"/>
            </a:ext>
          </a:extLst>
        </xdr:cNvPr>
        <xdr:cNvCxnSpPr/>
      </xdr:nvCxnSpPr>
      <xdr:spPr>
        <a:xfrm>
          <a:off x="5464488" y="7953492"/>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67" name="Gerader Verbinder 66">
          <a:extLst>
            <a:ext uri="{FF2B5EF4-FFF2-40B4-BE49-F238E27FC236}">
              <a16:creationId xmlns:a16="http://schemas.microsoft.com/office/drawing/2014/main" id="{00000000-0008-0000-0900-000043000000}"/>
            </a:ext>
          </a:extLst>
        </xdr:cNvPr>
        <xdr:cNvCxnSpPr/>
      </xdr:nvCxnSpPr>
      <xdr:spPr>
        <a:xfrm>
          <a:off x="5620705" y="7337270"/>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68" name="Gerader Verbinder 67">
          <a:extLst>
            <a:ext uri="{FF2B5EF4-FFF2-40B4-BE49-F238E27FC236}">
              <a16:creationId xmlns:a16="http://schemas.microsoft.com/office/drawing/2014/main" id="{00000000-0008-0000-0900-000044000000}"/>
            </a:ext>
          </a:extLst>
        </xdr:cNvPr>
        <xdr:cNvCxnSpPr/>
      </xdr:nvCxnSpPr>
      <xdr:spPr>
        <a:xfrm>
          <a:off x="5094773" y="7432788"/>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69" name="Gerader Verbinder 68">
          <a:extLst>
            <a:ext uri="{FF2B5EF4-FFF2-40B4-BE49-F238E27FC236}">
              <a16:creationId xmlns:a16="http://schemas.microsoft.com/office/drawing/2014/main" id="{00000000-0008-0000-0900-000045000000}"/>
            </a:ext>
          </a:extLst>
        </xdr:cNvPr>
        <xdr:cNvCxnSpPr/>
      </xdr:nvCxnSpPr>
      <xdr:spPr>
        <a:xfrm flipV="1">
          <a:off x="5564542" y="7375392"/>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70" name="Gerader Verbinder 69">
          <a:extLst>
            <a:ext uri="{FF2B5EF4-FFF2-40B4-BE49-F238E27FC236}">
              <a16:creationId xmlns:a16="http://schemas.microsoft.com/office/drawing/2014/main" id="{00000000-0008-0000-0900-000046000000}"/>
            </a:ext>
          </a:extLst>
        </xdr:cNvPr>
        <xdr:cNvCxnSpPr/>
      </xdr:nvCxnSpPr>
      <xdr:spPr>
        <a:xfrm flipV="1">
          <a:off x="5564542" y="7893692"/>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900-00002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900-00002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900-00002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900-00002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900-00002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900-00002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900-00002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89</xdr:row>
          <xdr:rowOff>0</xdr:rowOff>
        </xdr:from>
        <xdr:to>
          <xdr:col>21</xdr:col>
          <xdr:colOff>0</xdr:colOff>
          <xdr:row>90</xdr:row>
          <xdr:rowOff>0</xdr:rowOff>
        </xdr:to>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900-00002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219075</xdr:colOff>
          <xdr:row>95</xdr:row>
          <xdr:rowOff>0</xdr:rowOff>
        </xdr:from>
        <xdr:to>
          <xdr:col>21</xdr:col>
          <xdr:colOff>0</xdr:colOff>
          <xdr:row>96</xdr:row>
          <xdr:rowOff>0</xdr:rowOff>
        </xdr:to>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900-00002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70757</xdr:rowOff>
    </xdr:from>
    <xdr:to>
      <xdr:col>16</xdr:col>
      <xdr:colOff>156882</xdr:colOff>
      <xdr:row>75</xdr:row>
      <xdr:rowOff>133829</xdr:rowOff>
    </xdr:to>
    <xdr:sp macro="" textlink="">
      <xdr:nvSpPr>
        <xdr:cNvPr id="80" name="Rechteck 79">
          <a:extLst>
            <a:ext uri="{FF2B5EF4-FFF2-40B4-BE49-F238E27FC236}">
              <a16:creationId xmlns:a16="http://schemas.microsoft.com/office/drawing/2014/main" id="{00000000-0008-0000-0900-000050000000}"/>
            </a:ext>
          </a:extLst>
        </xdr:cNvPr>
        <xdr:cNvSpPr/>
      </xdr:nvSpPr>
      <xdr:spPr>
        <a:xfrm>
          <a:off x="3964620" y="12034157"/>
          <a:ext cx="173712" cy="54884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900-00002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900-00002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900-00002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92528</xdr:rowOff>
    </xdr:to>
    <xdr:sp macro="" textlink="">
      <xdr:nvSpPr>
        <xdr:cNvPr id="84" name="Rechteck 83">
          <a:extLst>
            <a:ext uri="{FF2B5EF4-FFF2-40B4-BE49-F238E27FC236}">
              <a16:creationId xmlns:a16="http://schemas.microsoft.com/office/drawing/2014/main" id="{00000000-0008-0000-0900-000054000000}"/>
            </a:ext>
          </a:extLst>
        </xdr:cNvPr>
        <xdr:cNvSpPr/>
      </xdr:nvSpPr>
      <xdr:spPr>
        <a:xfrm>
          <a:off x="3432341" y="13056396"/>
          <a:ext cx="186551" cy="60925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104775</xdr:colOff>
          <xdr:row>80</xdr:row>
          <xdr:rowOff>152400</xdr:rowOff>
        </xdr:from>
        <xdr:to>
          <xdr:col>14</xdr:col>
          <xdr:colOff>104775</xdr:colOff>
          <xdr:row>82</xdr:row>
          <xdr:rowOff>0</xdr:rowOff>
        </xdr:to>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900-00002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86" name="Rechteck 85">
          <a:extLst>
            <a:ext uri="{FF2B5EF4-FFF2-40B4-BE49-F238E27FC236}">
              <a16:creationId xmlns:a16="http://schemas.microsoft.com/office/drawing/2014/main" id="{00000000-0008-0000-0900-000056000000}"/>
            </a:ext>
          </a:extLst>
        </xdr:cNvPr>
        <xdr:cNvSpPr/>
      </xdr:nvSpPr>
      <xdr:spPr>
        <a:xfrm>
          <a:off x="3365106" y="10348002"/>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900-00002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55</xdr:row>
          <xdr:rowOff>0</xdr:rowOff>
        </xdr:from>
        <xdr:to>
          <xdr:col>24</xdr:col>
          <xdr:colOff>0</xdr:colOff>
          <xdr:row>56</xdr:row>
          <xdr:rowOff>38100</xdr:rowOff>
        </xdr:to>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900-00002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89" name="Gerader Verbinder 88">
          <a:extLst>
            <a:ext uri="{FF2B5EF4-FFF2-40B4-BE49-F238E27FC236}">
              <a16:creationId xmlns:a16="http://schemas.microsoft.com/office/drawing/2014/main" id="{00000000-0008-0000-0900-000059000000}"/>
            </a:ext>
          </a:extLst>
        </xdr:cNvPr>
        <xdr:cNvCxnSpPr/>
      </xdr:nvCxnSpPr>
      <xdr:spPr>
        <a:xfrm flipV="1">
          <a:off x="1296709" y="4890327"/>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39</xdr:col>
          <xdr:colOff>0</xdr:colOff>
          <xdr:row>33</xdr:row>
          <xdr:rowOff>0</xdr:rowOff>
        </xdr:from>
        <xdr:to>
          <xdr:col>40</xdr:col>
          <xdr:colOff>0</xdr:colOff>
          <xdr:row>34</xdr:row>
          <xdr:rowOff>0</xdr:rowOff>
        </xdr:to>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900-00002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160442</xdr:colOff>
      <xdr:row>27</xdr:row>
      <xdr:rowOff>171880</xdr:rowOff>
    </xdr:from>
    <xdr:to>
      <xdr:col>8</xdr:col>
      <xdr:colOff>52827</xdr:colOff>
      <xdr:row>28</xdr:row>
      <xdr:rowOff>57668</xdr:rowOff>
    </xdr:to>
    <xdr:cxnSp macro="">
      <xdr:nvCxnSpPr>
        <xdr:cNvPr id="91" name="Gerader Verbinder 90">
          <a:extLst>
            <a:ext uri="{FF2B5EF4-FFF2-40B4-BE49-F238E27FC236}">
              <a16:creationId xmlns:a16="http://schemas.microsoft.com/office/drawing/2014/main" id="{00000000-0008-0000-0900-00005B000000}"/>
            </a:ext>
          </a:extLst>
        </xdr:cNvPr>
        <xdr:cNvCxnSpPr/>
      </xdr:nvCxnSpPr>
      <xdr:spPr>
        <a:xfrm flipV="1">
          <a:off x="2170217" y="4896280"/>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92" name="Gerader Verbinder 91">
          <a:extLst>
            <a:ext uri="{FF2B5EF4-FFF2-40B4-BE49-F238E27FC236}">
              <a16:creationId xmlns:a16="http://schemas.microsoft.com/office/drawing/2014/main" id="{00000000-0008-0000-0900-00005C000000}"/>
            </a:ext>
          </a:extLst>
        </xdr:cNvPr>
        <xdr:cNvCxnSpPr/>
      </xdr:nvCxnSpPr>
      <xdr:spPr>
        <a:xfrm flipV="1">
          <a:off x="3044135" y="4899852"/>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93" name="Gerader Verbinder 92">
          <a:extLst>
            <a:ext uri="{FF2B5EF4-FFF2-40B4-BE49-F238E27FC236}">
              <a16:creationId xmlns:a16="http://schemas.microsoft.com/office/drawing/2014/main" id="{00000000-0008-0000-0900-00005D000000}"/>
            </a:ext>
          </a:extLst>
        </xdr:cNvPr>
        <xdr:cNvCxnSpPr/>
      </xdr:nvCxnSpPr>
      <xdr:spPr>
        <a:xfrm flipV="1">
          <a:off x="3924007" y="4897471"/>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94" name="Gerader Verbinder 93">
          <a:extLst>
            <a:ext uri="{FF2B5EF4-FFF2-40B4-BE49-F238E27FC236}">
              <a16:creationId xmlns:a16="http://schemas.microsoft.com/office/drawing/2014/main" id="{00000000-0008-0000-0900-00005E000000}"/>
            </a:ext>
          </a:extLst>
        </xdr:cNvPr>
        <xdr:cNvCxnSpPr/>
      </xdr:nvCxnSpPr>
      <xdr:spPr>
        <a:xfrm flipV="1">
          <a:off x="4797925" y="4895090"/>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95" name="Gerader Verbinder 94">
          <a:extLst>
            <a:ext uri="{FF2B5EF4-FFF2-40B4-BE49-F238E27FC236}">
              <a16:creationId xmlns:a16="http://schemas.microsoft.com/office/drawing/2014/main" id="{00000000-0008-0000-0900-00005F000000}"/>
            </a:ext>
          </a:extLst>
        </xdr:cNvPr>
        <xdr:cNvCxnSpPr/>
      </xdr:nvCxnSpPr>
      <xdr:spPr>
        <a:xfrm flipV="1">
          <a:off x="5677797" y="4898662"/>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96" name="Gerader Verbinder 95">
          <a:extLst>
            <a:ext uri="{FF2B5EF4-FFF2-40B4-BE49-F238E27FC236}">
              <a16:creationId xmlns:a16="http://schemas.microsoft.com/office/drawing/2014/main" id="{00000000-0008-0000-0900-000060000000}"/>
            </a:ext>
          </a:extLst>
        </xdr:cNvPr>
        <xdr:cNvCxnSpPr/>
      </xdr:nvCxnSpPr>
      <xdr:spPr>
        <a:xfrm flipV="1">
          <a:off x="6551715" y="4896281"/>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97" name="Gerader Verbinder 96">
          <a:extLst>
            <a:ext uri="{FF2B5EF4-FFF2-40B4-BE49-F238E27FC236}">
              <a16:creationId xmlns:a16="http://schemas.microsoft.com/office/drawing/2014/main" id="{00000000-0008-0000-0900-000061000000}"/>
            </a:ext>
          </a:extLst>
        </xdr:cNvPr>
        <xdr:cNvCxnSpPr/>
      </xdr:nvCxnSpPr>
      <xdr:spPr>
        <a:xfrm flipV="1">
          <a:off x="7431587" y="4893900"/>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98" name="Gerader Verbinder 97">
          <a:extLst>
            <a:ext uri="{FF2B5EF4-FFF2-40B4-BE49-F238E27FC236}">
              <a16:creationId xmlns:a16="http://schemas.microsoft.com/office/drawing/2014/main" id="{00000000-0008-0000-0900-000062000000}"/>
            </a:ext>
          </a:extLst>
        </xdr:cNvPr>
        <xdr:cNvCxnSpPr/>
      </xdr:nvCxnSpPr>
      <xdr:spPr>
        <a:xfrm flipV="1">
          <a:off x="8305505" y="4897472"/>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99" name="Gerader Verbinder 98">
          <a:extLst>
            <a:ext uri="{FF2B5EF4-FFF2-40B4-BE49-F238E27FC236}">
              <a16:creationId xmlns:a16="http://schemas.microsoft.com/office/drawing/2014/main" id="{00000000-0008-0000-0900-000063000000}"/>
            </a:ext>
          </a:extLst>
        </xdr:cNvPr>
        <xdr:cNvCxnSpPr/>
      </xdr:nvCxnSpPr>
      <xdr:spPr>
        <a:xfrm flipV="1">
          <a:off x="9179424" y="4889138"/>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100" name="Gerader Verbinder 99">
          <a:extLst>
            <a:ext uri="{FF2B5EF4-FFF2-40B4-BE49-F238E27FC236}">
              <a16:creationId xmlns:a16="http://schemas.microsoft.com/office/drawing/2014/main" id="{00000000-0008-0000-0900-000064000000}"/>
            </a:ext>
          </a:extLst>
        </xdr:cNvPr>
        <xdr:cNvCxnSpPr/>
      </xdr:nvCxnSpPr>
      <xdr:spPr>
        <a:xfrm flipV="1">
          <a:off x="10059296" y="4898663"/>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101" name="Grafik 100">
          <a:extLst>
            <a:ext uri="{FF2B5EF4-FFF2-40B4-BE49-F238E27FC236}">
              <a16:creationId xmlns:a16="http://schemas.microsoft.com/office/drawing/2014/main" id="{00000000-0008-0000-0900-000065000000}"/>
            </a:ext>
          </a:extLst>
        </xdr:cNvPr>
        <xdr:cNvPicPr>
          <a:picLocks noChangeAspect="1"/>
        </xdr:cNvPicPr>
      </xdr:nvPicPr>
      <xdr:blipFill>
        <a:blip xmlns:r="http://schemas.openxmlformats.org/officeDocument/2006/relationships" r:embed="rId27"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900-00003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900-00003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56</xdr:row>
          <xdr:rowOff>19050</xdr:rowOff>
        </xdr:from>
        <xdr:to>
          <xdr:col>31</xdr:col>
          <xdr:colOff>0</xdr:colOff>
          <xdr:row>57</xdr:row>
          <xdr:rowOff>38100</xdr:rowOff>
        </xdr:to>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900-00003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900-00003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106" name="Grafik 105">
          <a:extLst>
            <a:ext uri="{FF2B5EF4-FFF2-40B4-BE49-F238E27FC236}">
              <a16:creationId xmlns:a16="http://schemas.microsoft.com/office/drawing/2014/main" id="{00000000-0008-0000-0900-00006A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6277" t="10351" r="77528" b="74663"/>
        <a:stretch/>
      </xdr:blipFill>
      <xdr:spPr>
        <a:xfrm>
          <a:off x="6472514" y="16898661"/>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107" name="Grafik 106">
          <a:extLst>
            <a:ext uri="{FF2B5EF4-FFF2-40B4-BE49-F238E27FC236}">
              <a16:creationId xmlns:a16="http://schemas.microsoft.com/office/drawing/2014/main" id="{00000000-0008-0000-0900-00006B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25697" t="10250" r="56015" b="76270"/>
        <a:stretch/>
      </xdr:blipFill>
      <xdr:spPr>
        <a:xfrm>
          <a:off x="7721414" y="16884014"/>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108" name="Grafik 107">
          <a:extLst>
            <a:ext uri="{FF2B5EF4-FFF2-40B4-BE49-F238E27FC236}">
              <a16:creationId xmlns:a16="http://schemas.microsoft.com/office/drawing/2014/main" id="{00000000-0008-0000-0900-00006C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8824" t="10375" r="34746" b="74144"/>
        <a:stretch/>
      </xdr:blipFill>
      <xdr:spPr>
        <a:xfrm>
          <a:off x="9146522" y="16898008"/>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109" name="Grafik 108">
          <a:extLst>
            <a:ext uri="{FF2B5EF4-FFF2-40B4-BE49-F238E27FC236}">
              <a16:creationId xmlns:a16="http://schemas.microsoft.com/office/drawing/2014/main" id="{00000000-0008-0000-0900-00006D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6350" t="42700" r="40451" b="43145"/>
        <a:stretch/>
      </xdr:blipFill>
      <xdr:spPr>
        <a:xfrm>
          <a:off x="6563926" y="18569879"/>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165006</xdr:rowOff>
    </xdr:to>
    <xdr:pic>
      <xdr:nvPicPr>
        <xdr:cNvPr id="110" name="Grafik 109">
          <a:extLst>
            <a:ext uri="{FF2B5EF4-FFF2-40B4-BE49-F238E27FC236}">
              <a16:creationId xmlns:a16="http://schemas.microsoft.com/office/drawing/2014/main" id="{00000000-0008-0000-0900-00006E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6350" t="40330" r="40451" b="41065"/>
        <a:stretch/>
      </xdr:blipFill>
      <xdr:spPr>
        <a:xfrm>
          <a:off x="9225824" y="18345161"/>
          <a:ext cx="884662" cy="1784245"/>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111" name="Rechteck 110">
          <a:extLst>
            <a:ext uri="{FF2B5EF4-FFF2-40B4-BE49-F238E27FC236}">
              <a16:creationId xmlns:a16="http://schemas.microsoft.com/office/drawing/2014/main" id="{00000000-0008-0000-0900-00006F000000}"/>
            </a:ext>
          </a:extLst>
        </xdr:cNvPr>
        <xdr:cNvSpPr/>
      </xdr:nvSpPr>
      <xdr:spPr>
        <a:xfrm>
          <a:off x="7861588" y="18470240"/>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179295</xdr:rowOff>
    </xdr:to>
    <xdr:pic>
      <xdr:nvPicPr>
        <xdr:cNvPr id="112" name="Grafik 111">
          <a:extLst>
            <a:ext uri="{FF2B5EF4-FFF2-40B4-BE49-F238E27FC236}">
              <a16:creationId xmlns:a16="http://schemas.microsoft.com/office/drawing/2014/main" id="{00000000-0008-0000-0900-000070000000}"/>
            </a:ext>
          </a:extLst>
        </xdr:cNvPr>
        <xdr:cNvPicPr>
          <a:picLocks noChangeAspect="1"/>
        </xdr:cNvPicPr>
      </xdr:nvPicPr>
      <xdr:blipFill rotWithShape="1">
        <a:blip xmlns:r="http://schemas.openxmlformats.org/officeDocument/2006/relationships" r:embed="rId29" cstate="print">
          <a:duotone>
            <a:prstClr val="black"/>
            <a:schemeClr val="accent3">
              <a:tint val="45000"/>
              <a:satMod val="400000"/>
            </a:schemeClr>
          </a:duotone>
          <a:extLst>
            <a:ext uri="{BEBA8EAE-BF5A-486C-A8C5-ECC9F3942E4B}">
              <a14:imgProps xmlns:a14="http://schemas.microsoft.com/office/drawing/2010/main">
                <a14:imgLayer r:embed="rId30">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08156"/>
          <a:ext cx="3941304" cy="2183464"/>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116522</xdr:rowOff>
    </xdr:to>
    <xdr:pic>
      <xdr:nvPicPr>
        <xdr:cNvPr id="113" name="Grafik 112">
          <a:extLst>
            <a:ext uri="{FF2B5EF4-FFF2-40B4-BE49-F238E27FC236}">
              <a16:creationId xmlns:a16="http://schemas.microsoft.com/office/drawing/2014/main" id="{00000000-0008-0000-0900-000071000000}"/>
            </a:ext>
          </a:extLst>
        </xdr:cNvPr>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val="0"/>
            </a:ext>
          </a:extLst>
        </a:blip>
        <a:srcRect l="63390" t="41256" r="16917" b="41369"/>
        <a:stretch/>
      </xdr:blipFill>
      <xdr:spPr>
        <a:xfrm>
          <a:off x="7709911" y="18472147"/>
          <a:ext cx="1332502" cy="1608775"/>
        </a:xfrm>
        <a:prstGeom prst="rect">
          <a:avLst/>
        </a:prstGeom>
      </xdr:spPr>
    </xdr:pic>
    <xdr:clientData/>
  </xdr:twoCellAnchor>
  <xdr:twoCellAnchor>
    <xdr:from>
      <xdr:col>17</xdr:col>
      <xdr:colOff>145677</xdr:colOff>
      <xdr:row>90</xdr:row>
      <xdr:rowOff>0</xdr:rowOff>
    </xdr:from>
    <xdr:to>
      <xdr:col>19</xdr:col>
      <xdr:colOff>56030</xdr:colOff>
      <xdr:row>92</xdr:row>
      <xdr:rowOff>145677</xdr:rowOff>
    </xdr:to>
    <xdr:sp macro="" textlink="">
      <xdr:nvSpPr>
        <xdr:cNvPr id="114" name="Rechteck 113">
          <a:extLst>
            <a:ext uri="{FF2B5EF4-FFF2-40B4-BE49-F238E27FC236}">
              <a16:creationId xmlns:a16="http://schemas.microsoft.com/office/drawing/2014/main" id="{00000000-0008-0000-0900-000072000000}"/>
            </a:ext>
          </a:extLst>
        </xdr:cNvPr>
        <xdr:cNvSpPr/>
      </xdr:nvSpPr>
      <xdr:spPr>
        <a:xfrm>
          <a:off x="4346202" y="14868525"/>
          <a:ext cx="348503" cy="46952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52</xdr:col>
      <xdr:colOff>81803</xdr:colOff>
      <xdr:row>24</xdr:row>
      <xdr:rowOff>9930</xdr:rowOff>
    </xdr:from>
    <xdr:to>
      <xdr:col>52</xdr:col>
      <xdr:colOff>535195</xdr:colOff>
      <xdr:row>25</xdr:row>
      <xdr:rowOff>111344</xdr:rowOff>
    </xdr:to>
    <xdr:sp macro="" textlink="">
      <xdr:nvSpPr>
        <xdr:cNvPr id="115" name="Pfeil nach rechts 16">
          <a:hlinkClick xmlns:r="http://schemas.openxmlformats.org/officeDocument/2006/relationships" r:id="rId32"/>
          <a:extLst>
            <a:ext uri="{FF2B5EF4-FFF2-40B4-BE49-F238E27FC236}">
              <a16:creationId xmlns:a16="http://schemas.microsoft.com/office/drawing/2014/main" id="{00000000-0008-0000-0900-000073000000}"/>
            </a:ext>
          </a:extLst>
        </xdr:cNvPr>
        <xdr:cNvSpPr/>
      </xdr:nvSpPr>
      <xdr:spPr>
        <a:xfrm>
          <a:off x="14883653" y="4286655"/>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39</xdr:col>
          <xdr:colOff>0</xdr:colOff>
          <xdr:row>33</xdr:row>
          <xdr:rowOff>152400</xdr:rowOff>
        </xdr:from>
        <xdr:to>
          <xdr:col>40</xdr:col>
          <xdr:colOff>0</xdr:colOff>
          <xdr:row>35</xdr:row>
          <xdr:rowOff>0</xdr:rowOff>
        </xdr:to>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900-00003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34</xdr:row>
          <xdr:rowOff>142875</xdr:rowOff>
        </xdr:from>
        <xdr:to>
          <xdr:col>40</xdr:col>
          <xdr:colOff>0</xdr:colOff>
          <xdr:row>36</xdr:row>
          <xdr:rowOff>0</xdr:rowOff>
        </xdr:to>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900-00003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35</xdr:row>
          <xdr:rowOff>142875</xdr:rowOff>
        </xdr:from>
        <xdr:to>
          <xdr:col>40</xdr:col>
          <xdr:colOff>0</xdr:colOff>
          <xdr:row>37</xdr:row>
          <xdr:rowOff>0</xdr:rowOff>
        </xdr:to>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900-00003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38</xdr:row>
          <xdr:rowOff>142875</xdr:rowOff>
        </xdr:from>
        <xdr:to>
          <xdr:col>31</xdr:col>
          <xdr:colOff>0</xdr:colOff>
          <xdr:row>40</xdr:row>
          <xdr:rowOff>0</xdr:rowOff>
        </xdr:to>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900-00003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49</xdr:col>
      <xdr:colOff>49695</xdr:colOff>
      <xdr:row>75</xdr:row>
      <xdr:rowOff>34374</xdr:rowOff>
    </xdr:from>
    <xdr:to>
      <xdr:col>49</xdr:col>
      <xdr:colOff>749316</xdr:colOff>
      <xdr:row>79</xdr:row>
      <xdr:rowOff>132523</xdr:rowOff>
    </xdr:to>
    <xdr:pic>
      <xdr:nvPicPr>
        <xdr:cNvPr id="120" name="Grafik 119">
          <a:extLst>
            <a:ext uri="{FF2B5EF4-FFF2-40B4-BE49-F238E27FC236}">
              <a16:creationId xmlns:a16="http://schemas.microsoft.com/office/drawing/2014/main" id="{00000000-0008-0000-0900-000078000000}"/>
            </a:ext>
          </a:extLst>
        </xdr:cNvPr>
        <xdr:cNvPicPr>
          <a:picLocks noChangeAspect="1"/>
        </xdr:cNvPicPr>
      </xdr:nvPicPr>
      <xdr:blipFill rotWithShape="1">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Layer>
              </a14:imgProps>
            </a:ext>
          </a:extLst>
        </a:blip>
        <a:srcRect l="51024"/>
        <a:stretch/>
      </xdr:blipFill>
      <xdr:spPr>
        <a:xfrm>
          <a:off x="12060720" y="12483549"/>
          <a:ext cx="699621" cy="745849"/>
        </a:xfrm>
        <a:prstGeom prst="rect">
          <a:avLst/>
        </a:prstGeom>
        <a:ln>
          <a:noFill/>
        </a:ln>
      </xdr:spPr>
    </xdr:pic>
    <xdr:clientData/>
  </xdr:twoCellAnchor>
  <xdr:twoCellAnchor editAs="oneCell">
    <xdr:from>
      <xdr:col>48</xdr:col>
      <xdr:colOff>44726</xdr:colOff>
      <xdr:row>75</xdr:row>
      <xdr:rowOff>21121</xdr:rowOff>
    </xdr:from>
    <xdr:to>
      <xdr:col>48</xdr:col>
      <xdr:colOff>728870</xdr:colOff>
      <xdr:row>79</xdr:row>
      <xdr:rowOff>119270</xdr:rowOff>
    </xdr:to>
    <xdr:pic>
      <xdr:nvPicPr>
        <xdr:cNvPr id="121" name="Grafik 120">
          <a:extLst>
            <a:ext uri="{FF2B5EF4-FFF2-40B4-BE49-F238E27FC236}">
              <a16:creationId xmlns:a16="http://schemas.microsoft.com/office/drawing/2014/main" id="{00000000-0008-0000-0900-000079000000}"/>
            </a:ext>
          </a:extLst>
        </xdr:cNvPr>
        <xdr:cNvPicPr>
          <a:picLocks noChangeAspect="1"/>
        </xdr:cNvPicPr>
      </xdr:nvPicPr>
      <xdr:blipFill rotWithShape="1">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Layer>
              </a14:imgProps>
            </a:ext>
          </a:extLst>
        </a:blip>
        <a:srcRect r="52107"/>
        <a:stretch/>
      </xdr:blipFill>
      <xdr:spPr>
        <a:xfrm>
          <a:off x="11293751" y="12470296"/>
          <a:ext cx="684144" cy="745849"/>
        </a:xfrm>
        <a:prstGeom prst="rect">
          <a:avLst/>
        </a:prstGeom>
        <a:ln>
          <a:noFill/>
        </a:ln>
      </xdr:spPr>
    </xdr:pic>
    <xdr:clientData/>
  </xdr:twoCellAnchor>
  <xdr:twoCellAnchor editAs="oneCell">
    <xdr:from>
      <xdr:col>4</xdr:col>
      <xdr:colOff>173820</xdr:colOff>
      <xdr:row>61</xdr:row>
      <xdr:rowOff>147667</xdr:rowOff>
    </xdr:from>
    <xdr:to>
      <xdr:col>7</xdr:col>
      <xdr:colOff>165065</xdr:colOff>
      <xdr:row>68</xdr:row>
      <xdr:rowOff>142671</xdr:rowOff>
    </xdr:to>
    <xdr:pic>
      <xdr:nvPicPr>
        <xdr:cNvPr id="122" name="Grafik 121">
          <a:extLst>
            <a:ext uri="{FF2B5EF4-FFF2-40B4-BE49-F238E27FC236}">
              <a16:creationId xmlns:a16="http://schemas.microsoft.com/office/drawing/2014/main" id="{00000000-0008-0000-0900-00007A000000}"/>
            </a:ext>
          </a:extLst>
        </xdr:cNvPr>
        <xdr:cNvPicPr>
          <a:picLocks noChangeAspect="1"/>
        </xdr:cNvPicPr>
      </xdr:nvPicPr>
      <xdr:blipFill>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tretch>
          <a:fillRect/>
        </a:stretch>
      </xdr:blipFill>
      <xdr:spPr>
        <a:xfrm>
          <a:off x="1526370" y="10329892"/>
          <a:ext cx="648470" cy="1128479"/>
        </a:xfrm>
        <a:prstGeom prst="rect">
          <a:avLst/>
        </a:prstGeom>
      </xdr:spPr>
    </xdr:pic>
    <xdr:clientData/>
  </xdr:twoCellAnchor>
  <xdr:twoCellAnchor editAs="oneCell">
    <xdr:from>
      <xdr:col>23</xdr:col>
      <xdr:colOff>29211</xdr:colOff>
      <xdr:row>61</xdr:row>
      <xdr:rowOff>72420</xdr:rowOff>
    </xdr:from>
    <xdr:to>
      <xdr:col>25</xdr:col>
      <xdr:colOff>177961</xdr:colOff>
      <xdr:row>69</xdr:row>
      <xdr:rowOff>87088</xdr:rowOff>
    </xdr:to>
    <xdr:pic>
      <xdr:nvPicPr>
        <xdr:cNvPr id="123" name="Grafik 122">
          <a:extLst>
            <a:ext uri="{FF2B5EF4-FFF2-40B4-BE49-F238E27FC236}">
              <a16:creationId xmlns:a16="http://schemas.microsoft.com/office/drawing/2014/main" id="{00000000-0008-0000-0900-00007B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Lst>
        </a:blip>
        <a:stretch>
          <a:fillRect/>
        </a:stretch>
      </xdr:blipFill>
      <xdr:spPr>
        <a:xfrm>
          <a:off x="5544186" y="10254645"/>
          <a:ext cx="586900" cy="1310068"/>
        </a:xfrm>
        <a:prstGeom prst="rect">
          <a:avLst/>
        </a:prstGeom>
      </xdr:spPr>
    </xdr:pic>
    <xdr:clientData/>
  </xdr:twoCellAnchor>
  <xdr:twoCellAnchor editAs="oneCell">
    <xdr:from>
      <xdr:col>16</xdr:col>
      <xdr:colOff>132163</xdr:colOff>
      <xdr:row>61</xdr:row>
      <xdr:rowOff>27451</xdr:rowOff>
    </xdr:from>
    <xdr:to>
      <xdr:col>21</xdr:col>
      <xdr:colOff>53892</xdr:colOff>
      <xdr:row>69</xdr:row>
      <xdr:rowOff>141283</xdr:rowOff>
    </xdr:to>
    <xdr:pic>
      <xdr:nvPicPr>
        <xdr:cNvPr id="124" name="Grafik 123">
          <a:extLst>
            <a:ext uri="{FF2B5EF4-FFF2-40B4-BE49-F238E27FC236}">
              <a16:creationId xmlns:a16="http://schemas.microsoft.com/office/drawing/2014/main" id="{00000000-0008-0000-0900-00007C000000}"/>
            </a:ext>
          </a:extLst>
        </xdr:cNvPr>
        <xdr:cNvPicPr>
          <a:picLocks noChangeAspect="1"/>
        </xdr:cNvPicPr>
      </xdr:nvPicPr>
      <xdr:blipFill>
        <a:blip xmlns:r="http://schemas.openxmlformats.org/officeDocument/2006/relationships" r:embed="rId39">
          <a:duotone>
            <a:prstClr val="black"/>
            <a:schemeClr val="accent3">
              <a:tint val="45000"/>
              <a:satMod val="400000"/>
            </a:schemeClr>
          </a:duotone>
          <a:extLst>
            <a:ext uri="{BEBA8EAE-BF5A-486C-A8C5-ECC9F3942E4B}">
              <a14:imgProps xmlns:a14="http://schemas.microsoft.com/office/drawing/2010/main">
                <a14:imgLayer r:embed="rId40">
                  <a14:imgEffect>
                    <a14:colorTemperature colorTemp="11500"/>
                  </a14:imgEffect>
                  <a14:imgEffect>
                    <a14:saturation sat="400000"/>
                  </a14:imgEffect>
                </a14:imgLayer>
              </a14:imgProps>
            </a:ext>
          </a:extLst>
        </a:blip>
        <a:stretch>
          <a:fillRect/>
        </a:stretch>
      </xdr:blipFill>
      <xdr:spPr>
        <a:xfrm>
          <a:off x="4113613" y="10209676"/>
          <a:ext cx="1017104" cy="1409232"/>
        </a:xfrm>
        <a:prstGeom prst="rect">
          <a:avLst/>
        </a:prstGeom>
      </xdr:spPr>
    </xdr:pic>
    <xdr:clientData/>
  </xdr:twoCellAnchor>
  <xdr:twoCellAnchor>
    <xdr:from>
      <xdr:col>6</xdr:col>
      <xdr:colOff>195521</xdr:colOff>
      <xdr:row>65</xdr:row>
      <xdr:rowOff>122301</xdr:rowOff>
    </xdr:from>
    <xdr:to>
      <xdr:col>8</xdr:col>
      <xdr:colOff>32656</xdr:colOff>
      <xdr:row>68</xdr:row>
      <xdr:rowOff>103413</xdr:rowOff>
    </xdr:to>
    <xdr:sp macro="" textlink="">
      <xdr:nvSpPr>
        <xdr:cNvPr id="125" name="Rechteck 124">
          <a:extLst>
            <a:ext uri="{FF2B5EF4-FFF2-40B4-BE49-F238E27FC236}">
              <a16:creationId xmlns:a16="http://schemas.microsoft.com/office/drawing/2014/main" id="{00000000-0008-0000-0900-00007D000000}"/>
            </a:ext>
          </a:extLst>
        </xdr:cNvPr>
        <xdr:cNvSpPr/>
      </xdr:nvSpPr>
      <xdr:spPr>
        <a:xfrm>
          <a:off x="1986221" y="10952226"/>
          <a:ext cx="275285"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18</xdr:col>
      <xdr:colOff>122043</xdr:colOff>
      <xdr:row>66</xdr:row>
      <xdr:rowOff>35215</xdr:rowOff>
    </xdr:from>
    <xdr:to>
      <xdr:col>21</xdr:col>
      <xdr:colOff>111579</xdr:colOff>
      <xdr:row>67</xdr:row>
      <xdr:rowOff>27214</xdr:rowOff>
    </xdr:to>
    <xdr:sp macro="" textlink="">
      <xdr:nvSpPr>
        <xdr:cNvPr id="126" name="Rechteck 125">
          <a:extLst>
            <a:ext uri="{FF2B5EF4-FFF2-40B4-BE49-F238E27FC236}">
              <a16:creationId xmlns:a16="http://schemas.microsoft.com/office/drawing/2014/main" id="{00000000-0008-0000-0900-00007E000000}"/>
            </a:ext>
          </a:extLst>
        </xdr:cNvPr>
        <xdr:cNvSpPr/>
      </xdr:nvSpPr>
      <xdr:spPr>
        <a:xfrm>
          <a:off x="4541643" y="11027065"/>
          <a:ext cx="646761" cy="153924"/>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3</xdr:col>
      <xdr:colOff>14654</xdr:colOff>
      <xdr:row>62</xdr:row>
      <xdr:rowOff>43962</xdr:rowOff>
    </xdr:from>
    <xdr:to>
      <xdr:col>5</xdr:col>
      <xdr:colOff>22210</xdr:colOff>
      <xdr:row>63</xdr:row>
      <xdr:rowOff>131884</xdr:rowOff>
    </xdr:to>
    <xdr:pic>
      <xdr:nvPicPr>
        <xdr:cNvPr id="127" name="Grafik 126">
          <a:extLst>
            <a:ext uri="{FF2B5EF4-FFF2-40B4-BE49-F238E27FC236}">
              <a16:creationId xmlns:a16="http://schemas.microsoft.com/office/drawing/2014/main" id="{00000000-0008-0000-0900-00007F000000}"/>
            </a:ext>
          </a:extLst>
        </xdr:cNvPr>
        <xdr:cNvPicPr>
          <a:picLocks noChangeAspect="1"/>
        </xdr:cNvPicPr>
      </xdr:nvPicPr>
      <xdr:blipFill>
        <a:blip xmlns:r="http://schemas.openxmlformats.org/officeDocument/2006/relationships" r:embed="rId41">
          <a:duotone>
            <a:prstClr val="black"/>
            <a:schemeClr val="accent3">
              <a:tint val="45000"/>
              <a:satMod val="400000"/>
            </a:schemeClr>
          </a:duotone>
          <a:extLst>
            <a:ext uri="{BEBA8EAE-BF5A-486C-A8C5-ECC9F3942E4B}">
              <a14:imgProps xmlns:a14="http://schemas.microsoft.com/office/drawing/2010/main">
                <a14:imgLayer r:embed="rId42">
                  <a14:imgEffect>
                    <a14:colorTemperature colorTemp="11500"/>
                  </a14:imgEffect>
                  <a14:imgEffect>
                    <a14:saturation sat="400000"/>
                  </a14:imgEffect>
                </a14:imgLayer>
              </a14:imgProps>
            </a:ext>
          </a:extLst>
        </a:blip>
        <a:stretch>
          <a:fillRect/>
        </a:stretch>
      </xdr:blipFill>
      <xdr:spPr>
        <a:xfrm>
          <a:off x="1281479" y="10388112"/>
          <a:ext cx="312356" cy="249847"/>
        </a:xfrm>
        <a:prstGeom prst="rect">
          <a:avLst/>
        </a:prstGeom>
      </xdr:spPr>
    </xdr:pic>
    <xdr:clientData/>
  </xdr:twoCellAnchor>
  <xdr:twoCellAnchor editAs="oneCell">
    <xdr:from>
      <xdr:col>6</xdr:col>
      <xdr:colOff>51449</xdr:colOff>
      <xdr:row>73</xdr:row>
      <xdr:rowOff>14420</xdr:rowOff>
    </xdr:from>
    <xdr:to>
      <xdr:col>10</xdr:col>
      <xdr:colOff>140036</xdr:colOff>
      <xdr:row>81</xdr:row>
      <xdr:rowOff>119751</xdr:rowOff>
    </xdr:to>
    <xdr:pic>
      <xdr:nvPicPr>
        <xdr:cNvPr id="128" name="Grafik 127">
          <a:extLst>
            <a:ext uri="{FF2B5EF4-FFF2-40B4-BE49-F238E27FC236}">
              <a16:creationId xmlns:a16="http://schemas.microsoft.com/office/drawing/2014/main" id="{00000000-0008-0000-0900-000080000000}"/>
            </a:ext>
          </a:extLst>
        </xdr:cNvPr>
        <xdr:cNvPicPr>
          <a:picLocks noChangeAspect="1"/>
        </xdr:cNvPicPr>
      </xdr:nvPicPr>
      <xdr:blipFill>
        <a:blip xmlns:r="http://schemas.openxmlformats.org/officeDocument/2006/relationships" r:embed="rId43">
          <a:duotone>
            <a:prstClr val="black"/>
            <a:schemeClr val="accent3">
              <a:tint val="45000"/>
              <a:satMod val="400000"/>
            </a:schemeClr>
          </a:duotone>
          <a:extLst>
            <a:ext uri="{BEBA8EAE-BF5A-486C-A8C5-ECC9F3942E4B}">
              <a14:imgProps xmlns:a14="http://schemas.microsoft.com/office/drawing/2010/main">
                <a14:imgLayer r:embed="rId44">
                  <a14:imgEffect>
                    <a14:colorTemperature colorTemp="11500"/>
                  </a14:imgEffect>
                  <a14:imgEffect>
                    <a14:saturation sat="400000"/>
                  </a14:imgEffect>
                </a14:imgLayer>
              </a14:imgProps>
            </a:ext>
          </a:extLst>
        </a:blip>
        <a:stretch>
          <a:fillRect/>
        </a:stretch>
      </xdr:blipFill>
      <xdr:spPr>
        <a:xfrm>
          <a:off x="1842149" y="12139745"/>
          <a:ext cx="964887" cy="1391206"/>
        </a:xfrm>
        <a:prstGeom prst="rect">
          <a:avLst/>
        </a:prstGeom>
      </xdr:spPr>
    </xdr:pic>
    <xdr:clientData/>
  </xdr:twoCellAnchor>
  <xdr:twoCellAnchor editAs="oneCell">
    <xdr:from>
      <xdr:col>5</xdr:col>
      <xdr:colOff>199197</xdr:colOff>
      <xdr:row>87</xdr:row>
      <xdr:rowOff>94338</xdr:rowOff>
    </xdr:from>
    <xdr:to>
      <xdr:col>11</xdr:col>
      <xdr:colOff>132531</xdr:colOff>
      <xdr:row>93</xdr:row>
      <xdr:rowOff>53576</xdr:rowOff>
    </xdr:to>
    <xdr:pic>
      <xdr:nvPicPr>
        <xdr:cNvPr id="129" name="Grafik 128">
          <a:extLst>
            <a:ext uri="{FF2B5EF4-FFF2-40B4-BE49-F238E27FC236}">
              <a16:creationId xmlns:a16="http://schemas.microsoft.com/office/drawing/2014/main" id="{00000000-0008-0000-0900-000081000000}"/>
            </a:ext>
          </a:extLst>
        </xdr:cNvPr>
        <xdr:cNvPicPr>
          <a:picLocks noChangeAspect="1"/>
        </xdr:cNvPicPr>
      </xdr:nvPicPr>
      <xdr:blipFill rotWithShape="1">
        <a:blip xmlns:r="http://schemas.openxmlformats.org/officeDocument/2006/relationships" r:embed="rId45">
          <a:duotone>
            <a:prstClr val="black"/>
            <a:schemeClr val="accent3">
              <a:tint val="45000"/>
              <a:satMod val="400000"/>
            </a:schemeClr>
          </a:duotone>
          <a:extLst>
            <a:ext uri="{BEBA8EAE-BF5A-486C-A8C5-ECC9F3942E4B}">
              <a14:imgProps xmlns:a14="http://schemas.microsoft.com/office/drawing/2010/main">
                <a14:imgLayer r:embed="rId46">
                  <a14:imgEffect>
                    <a14:colorTemperature colorTemp="11500"/>
                  </a14:imgEffect>
                  <a14:imgEffect>
                    <a14:saturation sat="400000"/>
                  </a14:imgEffect>
                </a14:imgLayer>
              </a14:imgProps>
            </a:ext>
          </a:extLst>
        </a:blip>
        <a:srcRect r="1820"/>
        <a:stretch/>
      </xdr:blipFill>
      <xdr:spPr>
        <a:xfrm>
          <a:off x="1770822" y="14477088"/>
          <a:ext cx="1247784" cy="930788"/>
        </a:xfrm>
        <a:prstGeom prst="rect">
          <a:avLst/>
        </a:prstGeom>
      </xdr:spPr>
    </xdr:pic>
    <xdr:clientData/>
  </xdr:twoCellAnchor>
  <xdr:twoCellAnchor editAs="oneCell">
    <xdr:from>
      <xdr:col>20</xdr:col>
      <xdr:colOff>178594</xdr:colOff>
      <xdr:row>85</xdr:row>
      <xdr:rowOff>29766</xdr:rowOff>
    </xdr:from>
    <xdr:to>
      <xdr:col>24</xdr:col>
      <xdr:colOff>186691</xdr:colOff>
      <xdr:row>88</xdr:row>
      <xdr:rowOff>154783</xdr:rowOff>
    </xdr:to>
    <xdr:pic>
      <xdr:nvPicPr>
        <xdr:cNvPr id="130" name="Grafik 129">
          <a:extLst>
            <a:ext uri="{FF2B5EF4-FFF2-40B4-BE49-F238E27FC236}">
              <a16:creationId xmlns:a16="http://schemas.microsoft.com/office/drawing/2014/main" id="{00000000-0008-0000-0900-000082000000}"/>
            </a:ext>
          </a:extLst>
        </xdr:cNvPr>
        <xdr:cNvPicPr>
          <a:picLocks noChangeAspect="1"/>
        </xdr:cNvPicPr>
      </xdr:nvPicPr>
      <xdr:blipFill rotWithShape="1">
        <a:blip xmlns:r="http://schemas.openxmlformats.org/officeDocument/2006/relationships" r:embed="rId47">
          <a:duotone>
            <a:prstClr val="black"/>
            <a:schemeClr val="accent3">
              <a:tint val="45000"/>
              <a:satMod val="400000"/>
            </a:schemeClr>
          </a:duotone>
          <a:extLst>
            <a:ext uri="{BEBA8EAE-BF5A-486C-A8C5-ECC9F3942E4B}">
              <a14:imgProps xmlns:a14="http://schemas.microsoft.com/office/drawing/2010/main">
                <a14:imgLayer r:embed="rId48">
                  <a14:imgEffect>
                    <a14:colorTemperature colorTemp="11500"/>
                  </a14:imgEffect>
                  <a14:imgEffect>
                    <a14:saturation sat="400000"/>
                  </a14:imgEffect>
                </a14:imgLayer>
              </a14:imgProps>
            </a:ext>
          </a:extLst>
        </a:blip>
        <a:srcRect t="6513" b="3729"/>
        <a:stretch/>
      </xdr:blipFill>
      <xdr:spPr>
        <a:xfrm>
          <a:off x="5036344" y="14088666"/>
          <a:ext cx="884397" cy="610792"/>
        </a:xfrm>
        <a:prstGeom prst="rect">
          <a:avLst/>
        </a:prstGeom>
      </xdr:spPr>
    </xdr:pic>
    <xdr:clientData/>
  </xdr:twoCellAnchor>
  <xdr:twoCellAnchor editAs="oneCell">
    <xdr:from>
      <xdr:col>20</xdr:col>
      <xdr:colOff>203519</xdr:colOff>
      <xdr:row>90</xdr:row>
      <xdr:rowOff>28578</xdr:rowOff>
    </xdr:from>
    <xdr:to>
      <xdr:col>25</xdr:col>
      <xdr:colOff>9286</xdr:colOff>
      <xdr:row>95</xdr:row>
      <xdr:rowOff>3851</xdr:rowOff>
    </xdr:to>
    <xdr:pic>
      <xdr:nvPicPr>
        <xdr:cNvPr id="131" name="Grafik 130">
          <a:extLst>
            <a:ext uri="{FF2B5EF4-FFF2-40B4-BE49-F238E27FC236}">
              <a16:creationId xmlns:a16="http://schemas.microsoft.com/office/drawing/2014/main" id="{00000000-0008-0000-0900-000083000000}"/>
            </a:ext>
          </a:extLst>
        </xdr:cNvPr>
        <xdr:cNvPicPr>
          <a:picLocks noChangeAspect="1"/>
        </xdr:cNvPicPr>
      </xdr:nvPicPr>
      <xdr:blipFill>
        <a:blip xmlns:r="http://schemas.openxmlformats.org/officeDocument/2006/relationships" r:embed="rId49">
          <a:duotone>
            <a:prstClr val="black"/>
            <a:schemeClr val="accent3">
              <a:tint val="45000"/>
              <a:satMod val="400000"/>
            </a:schemeClr>
          </a:duotone>
          <a:extLst>
            <a:ext uri="{BEBA8EAE-BF5A-486C-A8C5-ECC9F3942E4B}">
              <a14:imgProps xmlns:a14="http://schemas.microsoft.com/office/drawing/2010/main">
                <a14:imgLayer r:embed="rId50">
                  <a14:imgEffect>
                    <a14:colorTemperature colorTemp="11500"/>
                  </a14:imgEffect>
                  <a14:imgEffect>
                    <a14:saturation sat="400000"/>
                  </a14:imgEffect>
                </a14:imgLayer>
              </a14:imgProps>
            </a:ext>
          </a:extLst>
        </a:blip>
        <a:stretch>
          <a:fillRect/>
        </a:stretch>
      </xdr:blipFill>
      <xdr:spPr>
        <a:xfrm>
          <a:off x="5061269" y="14897103"/>
          <a:ext cx="901142" cy="784898"/>
        </a:xfrm>
        <a:prstGeom prst="rect">
          <a:avLst/>
        </a:prstGeom>
      </xdr:spPr>
    </xdr:pic>
    <xdr:clientData/>
  </xdr:twoCellAnchor>
  <xdr:twoCellAnchor>
    <xdr:from>
      <xdr:col>9</xdr:col>
      <xdr:colOff>92316</xdr:colOff>
      <xdr:row>72</xdr:row>
      <xdr:rowOff>73315</xdr:rowOff>
    </xdr:from>
    <xdr:to>
      <xdr:col>10</xdr:col>
      <xdr:colOff>145072</xdr:colOff>
      <xdr:row>75</xdr:row>
      <xdr:rowOff>54427</xdr:rowOff>
    </xdr:to>
    <xdr:sp macro="" textlink="">
      <xdr:nvSpPr>
        <xdr:cNvPr id="132" name="Rechteck 131">
          <a:extLst>
            <a:ext uri="{FF2B5EF4-FFF2-40B4-BE49-F238E27FC236}">
              <a16:creationId xmlns:a16="http://schemas.microsoft.com/office/drawing/2014/main" id="{00000000-0008-0000-0900-000084000000}"/>
            </a:ext>
          </a:extLst>
        </xdr:cNvPr>
        <xdr:cNvSpPr/>
      </xdr:nvSpPr>
      <xdr:spPr>
        <a:xfrm>
          <a:off x="2540241" y="12036715"/>
          <a:ext cx="271831"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152400</xdr:colOff>
      <xdr:row>73</xdr:row>
      <xdr:rowOff>54431</xdr:rowOff>
    </xdr:from>
    <xdr:to>
      <xdr:col>5</xdr:col>
      <xdr:colOff>67915</xdr:colOff>
      <xdr:row>74</xdr:row>
      <xdr:rowOff>112663</xdr:rowOff>
    </xdr:to>
    <xdr:pic>
      <xdr:nvPicPr>
        <xdr:cNvPr id="133" name="Grafik 132">
          <a:extLst>
            <a:ext uri="{FF2B5EF4-FFF2-40B4-BE49-F238E27FC236}">
              <a16:creationId xmlns:a16="http://schemas.microsoft.com/office/drawing/2014/main" id="{00000000-0008-0000-0900-000085000000}"/>
            </a:ext>
          </a:extLst>
        </xdr:cNvPr>
        <xdr:cNvPicPr>
          <a:picLocks noChangeAspect="1"/>
        </xdr:cNvPicPr>
      </xdr:nvPicPr>
      <xdr:blipFill>
        <a:blip xmlns:r="http://schemas.openxmlformats.org/officeDocument/2006/relationships" r:embed="rId51">
          <a:duotone>
            <a:prstClr val="black"/>
            <a:schemeClr val="accent3">
              <a:tint val="45000"/>
              <a:satMod val="400000"/>
            </a:schemeClr>
          </a:duotone>
          <a:extLst>
            <a:ext uri="{BEBA8EAE-BF5A-486C-A8C5-ECC9F3942E4B}">
              <a14:imgProps xmlns:a14="http://schemas.microsoft.com/office/drawing/2010/main">
                <a14:imgLayer r:embed="rId52">
                  <a14:imgEffect>
                    <a14:colorTemperature colorTemp="11500"/>
                  </a14:imgEffect>
                  <a14:imgEffect>
                    <a14:saturation sat="400000"/>
                  </a14:imgEffect>
                </a14:imgLayer>
              </a14:imgProps>
            </a:ext>
          </a:extLst>
        </a:blip>
        <a:stretch>
          <a:fillRect/>
        </a:stretch>
      </xdr:blipFill>
      <xdr:spPr>
        <a:xfrm>
          <a:off x="1228725" y="12179756"/>
          <a:ext cx="410815" cy="220157"/>
        </a:xfrm>
        <a:prstGeom prst="rect">
          <a:avLst/>
        </a:prstGeom>
      </xdr:spPr>
    </xdr:pic>
    <xdr:clientData/>
  </xdr:twoCellAnchor>
  <xdr:twoCellAnchor editAs="oneCell">
    <xdr:from>
      <xdr:col>2</xdr:col>
      <xdr:colOff>152570</xdr:colOff>
      <xdr:row>86</xdr:row>
      <xdr:rowOff>56809</xdr:rowOff>
    </xdr:from>
    <xdr:to>
      <xdr:col>5</xdr:col>
      <xdr:colOff>68085</xdr:colOff>
      <xdr:row>87</xdr:row>
      <xdr:rowOff>115041</xdr:rowOff>
    </xdr:to>
    <xdr:pic>
      <xdr:nvPicPr>
        <xdr:cNvPr id="134" name="Grafik 133">
          <a:extLst>
            <a:ext uri="{FF2B5EF4-FFF2-40B4-BE49-F238E27FC236}">
              <a16:creationId xmlns:a16="http://schemas.microsoft.com/office/drawing/2014/main" id="{00000000-0008-0000-0900-000086000000}"/>
            </a:ext>
          </a:extLst>
        </xdr:cNvPr>
        <xdr:cNvPicPr>
          <a:picLocks noChangeAspect="1"/>
        </xdr:cNvPicPr>
      </xdr:nvPicPr>
      <xdr:blipFill>
        <a:blip xmlns:r="http://schemas.openxmlformats.org/officeDocument/2006/relationships" r:embed="rId51">
          <a:duotone>
            <a:prstClr val="black"/>
            <a:schemeClr val="accent3">
              <a:tint val="45000"/>
              <a:satMod val="400000"/>
            </a:schemeClr>
          </a:duotone>
          <a:extLst>
            <a:ext uri="{BEBA8EAE-BF5A-486C-A8C5-ECC9F3942E4B}">
              <a14:imgProps xmlns:a14="http://schemas.microsoft.com/office/drawing/2010/main">
                <a14:imgLayer r:embed="rId52">
                  <a14:imgEffect>
                    <a14:colorTemperature colorTemp="11500"/>
                  </a14:imgEffect>
                  <a14:imgEffect>
                    <a14:saturation sat="400000"/>
                  </a14:imgEffect>
                </a14:imgLayer>
              </a14:imgProps>
            </a:ext>
          </a:extLst>
        </a:blip>
        <a:stretch>
          <a:fillRect/>
        </a:stretch>
      </xdr:blipFill>
      <xdr:spPr>
        <a:xfrm>
          <a:off x="1228895" y="14277634"/>
          <a:ext cx="410815" cy="220157"/>
        </a:xfrm>
        <a:prstGeom prst="rect">
          <a:avLst/>
        </a:prstGeom>
      </xdr:spPr>
    </xdr:pic>
    <xdr:clientData/>
  </xdr:twoCellAnchor>
  <xdr:twoCellAnchor editAs="oneCell">
    <xdr:from>
      <xdr:col>12</xdr:col>
      <xdr:colOff>155174</xdr:colOff>
      <xdr:row>85</xdr:row>
      <xdr:rowOff>157162</xdr:rowOff>
    </xdr:from>
    <xdr:to>
      <xdr:col>17</xdr:col>
      <xdr:colOff>191320</xdr:colOff>
      <xdr:row>93</xdr:row>
      <xdr:rowOff>29765</xdr:rowOff>
    </xdr:to>
    <xdr:pic>
      <xdr:nvPicPr>
        <xdr:cNvPr id="135" name="Grafik 134">
          <a:extLst>
            <a:ext uri="{FF2B5EF4-FFF2-40B4-BE49-F238E27FC236}">
              <a16:creationId xmlns:a16="http://schemas.microsoft.com/office/drawing/2014/main" id="{00000000-0008-0000-0900-000087000000}"/>
            </a:ext>
          </a:extLst>
        </xdr:cNvPr>
        <xdr:cNvPicPr>
          <a:picLocks noChangeAspect="1"/>
        </xdr:cNvPicPr>
      </xdr:nvPicPr>
      <xdr:blipFill>
        <a:blip xmlns:r="http://schemas.openxmlformats.org/officeDocument/2006/relationships" r:embed="rId53">
          <a:duotone>
            <a:prstClr val="black"/>
            <a:schemeClr val="accent3">
              <a:tint val="45000"/>
              <a:satMod val="400000"/>
            </a:schemeClr>
          </a:duotone>
          <a:extLst>
            <a:ext uri="{BEBA8EAE-BF5A-486C-A8C5-ECC9F3942E4B}">
              <a14:imgProps xmlns:a14="http://schemas.microsoft.com/office/drawing/2010/main">
                <a14:imgLayer r:embed="rId54">
                  <a14:imgEffect>
                    <a14:colorTemperature colorTemp="11500"/>
                  </a14:imgEffect>
                  <a14:imgEffect>
                    <a14:saturation sat="400000"/>
                  </a14:imgEffect>
                </a14:imgLayer>
              </a14:imgProps>
            </a:ext>
          </a:extLst>
        </a:blip>
        <a:stretch>
          <a:fillRect/>
        </a:stretch>
      </xdr:blipFill>
      <xdr:spPr>
        <a:xfrm>
          <a:off x="3260324" y="14216062"/>
          <a:ext cx="1131521" cy="1168003"/>
        </a:xfrm>
        <a:prstGeom prst="rect">
          <a:avLst/>
        </a:prstGeom>
      </xdr:spPr>
    </xdr:pic>
    <xdr:clientData/>
  </xdr:twoCellAnchor>
  <xdr:twoCellAnchor>
    <xdr:from>
      <xdr:col>12</xdr:col>
      <xdr:colOff>38057</xdr:colOff>
      <xdr:row>91</xdr:row>
      <xdr:rowOff>115158</xdr:rowOff>
    </xdr:from>
    <xdr:to>
      <xdr:col>13</xdr:col>
      <xdr:colOff>90813</xdr:colOff>
      <xdr:row>93</xdr:row>
      <xdr:rowOff>125016</xdr:rowOff>
    </xdr:to>
    <xdr:sp macro="" textlink="">
      <xdr:nvSpPr>
        <xdr:cNvPr id="136" name="Rechteck 135">
          <a:extLst>
            <a:ext uri="{FF2B5EF4-FFF2-40B4-BE49-F238E27FC236}">
              <a16:creationId xmlns:a16="http://schemas.microsoft.com/office/drawing/2014/main" id="{00000000-0008-0000-0900-000088000000}"/>
            </a:ext>
          </a:extLst>
        </xdr:cNvPr>
        <xdr:cNvSpPr/>
      </xdr:nvSpPr>
      <xdr:spPr>
        <a:xfrm>
          <a:off x="3143207" y="15145608"/>
          <a:ext cx="271831" cy="33370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12</xdr:col>
      <xdr:colOff>164564</xdr:colOff>
      <xdr:row>65</xdr:row>
      <xdr:rowOff>151896</xdr:rowOff>
    </xdr:from>
    <xdr:to>
      <xdr:col>14</xdr:col>
      <xdr:colOff>1699</xdr:colOff>
      <xdr:row>68</xdr:row>
      <xdr:rowOff>133008</xdr:rowOff>
    </xdr:to>
    <xdr:sp macro="" textlink="">
      <xdr:nvSpPr>
        <xdr:cNvPr id="137" name="Rechteck 136">
          <a:extLst>
            <a:ext uri="{FF2B5EF4-FFF2-40B4-BE49-F238E27FC236}">
              <a16:creationId xmlns:a16="http://schemas.microsoft.com/office/drawing/2014/main" id="{00000000-0008-0000-0900-000089000000}"/>
            </a:ext>
          </a:extLst>
        </xdr:cNvPr>
        <xdr:cNvSpPr/>
      </xdr:nvSpPr>
      <xdr:spPr>
        <a:xfrm>
          <a:off x="3269714" y="10981821"/>
          <a:ext cx="275285"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31</xdr:col>
      <xdr:colOff>81642</xdr:colOff>
      <xdr:row>59</xdr:row>
      <xdr:rowOff>152401</xdr:rowOff>
    </xdr:from>
    <xdr:to>
      <xdr:col>36</xdr:col>
      <xdr:colOff>168727</xdr:colOff>
      <xdr:row>61</xdr:row>
      <xdr:rowOff>136072</xdr:rowOff>
    </xdr:to>
    <xdr:sp macro="" textlink="">
      <xdr:nvSpPr>
        <xdr:cNvPr id="138" name="Rechteck 137">
          <a:extLst>
            <a:ext uri="{FF2B5EF4-FFF2-40B4-BE49-F238E27FC236}">
              <a16:creationId xmlns:a16="http://schemas.microsoft.com/office/drawing/2014/main" id="{00000000-0008-0000-0900-00008A000000}"/>
            </a:ext>
          </a:extLst>
        </xdr:cNvPr>
        <xdr:cNvSpPr/>
      </xdr:nvSpPr>
      <xdr:spPr>
        <a:xfrm>
          <a:off x="7349217" y="10010776"/>
          <a:ext cx="1182460" cy="30752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30</xdr:col>
      <xdr:colOff>5442</xdr:colOff>
      <xdr:row>60</xdr:row>
      <xdr:rowOff>22963</xdr:rowOff>
    </xdr:from>
    <xdr:to>
      <xdr:col>45</xdr:col>
      <xdr:colOff>585</xdr:colOff>
      <xdr:row>67</xdr:row>
      <xdr:rowOff>100205</xdr:rowOff>
    </xdr:to>
    <xdr:pic>
      <xdr:nvPicPr>
        <xdr:cNvPr id="2" name="Grafik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duotone>
            <a:prstClr val="black"/>
            <a:schemeClr val="accent3">
              <a:tint val="45000"/>
              <a:satMod val="400000"/>
            </a:schemeClr>
          </a:duotone>
          <a:extLst>
            <a:ext uri="{BEBA8EAE-BF5A-486C-A8C5-ECC9F3942E4B}">
              <a14:imgProps xmlns:a14="http://schemas.microsoft.com/office/drawing/2010/main">
                <a14:imgLayer r:embed="rId2">
                  <a14:imgEffect>
                    <a14:colorTemperature colorTemp="11500"/>
                  </a14:imgEffect>
                  <a14:imgEffect>
                    <a14:saturation sat="400000"/>
                  </a14:imgEffect>
                </a14:imgLayer>
              </a14:imgProps>
            </a:ext>
          </a:extLst>
        </a:blip>
        <a:stretch>
          <a:fillRect/>
        </a:stretch>
      </xdr:blipFill>
      <xdr:spPr>
        <a:xfrm>
          <a:off x="7053942" y="10043263"/>
          <a:ext cx="3157443" cy="1210717"/>
        </a:xfrm>
        <a:prstGeom prst="rect">
          <a:avLst/>
        </a:prstGeom>
      </xdr:spPr>
    </xdr:pic>
    <xdr:clientData/>
  </xdr:twoCellAnchor>
  <xdr:twoCellAnchor>
    <xdr:from>
      <xdr:col>40</xdr:col>
      <xdr:colOff>210150</xdr:colOff>
      <xdr:row>61</xdr:row>
      <xdr:rowOff>130629</xdr:rowOff>
    </xdr:from>
    <xdr:to>
      <xdr:col>42</xdr:col>
      <xdr:colOff>47285</xdr:colOff>
      <xdr:row>63</xdr:row>
      <xdr:rowOff>77218</xdr:rowOff>
    </xdr:to>
    <xdr:sp macro="" textlink="">
      <xdr:nvSpPr>
        <xdr:cNvPr id="3" name="Rechteck 2">
          <a:extLst>
            <a:ext uri="{FF2B5EF4-FFF2-40B4-BE49-F238E27FC236}">
              <a16:creationId xmlns:a16="http://schemas.microsoft.com/office/drawing/2014/main" id="{00000000-0008-0000-0B00-000003000000}"/>
            </a:ext>
          </a:extLst>
        </xdr:cNvPr>
        <xdr:cNvSpPr/>
      </xdr:nvSpPr>
      <xdr:spPr>
        <a:xfrm>
          <a:off x="9449400" y="10312854"/>
          <a:ext cx="275285" cy="27043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37</xdr:col>
      <xdr:colOff>152399</xdr:colOff>
      <xdr:row>61</xdr:row>
      <xdr:rowOff>119743</xdr:rowOff>
    </xdr:from>
    <xdr:to>
      <xdr:col>38</xdr:col>
      <xdr:colOff>134370</xdr:colOff>
      <xdr:row>63</xdr:row>
      <xdr:rowOff>39119</xdr:rowOff>
    </xdr:to>
    <xdr:sp macro="" textlink="">
      <xdr:nvSpPr>
        <xdr:cNvPr id="4" name="Rechteck 3">
          <a:extLst>
            <a:ext uri="{FF2B5EF4-FFF2-40B4-BE49-F238E27FC236}">
              <a16:creationId xmlns:a16="http://schemas.microsoft.com/office/drawing/2014/main" id="{00000000-0008-0000-0B00-000004000000}"/>
            </a:ext>
          </a:extLst>
        </xdr:cNvPr>
        <xdr:cNvSpPr/>
      </xdr:nvSpPr>
      <xdr:spPr>
        <a:xfrm>
          <a:off x="8734424" y="10301968"/>
          <a:ext cx="201046" cy="24322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34</xdr:col>
      <xdr:colOff>5443</xdr:colOff>
      <xdr:row>60</xdr:row>
      <xdr:rowOff>1</xdr:rowOff>
    </xdr:from>
    <xdr:to>
      <xdr:col>34</xdr:col>
      <xdr:colOff>199685</xdr:colOff>
      <xdr:row>63</xdr:row>
      <xdr:rowOff>44562</xdr:rowOff>
    </xdr:to>
    <xdr:sp macro="" textlink="">
      <xdr:nvSpPr>
        <xdr:cNvPr id="5" name="Rechteck 4">
          <a:extLst>
            <a:ext uri="{FF2B5EF4-FFF2-40B4-BE49-F238E27FC236}">
              <a16:creationId xmlns:a16="http://schemas.microsoft.com/office/drawing/2014/main" id="{00000000-0008-0000-0B00-000005000000}"/>
            </a:ext>
          </a:extLst>
        </xdr:cNvPr>
        <xdr:cNvSpPr/>
      </xdr:nvSpPr>
      <xdr:spPr>
        <a:xfrm>
          <a:off x="7930243" y="10020301"/>
          <a:ext cx="194242" cy="53033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29</xdr:col>
      <xdr:colOff>190501</xdr:colOff>
      <xdr:row>60</xdr:row>
      <xdr:rowOff>10884</xdr:rowOff>
    </xdr:from>
    <xdr:to>
      <xdr:col>31</xdr:col>
      <xdr:colOff>101713</xdr:colOff>
      <xdr:row>63</xdr:row>
      <xdr:rowOff>50004</xdr:rowOff>
    </xdr:to>
    <xdr:sp macro="" textlink="">
      <xdr:nvSpPr>
        <xdr:cNvPr id="6" name="Rechteck 5">
          <a:extLst>
            <a:ext uri="{FF2B5EF4-FFF2-40B4-BE49-F238E27FC236}">
              <a16:creationId xmlns:a16="http://schemas.microsoft.com/office/drawing/2014/main" id="{00000000-0008-0000-0B00-000006000000}"/>
            </a:ext>
          </a:extLst>
        </xdr:cNvPr>
        <xdr:cNvSpPr/>
      </xdr:nvSpPr>
      <xdr:spPr>
        <a:xfrm>
          <a:off x="7019926" y="10031184"/>
          <a:ext cx="349362" cy="52489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12</xdr:col>
      <xdr:colOff>192090</xdr:colOff>
      <xdr:row>72</xdr:row>
      <xdr:rowOff>27219</xdr:rowOff>
    </xdr:from>
    <xdr:to>
      <xdr:col>17</xdr:col>
      <xdr:colOff>153161</xdr:colOff>
      <xdr:row>82</xdr:row>
      <xdr:rowOff>125188</xdr:rowOff>
    </xdr:to>
    <xdr:pic>
      <xdr:nvPicPr>
        <xdr:cNvPr id="7" name="Grafik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duotone>
            <a:prstClr val="black"/>
            <a:schemeClr val="accent3">
              <a:tint val="45000"/>
              <a:satMod val="400000"/>
            </a:schemeClr>
          </a:duotone>
          <a:extLst>
            <a:ext uri="{BEBA8EAE-BF5A-486C-A8C5-ECC9F3942E4B}">
              <a14:imgProps xmlns:a14="http://schemas.microsoft.com/office/drawing/2010/main">
                <a14:imgLayer r:embed="rId4">
                  <a14:imgEffect>
                    <a14:colorTemperature colorTemp="11500"/>
                  </a14:imgEffect>
                  <a14:imgEffect>
                    <a14:saturation sat="400000"/>
                  </a14:imgEffect>
                </a14:imgLayer>
              </a14:imgProps>
            </a:ext>
          </a:extLst>
        </a:blip>
        <a:stretch>
          <a:fillRect/>
        </a:stretch>
      </xdr:blipFill>
      <xdr:spPr>
        <a:xfrm>
          <a:off x="3297240" y="11990619"/>
          <a:ext cx="1056446" cy="1707694"/>
        </a:xfrm>
        <a:prstGeom prst="rect">
          <a:avLst/>
        </a:prstGeom>
      </xdr:spPr>
    </xdr:pic>
    <xdr:clientData/>
  </xdr:twoCellAnchor>
  <xdr:twoCellAnchor editAs="oneCell">
    <xdr:from>
      <xdr:col>20</xdr:col>
      <xdr:colOff>21771</xdr:colOff>
      <xdr:row>72</xdr:row>
      <xdr:rowOff>38099</xdr:rowOff>
    </xdr:from>
    <xdr:to>
      <xdr:col>24</xdr:col>
      <xdr:colOff>119658</xdr:colOff>
      <xdr:row>82</xdr:row>
      <xdr:rowOff>108687</xdr:rowOff>
    </xdr:to>
    <xdr:pic>
      <xdr:nvPicPr>
        <xdr:cNvPr id="8" name="Grafik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5">
          <a:duotone>
            <a:prstClr val="black"/>
            <a:schemeClr val="accent3">
              <a:tint val="45000"/>
              <a:satMod val="400000"/>
            </a:schemeClr>
          </a:duotone>
          <a:extLst>
            <a:ext uri="{BEBA8EAE-BF5A-486C-A8C5-ECC9F3942E4B}">
              <a14:imgProps xmlns:a14="http://schemas.microsoft.com/office/drawing/2010/main">
                <a14:imgLayer r:embed="rId6">
                  <a14:imgEffect>
                    <a14:colorTemperature colorTemp="11500"/>
                  </a14:imgEffect>
                  <a14:imgEffect>
                    <a14:saturation sat="400000"/>
                  </a14:imgEffect>
                </a14:imgLayer>
              </a14:imgProps>
            </a:ext>
          </a:extLst>
        </a:blip>
        <a:stretch>
          <a:fillRect/>
        </a:stretch>
      </xdr:blipFill>
      <xdr:spPr>
        <a:xfrm>
          <a:off x="4879521" y="12001499"/>
          <a:ext cx="974187" cy="1680313"/>
        </a:xfrm>
        <a:prstGeom prst="rect">
          <a:avLst/>
        </a:prstGeom>
      </xdr:spPr>
    </xdr:pic>
    <xdr:clientData/>
  </xdr:twoCellAnchor>
  <xdr:twoCellAnchor editAs="oneCell">
    <xdr:from>
      <xdr:col>11</xdr:col>
      <xdr:colOff>5468</xdr:colOff>
      <xdr:row>61</xdr:row>
      <xdr:rowOff>76196</xdr:rowOff>
    </xdr:from>
    <xdr:to>
      <xdr:col>13</xdr:col>
      <xdr:colOff>148233</xdr:colOff>
      <xdr:row>69</xdr:row>
      <xdr:rowOff>92528</xdr:rowOff>
    </xdr:to>
    <xdr:pic>
      <xdr:nvPicPr>
        <xdr:cNvPr id="9" name="Grafik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7">
          <a:duotone>
            <a:prstClr val="black"/>
            <a:schemeClr val="accent3">
              <a:tint val="45000"/>
              <a:satMod val="400000"/>
            </a:schemeClr>
          </a:duotone>
          <a:extLst>
            <a:ext uri="{BEBA8EAE-BF5A-486C-A8C5-ECC9F3942E4B}">
              <a14:imgProps xmlns:a14="http://schemas.microsoft.com/office/drawing/2010/main">
                <a14:imgLayer r:embed="rId8">
                  <a14:imgEffect>
                    <a14:colorTemperature colorTemp="11500"/>
                  </a14:imgEffect>
                  <a14:imgEffect>
                    <a14:saturation sat="400000"/>
                  </a14:imgEffect>
                </a14:imgLayer>
              </a14:imgProps>
            </a:ext>
          </a:extLst>
        </a:blip>
        <a:stretch>
          <a:fillRect/>
        </a:stretch>
      </xdr:blipFill>
      <xdr:spPr>
        <a:xfrm>
          <a:off x="2891543" y="10258421"/>
          <a:ext cx="580915" cy="1311732"/>
        </a:xfrm>
        <a:prstGeom prst="rect">
          <a:avLst/>
        </a:prstGeom>
      </xdr:spPr>
    </xdr:pic>
    <xdr:clientData/>
  </xdr:twoCellAnchor>
  <xdr:twoCellAnchor editAs="oneCell">
    <xdr:from>
      <xdr:col>17</xdr:col>
      <xdr:colOff>87086</xdr:colOff>
      <xdr:row>54</xdr:row>
      <xdr:rowOff>62093</xdr:rowOff>
    </xdr:from>
    <xdr:to>
      <xdr:col>22</xdr:col>
      <xdr:colOff>197926</xdr:colOff>
      <xdr:row>57</xdr:row>
      <xdr:rowOff>120598</xdr:rowOff>
    </xdr:to>
    <xdr:pic>
      <xdr:nvPicPr>
        <xdr:cNvPr id="10" name="Grafik 9">
          <a:extLst>
            <a:ext uri="{FF2B5EF4-FFF2-40B4-BE49-F238E27FC236}">
              <a16:creationId xmlns:a16="http://schemas.microsoft.com/office/drawing/2014/main" id="{00000000-0008-0000-0B00-00000A000000}"/>
            </a:ext>
          </a:extLst>
        </xdr:cNvPr>
        <xdr:cNvPicPr>
          <a:picLocks noChangeAspect="1"/>
        </xdr:cNvPicPr>
      </xdr:nvPicPr>
      <xdr:blipFill rotWithShape="1">
        <a:blip xmlns:r="http://schemas.openxmlformats.org/officeDocument/2006/relationships" r:embed="rId9">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Effect>
                    <a14:saturation sat="400000"/>
                  </a14:imgEffect>
                </a14:imgLayer>
              </a14:imgProps>
            </a:ext>
          </a:extLst>
        </a:blip>
        <a:srcRect t="20856"/>
        <a:stretch/>
      </xdr:blipFill>
      <xdr:spPr>
        <a:xfrm rot="16200000">
          <a:off x="4618579" y="8779875"/>
          <a:ext cx="544280" cy="1206215"/>
        </a:xfrm>
        <a:prstGeom prst="rect">
          <a:avLst/>
        </a:prstGeom>
      </xdr:spPr>
    </xdr:pic>
    <xdr:clientData/>
  </xdr:twoCellAnchor>
  <xdr:twoCellAnchor editAs="oneCell">
    <xdr:from>
      <xdr:col>15</xdr:col>
      <xdr:colOff>200024</xdr:colOff>
      <xdr:row>54</xdr:row>
      <xdr:rowOff>65315</xdr:rowOff>
    </xdr:from>
    <xdr:to>
      <xdr:col>17</xdr:col>
      <xdr:colOff>103414</xdr:colOff>
      <xdr:row>57</xdr:row>
      <xdr:rowOff>65313</xdr:rowOff>
    </xdr:to>
    <xdr:pic>
      <xdr:nvPicPr>
        <xdr:cNvPr id="11" name="Grafik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11">
          <a:duotone>
            <a:prstClr val="black"/>
            <a:schemeClr val="accent3">
              <a:tint val="45000"/>
              <a:satMod val="400000"/>
            </a:schemeClr>
          </a:duotone>
          <a:extLst>
            <a:ext uri="{BEBA8EAE-BF5A-486C-A8C5-ECC9F3942E4B}">
              <a14:imgProps xmlns:a14="http://schemas.microsoft.com/office/drawing/2010/main">
                <a14:imgLayer r:embed="rId12">
                  <a14:imgEffect>
                    <a14:colorTemperature colorTemp="11500"/>
                  </a14:imgEffect>
                  <a14:imgEffect>
                    <a14:saturation sat="400000"/>
                  </a14:imgEffect>
                </a14:imgLayer>
              </a14:imgProps>
            </a:ext>
          </a:extLst>
        </a:blip>
        <a:stretch>
          <a:fillRect/>
        </a:stretch>
      </xdr:blipFill>
      <xdr:spPr>
        <a:xfrm>
          <a:off x="3962399" y="9114065"/>
          <a:ext cx="341540" cy="485773"/>
        </a:xfrm>
        <a:prstGeom prst="rect">
          <a:avLst/>
        </a:prstGeom>
      </xdr:spPr>
    </xdr:pic>
    <xdr:clientData/>
  </xdr:twoCellAnchor>
  <xdr:twoCellAnchor editAs="oneCell">
    <xdr:from>
      <xdr:col>16</xdr:col>
      <xdr:colOff>22261</xdr:colOff>
      <xdr:row>46</xdr:row>
      <xdr:rowOff>24211</xdr:rowOff>
    </xdr:from>
    <xdr:to>
      <xdr:col>22</xdr:col>
      <xdr:colOff>177151</xdr:colOff>
      <xdr:row>51</xdr:row>
      <xdr:rowOff>150798</xdr:rowOff>
    </xdr:to>
    <xdr:pic>
      <xdr:nvPicPr>
        <xdr:cNvPr id="12" name="Grafik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13">
          <a:duotone>
            <a:prstClr val="black"/>
            <a:schemeClr val="accent3">
              <a:tint val="45000"/>
              <a:satMod val="400000"/>
            </a:schemeClr>
          </a:duotone>
          <a:extLst>
            <a:ext uri="{BEBA8EAE-BF5A-486C-A8C5-ECC9F3942E4B}">
              <a14:imgProps xmlns:a14="http://schemas.microsoft.com/office/drawing/2010/main">
                <a14:imgLayer r:embed="rId14">
                  <a14:imgEffect>
                    <a14:colorTemperature colorTemp="11500"/>
                  </a14:imgEffect>
                  <a14:imgEffect>
                    <a14:saturation sat="400000"/>
                  </a14:imgEffect>
                </a14:imgLayer>
              </a14:imgProps>
            </a:ext>
          </a:extLst>
        </a:blip>
        <a:stretch>
          <a:fillRect/>
        </a:stretch>
      </xdr:blipFill>
      <xdr:spPr>
        <a:xfrm>
          <a:off x="4003711" y="7777561"/>
          <a:ext cx="1469340" cy="936212"/>
        </a:xfrm>
        <a:prstGeom prst="rect">
          <a:avLst/>
        </a:prstGeom>
      </xdr:spPr>
    </xdr:pic>
    <xdr:clientData/>
  </xdr:twoCellAnchor>
  <xdr:twoCellAnchor editAs="oneCell">
    <xdr:from>
      <xdr:col>16</xdr:col>
      <xdr:colOff>22813</xdr:colOff>
      <xdr:row>35</xdr:row>
      <xdr:rowOff>96858</xdr:rowOff>
    </xdr:from>
    <xdr:to>
      <xdr:col>22</xdr:col>
      <xdr:colOff>210682</xdr:colOff>
      <xdr:row>41</xdr:row>
      <xdr:rowOff>49818</xdr:rowOff>
    </xdr:to>
    <xdr:pic>
      <xdr:nvPicPr>
        <xdr:cNvPr id="13" name="Grafik 12">
          <a:extLst>
            <a:ext uri="{FF2B5EF4-FFF2-40B4-BE49-F238E27FC236}">
              <a16:creationId xmlns:a16="http://schemas.microsoft.com/office/drawing/2014/main" id="{00000000-0008-0000-0B00-00000D000000}"/>
            </a:ext>
          </a:extLst>
        </xdr:cNvPr>
        <xdr:cNvPicPr>
          <a:picLocks noChangeAspect="1"/>
        </xdr:cNvPicPr>
      </xdr:nvPicPr>
      <xdr:blipFill>
        <a:blip xmlns:r="http://schemas.openxmlformats.org/officeDocument/2006/relationships" r:embed="rId15">
          <a:duotone>
            <a:prstClr val="black"/>
            <a:schemeClr val="accent3">
              <a:tint val="45000"/>
              <a:satMod val="400000"/>
            </a:schemeClr>
          </a:duotone>
          <a:extLst>
            <a:ext uri="{BEBA8EAE-BF5A-486C-A8C5-ECC9F3942E4B}">
              <a14:imgProps xmlns:a14="http://schemas.microsoft.com/office/drawing/2010/main">
                <a14:imgLayer r:embed="rId16">
                  <a14:imgEffect>
                    <a14:colorTemperature colorTemp="11500"/>
                  </a14:imgEffect>
                  <a14:imgEffect>
                    <a14:saturation sat="400000"/>
                  </a14:imgEffect>
                </a14:imgLayer>
              </a14:imgProps>
            </a:ext>
          </a:extLst>
        </a:blip>
        <a:stretch>
          <a:fillRect/>
        </a:stretch>
      </xdr:blipFill>
      <xdr:spPr>
        <a:xfrm>
          <a:off x="4004263" y="6069033"/>
          <a:ext cx="1502319" cy="924510"/>
        </a:xfrm>
        <a:prstGeom prst="rect">
          <a:avLst/>
        </a:prstGeom>
      </xdr:spPr>
    </xdr:pic>
    <xdr:clientData/>
  </xdr:twoCellAnchor>
  <xdr:twoCellAnchor editAs="oneCell">
    <xdr:from>
      <xdr:col>11</xdr:col>
      <xdr:colOff>51108</xdr:colOff>
      <xdr:row>49</xdr:row>
      <xdr:rowOff>46466</xdr:rowOff>
    </xdr:from>
    <xdr:to>
      <xdr:col>14</xdr:col>
      <xdr:colOff>197975</xdr:colOff>
      <xdr:row>58</xdr:row>
      <xdr:rowOff>148683</xdr:rowOff>
    </xdr:to>
    <xdr:pic>
      <xdr:nvPicPr>
        <xdr:cNvPr id="14" name="Grafik 13">
          <a:extLst>
            <a:ext uri="{FF2B5EF4-FFF2-40B4-BE49-F238E27FC236}">
              <a16:creationId xmlns:a16="http://schemas.microsoft.com/office/drawing/2014/main" id="{00000000-0008-0000-0B00-00000E000000}"/>
            </a:ext>
          </a:extLst>
        </xdr:cNvPr>
        <xdr:cNvPicPr>
          <a:picLocks noChangeAspect="1"/>
        </xdr:cNvPicPr>
      </xdr:nvPicPr>
      <xdr:blipFill>
        <a:blip xmlns:r="http://schemas.openxmlformats.org/officeDocument/2006/relationships" r:embed="rId17">
          <a:duotone>
            <a:prstClr val="black"/>
            <a:schemeClr val="accent3">
              <a:tint val="45000"/>
              <a:satMod val="400000"/>
            </a:schemeClr>
          </a:duotone>
          <a:extLst>
            <a:ext uri="{BEBA8EAE-BF5A-486C-A8C5-ECC9F3942E4B}">
              <a14:imgProps xmlns:a14="http://schemas.microsoft.com/office/drawing/2010/main">
                <a14:imgLayer r:embed="rId18">
                  <a14:imgEffect>
                    <a14:colorTemperature colorTemp="11500"/>
                  </a14:imgEffect>
                  <a14:imgEffect>
                    <a14:saturation sat="400000"/>
                  </a14:imgEffect>
                </a14:imgLayer>
              </a14:imgProps>
            </a:ext>
          </a:extLst>
        </a:blip>
        <a:stretch>
          <a:fillRect/>
        </a:stretch>
      </xdr:blipFill>
      <xdr:spPr>
        <a:xfrm>
          <a:off x="2937183" y="8285591"/>
          <a:ext cx="804092" cy="1559542"/>
        </a:xfrm>
        <a:prstGeom prst="rect">
          <a:avLst/>
        </a:prstGeom>
      </xdr:spPr>
    </xdr:pic>
    <xdr:clientData/>
  </xdr:twoCellAnchor>
  <xdr:twoCellAnchor editAs="oneCell">
    <xdr:from>
      <xdr:col>3</xdr:col>
      <xdr:colOff>55758</xdr:colOff>
      <xdr:row>49</xdr:row>
      <xdr:rowOff>46464</xdr:rowOff>
    </xdr:from>
    <xdr:to>
      <xdr:col>7</xdr:col>
      <xdr:colOff>139393</xdr:colOff>
      <xdr:row>59</xdr:row>
      <xdr:rowOff>5434</xdr:rowOff>
    </xdr:to>
    <xdr:pic>
      <xdr:nvPicPr>
        <xdr:cNvPr id="15" name="Grafik 14">
          <a:extLst>
            <a:ext uri="{FF2B5EF4-FFF2-40B4-BE49-F238E27FC236}">
              <a16:creationId xmlns:a16="http://schemas.microsoft.com/office/drawing/2014/main" id="{00000000-0008-0000-0B00-00000F000000}"/>
            </a:ext>
          </a:extLst>
        </xdr:cNvPr>
        <xdr:cNvPicPr>
          <a:picLocks noChangeAspect="1"/>
        </xdr:cNvPicPr>
      </xdr:nvPicPr>
      <xdr:blipFill>
        <a:blip xmlns:r="http://schemas.openxmlformats.org/officeDocument/2006/relationships" r:embed="rId19">
          <a:duotone>
            <a:prstClr val="black"/>
            <a:schemeClr val="accent3">
              <a:tint val="45000"/>
              <a:satMod val="400000"/>
            </a:schemeClr>
          </a:duotone>
          <a:extLst>
            <a:ext uri="{BEBA8EAE-BF5A-486C-A8C5-ECC9F3942E4B}">
              <a14:imgProps xmlns:a14="http://schemas.microsoft.com/office/drawing/2010/main">
                <a14:imgLayer r:embed="rId20">
                  <a14:imgEffect>
                    <a14:colorTemperature colorTemp="11500"/>
                  </a14:imgEffect>
                  <a14:imgEffect>
                    <a14:saturation sat="400000"/>
                  </a14:imgEffect>
                </a14:imgLayer>
              </a14:imgProps>
            </a:ext>
          </a:extLst>
        </a:blip>
        <a:stretch>
          <a:fillRect/>
        </a:stretch>
      </xdr:blipFill>
      <xdr:spPr>
        <a:xfrm>
          <a:off x="1322583" y="8285589"/>
          <a:ext cx="826585" cy="1578220"/>
        </a:xfrm>
        <a:prstGeom prst="rect">
          <a:avLst/>
        </a:prstGeom>
      </xdr:spPr>
    </xdr:pic>
    <xdr:clientData/>
  </xdr:twoCellAnchor>
  <xdr:twoCellAnchor editAs="oneCell">
    <xdr:from>
      <xdr:col>12</xdr:col>
      <xdr:colOff>201399</xdr:colOff>
      <xdr:row>40</xdr:row>
      <xdr:rowOff>86556</xdr:rowOff>
    </xdr:from>
    <xdr:to>
      <xdr:col>14</xdr:col>
      <xdr:colOff>191874</xdr:colOff>
      <xdr:row>47</xdr:row>
      <xdr:rowOff>141295</xdr:rowOff>
    </xdr:to>
    <xdr:pic>
      <xdr:nvPicPr>
        <xdr:cNvPr id="16" name="Grafik 15">
          <a:extLst>
            <a:ext uri="{FF2B5EF4-FFF2-40B4-BE49-F238E27FC236}">
              <a16:creationId xmlns:a16="http://schemas.microsoft.com/office/drawing/2014/main" id="{00000000-0008-0000-0B00-000010000000}"/>
            </a:ext>
          </a:extLst>
        </xdr:cNvPr>
        <xdr:cNvPicPr>
          <a:picLocks noChangeAspect="1"/>
        </xdr:cNvPicPr>
      </xdr:nvPicPr>
      <xdr:blipFill>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rot="10800000">
          <a:off x="3306549" y="6868356"/>
          <a:ext cx="428625" cy="1188214"/>
        </a:xfrm>
        <a:prstGeom prst="rect">
          <a:avLst/>
        </a:prstGeom>
        <a:effectLst>
          <a:reflection endPos="0" dir="5400000" sy="-100000" algn="bl" rotWithShape="0"/>
        </a:effectLst>
      </xdr:spPr>
    </xdr:pic>
    <xdr:clientData/>
  </xdr:twoCellAnchor>
  <xdr:twoCellAnchor>
    <xdr:from>
      <xdr:col>3</xdr:col>
      <xdr:colOff>42480</xdr:colOff>
      <xdr:row>47</xdr:row>
      <xdr:rowOff>130630</xdr:rowOff>
    </xdr:from>
    <xdr:to>
      <xdr:col>4</xdr:col>
      <xdr:colOff>87406</xdr:colOff>
      <xdr:row>49</xdr:row>
      <xdr:rowOff>125452</xdr:rowOff>
    </xdr:to>
    <xdr:sp macro="" textlink="">
      <xdr:nvSpPr>
        <xdr:cNvPr id="17" name="Rechteck 16">
          <a:extLst>
            <a:ext uri="{FF2B5EF4-FFF2-40B4-BE49-F238E27FC236}">
              <a16:creationId xmlns:a16="http://schemas.microsoft.com/office/drawing/2014/main" id="{00000000-0008-0000-0B00-000011000000}"/>
            </a:ext>
          </a:extLst>
        </xdr:cNvPr>
        <xdr:cNvSpPr/>
      </xdr:nvSpPr>
      <xdr:spPr>
        <a:xfrm>
          <a:off x="1309305" y="8045905"/>
          <a:ext cx="130651" cy="318672"/>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3</xdr:col>
      <xdr:colOff>65314</xdr:colOff>
      <xdr:row>40</xdr:row>
      <xdr:rowOff>86556</xdr:rowOff>
    </xdr:from>
    <xdr:to>
      <xdr:col>5</xdr:col>
      <xdr:colOff>189139</xdr:colOff>
      <xdr:row>47</xdr:row>
      <xdr:rowOff>141295</xdr:rowOff>
    </xdr:to>
    <xdr:pic>
      <xdr:nvPicPr>
        <xdr:cNvPr id="18" name="Grafik 17">
          <a:extLst>
            <a:ext uri="{FF2B5EF4-FFF2-40B4-BE49-F238E27FC236}">
              <a16:creationId xmlns:a16="http://schemas.microsoft.com/office/drawing/2014/main" id="{00000000-0008-0000-0B00-000012000000}"/>
            </a:ext>
          </a:extLst>
        </xdr:cNvPr>
        <xdr:cNvPicPr>
          <a:picLocks noChangeAspect="1"/>
        </xdr:cNvPicPr>
      </xdr:nvPicPr>
      <xdr:blipFill>
        <a:blip xmlns:r="http://schemas.openxmlformats.org/officeDocument/2006/relationships" r:embed="rId21">
          <a:duotone>
            <a:prstClr val="black"/>
            <a:schemeClr val="accent3">
              <a:tint val="45000"/>
              <a:satMod val="400000"/>
            </a:schemeClr>
          </a:duotone>
          <a:extLst>
            <a:ext uri="{BEBA8EAE-BF5A-486C-A8C5-ECC9F3942E4B}">
              <a14:imgProps xmlns:a14="http://schemas.microsoft.com/office/drawing/2010/main">
                <a14:imgLayer r:embed="rId22">
                  <a14:imgEffect>
                    <a14:colorTemperature colorTemp="11500"/>
                  </a14:imgEffect>
                  <a14:imgEffect>
                    <a14:saturation sat="400000"/>
                  </a14:imgEffect>
                </a14:imgLayer>
              </a14:imgProps>
            </a:ext>
          </a:extLst>
        </a:blip>
        <a:stretch>
          <a:fillRect/>
        </a:stretch>
      </xdr:blipFill>
      <xdr:spPr>
        <a:xfrm>
          <a:off x="1332139" y="6868356"/>
          <a:ext cx="428625" cy="1188214"/>
        </a:xfrm>
        <a:prstGeom prst="rect">
          <a:avLst/>
        </a:prstGeom>
      </xdr:spPr>
    </xdr:pic>
    <xdr:clientData/>
  </xdr:twoCellAnchor>
  <xdr:twoCellAnchor>
    <xdr:from>
      <xdr:col>14</xdr:col>
      <xdr:colOff>69695</xdr:colOff>
      <xdr:row>47</xdr:row>
      <xdr:rowOff>141515</xdr:rowOff>
    </xdr:from>
    <xdr:to>
      <xdr:col>14</xdr:col>
      <xdr:colOff>201706</xdr:colOff>
      <xdr:row>49</xdr:row>
      <xdr:rowOff>134744</xdr:rowOff>
    </xdr:to>
    <xdr:sp macro="" textlink="">
      <xdr:nvSpPr>
        <xdr:cNvPr id="19" name="Rechteck 18">
          <a:extLst>
            <a:ext uri="{FF2B5EF4-FFF2-40B4-BE49-F238E27FC236}">
              <a16:creationId xmlns:a16="http://schemas.microsoft.com/office/drawing/2014/main" id="{00000000-0008-0000-0B00-000013000000}"/>
            </a:ext>
          </a:extLst>
        </xdr:cNvPr>
        <xdr:cNvSpPr/>
      </xdr:nvSpPr>
      <xdr:spPr>
        <a:xfrm>
          <a:off x="3612995" y="8056790"/>
          <a:ext cx="132011" cy="317079"/>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xdr:col>
      <xdr:colOff>41672</xdr:colOff>
      <xdr:row>49</xdr:row>
      <xdr:rowOff>19836</xdr:rowOff>
    </xdr:from>
    <xdr:to>
      <xdr:col>14</xdr:col>
      <xdr:colOff>209550</xdr:colOff>
      <xdr:row>49</xdr:row>
      <xdr:rowOff>19836</xdr:rowOff>
    </xdr:to>
    <xdr:cxnSp macro="">
      <xdr:nvCxnSpPr>
        <xdr:cNvPr id="20" name="Gerader Verbinder 19">
          <a:extLst>
            <a:ext uri="{FF2B5EF4-FFF2-40B4-BE49-F238E27FC236}">
              <a16:creationId xmlns:a16="http://schemas.microsoft.com/office/drawing/2014/main" id="{00000000-0008-0000-0B00-000014000000}"/>
            </a:ext>
          </a:extLst>
        </xdr:cNvPr>
        <xdr:cNvCxnSpPr/>
      </xdr:nvCxnSpPr>
      <xdr:spPr>
        <a:xfrm>
          <a:off x="1308497" y="8258961"/>
          <a:ext cx="2444353" cy="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111141</xdr:colOff>
      <xdr:row>53</xdr:row>
      <xdr:rowOff>48985</xdr:rowOff>
    </xdr:from>
    <xdr:to>
      <xdr:col>26</xdr:col>
      <xdr:colOff>111141</xdr:colOff>
      <xdr:row>57</xdr:row>
      <xdr:rowOff>119742</xdr:rowOff>
    </xdr:to>
    <xdr:cxnSp macro="">
      <xdr:nvCxnSpPr>
        <xdr:cNvPr id="21" name="Gerader Verbinder 20">
          <a:extLst>
            <a:ext uri="{FF2B5EF4-FFF2-40B4-BE49-F238E27FC236}">
              <a16:creationId xmlns:a16="http://schemas.microsoft.com/office/drawing/2014/main" id="{00000000-0008-0000-0B00-000015000000}"/>
            </a:ext>
          </a:extLst>
        </xdr:cNvPr>
        <xdr:cNvCxnSpPr/>
      </xdr:nvCxnSpPr>
      <xdr:spPr>
        <a:xfrm>
          <a:off x="6283341" y="8935810"/>
          <a:ext cx="0" cy="71845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106845</xdr:colOff>
      <xdr:row>57</xdr:row>
      <xdr:rowOff>23258</xdr:rowOff>
    </xdr:from>
    <xdr:to>
      <xdr:col>26</xdr:col>
      <xdr:colOff>196235</xdr:colOff>
      <xdr:row>57</xdr:row>
      <xdr:rowOff>23258</xdr:rowOff>
    </xdr:to>
    <xdr:cxnSp macro="">
      <xdr:nvCxnSpPr>
        <xdr:cNvPr id="22" name="Gerader Verbinder 21">
          <a:extLst>
            <a:ext uri="{FF2B5EF4-FFF2-40B4-BE49-F238E27FC236}">
              <a16:creationId xmlns:a16="http://schemas.microsoft.com/office/drawing/2014/main" id="{00000000-0008-0000-0B00-000016000000}"/>
            </a:ext>
          </a:extLst>
        </xdr:cNvPr>
        <xdr:cNvCxnSpPr/>
      </xdr:nvCxnSpPr>
      <xdr:spPr>
        <a:xfrm>
          <a:off x="5402745" y="9557783"/>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110733</xdr:colOff>
      <xdr:row>35</xdr:row>
      <xdr:rowOff>72324</xdr:rowOff>
    </xdr:from>
    <xdr:to>
      <xdr:col>26</xdr:col>
      <xdr:colOff>110733</xdr:colOff>
      <xdr:row>52</xdr:row>
      <xdr:rowOff>37171</xdr:rowOff>
    </xdr:to>
    <xdr:cxnSp macro="">
      <xdr:nvCxnSpPr>
        <xdr:cNvPr id="23" name="Gerader Verbinder 22">
          <a:extLst>
            <a:ext uri="{FF2B5EF4-FFF2-40B4-BE49-F238E27FC236}">
              <a16:creationId xmlns:a16="http://schemas.microsoft.com/office/drawing/2014/main" id="{00000000-0008-0000-0B00-000017000000}"/>
            </a:ext>
          </a:extLst>
        </xdr:cNvPr>
        <xdr:cNvCxnSpPr/>
      </xdr:nvCxnSpPr>
      <xdr:spPr>
        <a:xfrm>
          <a:off x="6282933" y="6044499"/>
          <a:ext cx="0" cy="271757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108235</xdr:colOff>
      <xdr:row>51</xdr:row>
      <xdr:rowOff>113209</xdr:rowOff>
    </xdr:from>
    <xdr:to>
      <xdr:col>26</xdr:col>
      <xdr:colOff>197625</xdr:colOff>
      <xdr:row>51</xdr:row>
      <xdr:rowOff>113209</xdr:rowOff>
    </xdr:to>
    <xdr:cxnSp macro="">
      <xdr:nvCxnSpPr>
        <xdr:cNvPr id="24" name="Gerader Verbinder 23">
          <a:extLst>
            <a:ext uri="{FF2B5EF4-FFF2-40B4-BE49-F238E27FC236}">
              <a16:creationId xmlns:a16="http://schemas.microsoft.com/office/drawing/2014/main" id="{00000000-0008-0000-0B00-000018000000}"/>
            </a:ext>
          </a:extLst>
        </xdr:cNvPr>
        <xdr:cNvCxnSpPr/>
      </xdr:nvCxnSpPr>
      <xdr:spPr>
        <a:xfrm>
          <a:off x="5404135" y="8676184"/>
          <a:ext cx="96569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116158</xdr:colOff>
      <xdr:row>35</xdr:row>
      <xdr:rowOff>150759</xdr:rowOff>
    </xdr:from>
    <xdr:to>
      <xdr:col>26</xdr:col>
      <xdr:colOff>179210</xdr:colOff>
      <xdr:row>35</xdr:row>
      <xdr:rowOff>150759</xdr:rowOff>
    </xdr:to>
    <xdr:cxnSp macro="">
      <xdr:nvCxnSpPr>
        <xdr:cNvPr id="25" name="Gerader Verbinder 24">
          <a:extLst>
            <a:ext uri="{FF2B5EF4-FFF2-40B4-BE49-F238E27FC236}">
              <a16:creationId xmlns:a16="http://schemas.microsoft.com/office/drawing/2014/main" id="{00000000-0008-0000-0B00-000019000000}"/>
            </a:ext>
          </a:extLst>
        </xdr:cNvPr>
        <xdr:cNvCxnSpPr/>
      </xdr:nvCxnSpPr>
      <xdr:spPr>
        <a:xfrm>
          <a:off x="5412058" y="6122934"/>
          <a:ext cx="93935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59916</xdr:colOff>
      <xdr:row>56</xdr:row>
      <xdr:rowOff>123461</xdr:rowOff>
    </xdr:from>
    <xdr:to>
      <xdr:col>26</xdr:col>
      <xdr:colOff>174620</xdr:colOff>
      <xdr:row>57</xdr:row>
      <xdr:rowOff>65645</xdr:rowOff>
    </xdr:to>
    <xdr:cxnSp macro="">
      <xdr:nvCxnSpPr>
        <xdr:cNvPr id="26" name="Gerader Verbinder 25">
          <a:extLst>
            <a:ext uri="{FF2B5EF4-FFF2-40B4-BE49-F238E27FC236}">
              <a16:creationId xmlns:a16="http://schemas.microsoft.com/office/drawing/2014/main" id="{00000000-0008-0000-0B00-00001A000000}"/>
            </a:ext>
          </a:extLst>
        </xdr:cNvPr>
        <xdr:cNvCxnSpPr/>
      </xdr:nvCxnSpPr>
      <xdr:spPr>
        <a:xfrm flipV="1">
          <a:off x="6232116" y="9496061"/>
          <a:ext cx="114704" cy="104109"/>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57992</xdr:colOff>
      <xdr:row>51</xdr:row>
      <xdr:rowOff>57887</xdr:rowOff>
    </xdr:from>
    <xdr:to>
      <xdr:col>26</xdr:col>
      <xdr:colOff>172696</xdr:colOff>
      <xdr:row>52</xdr:row>
      <xdr:rowOff>8366</xdr:rowOff>
    </xdr:to>
    <xdr:cxnSp macro="">
      <xdr:nvCxnSpPr>
        <xdr:cNvPr id="27" name="Gerader Verbinder 26">
          <a:extLst>
            <a:ext uri="{FF2B5EF4-FFF2-40B4-BE49-F238E27FC236}">
              <a16:creationId xmlns:a16="http://schemas.microsoft.com/office/drawing/2014/main" id="{00000000-0008-0000-0B00-00001B000000}"/>
            </a:ext>
          </a:extLst>
        </xdr:cNvPr>
        <xdr:cNvCxnSpPr/>
      </xdr:nvCxnSpPr>
      <xdr:spPr>
        <a:xfrm flipV="1">
          <a:off x="6230192" y="8620862"/>
          <a:ext cx="114704" cy="1124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53361</xdr:colOff>
      <xdr:row>35</xdr:row>
      <xdr:rowOff>95806</xdr:rowOff>
    </xdr:from>
    <xdr:to>
      <xdr:col>26</xdr:col>
      <xdr:colOff>168065</xdr:colOff>
      <xdr:row>36</xdr:row>
      <xdr:rowOff>46286</xdr:rowOff>
    </xdr:to>
    <xdr:cxnSp macro="">
      <xdr:nvCxnSpPr>
        <xdr:cNvPr id="28" name="Gerader Verbinder 27">
          <a:extLst>
            <a:ext uri="{FF2B5EF4-FFF2-40B4-BE49-F238E27FC236}">
              <a16:creationId xmlns:a16="http://schemas.microsoft.com/office/drawing/2014/main" id="{00000000-0008-0000-0B00-00001C000000}"/>
            </a:ext>
          </a:extLst>
        </xdr:cNvPr>
        <xdr:cNvCxnSpPr/>
      </xdr:nvCxnSpPr>
      <xdr:spPr>
        <a:xfrm flipV="1">
          <a:off x="6225561" y="6067981"/>
          <a:ext cx="114704" cy="1124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48</xdr:col>
          <xdr:colOff>752475</xdr:colOff>
          <xdr:row>2</xdr:row>
          <xdr:rowOff>295275</xdr:rowOff>
        </xdr:from>
        <xdr:to>
          <xdr:col>50</xdr:col>
          <xdr:colOff>495300</xdr:colOff>
          <xdr:row>3</xdr:row>
          <xdr:rowOff>104775</xdr:rowOff>
        </xdr:to>
        <xdr:sp macro="" textlink="">
          <xdr:nvSpPr>
            <xdr:cNvPr id="15361" name="Drop Down 1" hidden="1">
              <a:extLst>
                <a:ext uri="{63B3BB69-23CF-44E3-9099-C40C66FF867C}">
                  <a14:compatExt spid="_x0000_s15361"/>
                </a:ext>
                <a:ext uri="{FF2B5EF4-FFF2-40B4-BE49-F238E27FC236}">
                  <a16:creationId xmlns:a16="http://schemas.microsoft.com/office/drawing/2014/main" id="{00000000-0008-0000-0B00-000001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oneCell">
    <xdr:from>
      <xdr:col>10</xdr:col>
      <xdr:colOff>56027</xdr:colOff>
      <xdr:row>35</xdr:row>
      <xdr:rowOff>112059</xdr:rowOff>
    </xdr:from>
    <xdr:to>
      <xdr:col>14</xdr:col>
      <xdr:colOff>199796</xdr:colOff>
      <xdr:row>38</xdr:row>
      <xdr:rowOff>130644</xdr:rowOff>
    </xdr:to>
    <xdr:pic>
      <xdr:nvPicPr>
        <xdr:cNvPr id="30" name="Grafik 29">
          <a:extLst>
            <a:ext uri="{FF2B5EF4-FFF2-40B4-BE49-F238E27FC236}">
              <a16:creationId xmlns:a16="http://schemas.microsoft.com/office/drawing/2014/main" id="{00000000-0008-0000-0B00-00001E000000}"/>
            </a:ext>
          </a:extLst>
        </xdr:cNvPr>
        <xdr:cNvPicPr>
          <a:picLocks noChangeAspect="1"/>
        </xdr:cNvPicPr>
      </xdr:nvPicPr>
      <xdr:blipFill rotWithShape="1">
        <a:blip xmlns:r="http://schemas.openxmlformats.org/officeDocument/2006/relationships" r:embed="rId23">
          <a:duotone>
            <a:prstClr val="black"/>
            <a:schemeClr val="accent3">
              <a:tint val="45000"/>
              <a:satMod val="400000"/>
            </a:schemeClr>
          </a:duotone>
          <a:extLst>
            <a:ext uri="{BEBA8EAE-BF5A-486C-A8C5-ECC9F3942E4B}">
              <a14:imgProps xmlns:a14="http://schemas.microsoft.com/office/drawing/2010/main">
                <a14:imgLayer r:embed="rId24">
                  <a14:imgEffect>
                    <a14:colorTemperature colorTemp="11500"/>
                  </a14:imgEffect>
                  <a14:imgEffect>
                    <a14:saturation sat="400000"/>
                  </a14:imgEffect>
                </a14:imgLayer>
              </a14:imgProps>
            </a:ext>
          </a:extLst>
        </a:blip>
        <a:srcRect t="3845" b="7693"/>
        <a:stretch/>
      </xdr:blipFill>
      <xdr:spPr>
        <a:xfrm>
          <a:off x="2723027" y="6084234"/>
          <a:ext cx="1020069" cy="504360"/>
        </a:xfrm>
        <a:prstGeom prst="rect">
          <a:avLst/>
        </a:prstGeom>
      </xdr:spPr>
    </xdr:pic>
    <xdr:clientData/>
  </xdr:twoCellAnchor>
  <xdr:twoCellAnchor editAs="oneCell">
    <xdr:from>
      <xdr:col>3</xdr:col>
      <xdr:colOff>67237</xdr:colOff>
      <xdr:row>35</xdr:row>
      <xdr:rowOff>100855</xdr:rowOff>
    </xdr:from>
    <xdr:to>
      <xdr:col>8</xdr:col>
      <xdr:colOff>112060</xdr:colOff>
      <xdr:row>39</xdr:row>
      <xdr:rowOff>788</xdr:rowOff>
    </xdr:to>
    <xdr:pic>
      <xdr:nvPicPr>
        <xdr:cNvPr id="31" name="Grafik 30">
          <a:extLst>
            <a:ext uri="{FF2B5EF4-FFF2-40B4-BE49-F238E27FC236}">
              <a16:creationId xmlns:a16="http://schemas.microsoft.com/office/drawing/2014/main" id="{00000000-0008-0000-0B00-00001F000000}"/>
            </a:ext>
          </a:extLst>
        </xdr:cNvPr>
        <xdr:cNvPicPr>
          <a:picLocks noChangeAspect="1"/>
        </xdr:cNvPicPr>
      </xdr:nvPicPr>
      <xdr:blipFill>
        <a:blip xmlns:r="http://schemas.openxmlformats.org/officeDocument/2006/relationships" r:embed="rId25">
          <a:duotone>
            <a:prstClr val="black"/>
            <a:schemeClr val="accent3">
              <a:tint val="45000"/>
              <a:satMod val="400000"/>
            </a:schemeClr>
          </a:duotone>
          <a:extLst>
            <a:ext uri="{BEBA8EAE-BF5A-486C-A8C5-ECC9F3942E4B}">
              <a14:imgProps xmlns:a14="http://schemas.microsoft.com/office/drawing/2010/main">
                <a14:imgLayer r:embed="rId26">
                  <a14:imgEffect>
                    <a14:colorTemperature colorTemp="115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334062" y="6073030"/>
          <a:ext cx="1006848" cy="547633"/>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4</xdr:col>
          <xdr:colOff>9525</xdr:colOff>
          <xdr:row>39</xdr:row>
          <xdr:rowOff>0</xdr:rowOff>
        </xdr:from>
        <xdr:to>
          <xdr:col>5</xdr:col>
          <xdr:colOff>9525</xdr:colOff>
          <xdr:row>40</xdr:row>
          <xdr:rowOff>38100</xdr:rowOff>
        </xdr:to>
        <xdr:sp macro="" textlink="">
          <xdr:nvSpPr>
            <xdr:cNvPr id="15362" name="Check Box 2" hidden="1">
              <a:extLst>
                <a:ext uri="{63B3BB69-23CF-44E3-9099-C40C66FF867C}">
                  <a14:compatExt spid="_x0000_s15362"/>
                </a:ext>
                <a:ext uri="{FF2B5EF4-FFF2-40B4-BE49-F238E27FC236}">
                  <a16:creationId xmlns:a16="http://schemas.microsoft.com/office/drawing/2014/main" id="{00000000-0008-0000-0B00-00000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219075</xdr:colOff>
          <xdr:row>39</xdr:row>
          <xdr:rowOff>9525</xdr:rowOff>
        </xdr:from>
        <xdr:to>
          <xdr:col>15</xdr:col>
          <xdr:colOff>0</xdr:colOff>
          <xdr:row>40</xdr:row>
          <xdr:rowOff>38100</xdr:rowOff>
        </xdr:to>
        <xdr:sp macro="" textlink="">
          <xdr:nvSpPr>
            <xdr:cNvPr id="15363" name="Check Box 3" hidden="1">
              <a:extLst>
                <a:ext uri="{63B3BB69-23CF-44E3-9099-C40C66FF867C}">
                  <a14:compatExt spid="_x0000_s15363"/>
                </a:ext>
                <a:ext uri="{FF2B5EF4-FFF2-40B4-BE49-F238E27FC236}">
                  <a16:creationId xmlns:a16="http://schemas.microsoft.com/office/drawing/2014/main" id="{00000000-0008-0000-0B00-00000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33</xdr:row>
          <xdr:rowOff>0</xdr:rowOff>
        </xdr:from>
        <xdr:to>
          <xdr:col>31</xdr:col>
          <xdr:colOff>0</xdr:colOff>
          <xdr:row>34</xdr:row>
          <xdr:rowOff>0</xdr:rowOff>
        </xdr:to>
        <xdr:sp macro="" textlink="">
          <xdr:nvSpPr>
            <xdr:cNvPr id="15364" name="Check Box 4" hidden="1">
              <a:extLst>
                <a:ext uri="{63B3BB69-23CF-44E3-9099-C40C66FF867C}">
                  <a14:compatExt spid="_x0000_s15364"/>
                </a:ext>
                <a:ext uri="{FF2B5EF4-FFF2-40B4-BE49-F238E27FC236}">
                  <a16:creationId xmlns:a16="http://schemas.microsoft.com/office/drawing/2014/main" id="{00000000-0008-0000-0B00-00000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34</xdr:row>
          <xdr:rowOff>0</xdr:rowOff>
        </xdr:from>
        <xdr:to>
          <xdr:col>31</xdr:col>
          <xdr:colOff>0</xdr:colOff>
          <xdr:row>35</xdr:row>
          <xdr:rowOff>9525</xdr:rowOff>
        </xdr:to>
        <xdr:sp macro="" textlink="">
          <xdr:nvSpPr>
            <xdr:cNvPr id="15365" name="Check Box 5" hidden="1">
              <a:extLst>
                <a:ext uri="{63B3BB69-23CF-44E3-9099-C40C66FF867C}">
                  <a14:compatExt spid="_x0000_s15365"/>
                </a:ext>
                <a:ext uri="{FF2B5EF4-FFF2-40B4-BE49-F238E27FC236}">
                  <a16:creationId xmlns:a16="http://schemas.microsoft.com/office/drawing/2014/main" id="{00000000-0008-0000-0B00-00000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35</xdr:row>
          <xdr:rowOff>0</xdr:rowOff>
        </xdr:from>
        <xdr:to>
          <xdr:col>31</xdr:col>
          <xdr:colOff>0</xdr:colOff>
          <xdr:row>36</xdr:row>
          <xdr:rowOff>9525</xdr:rowOff>
        </xdr:to>
        <xdr:sp macro="" textlink="">
          <xdr:nvSpPr>
            <xdr:cNvPr id="15366" name="Check Box 6" hidden="1">
              <a:extLst>
                <a:ext uri="{63B3BB69-23CF-44E3-9099-C40C66FF867C}">
                  <a14:compatExt spid="_x0000_s15366"/>
                </a:ext>
                <a:ext uri="{FF2B5EF4-FFF2-40B4-BE49-F238E27FC236}">
                  <a16:creationId xmlns:a16="http://schemas.microsoft.com/office/drawing/2014/main" id="{00000000-0008-0000-0B00-00000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36</xdr:row>
          <xdr:rowOff>0</xdr:rowOff>
        </xdr:from>
        <xdr:to>
          <xdr:col>31</xdr:col>
          <xdr:colOff>0</xdr:colOff>
          <xdr:row>37</xdr:row>
          <xdr:rowOff>9525</xdr:rowOff>
        </xdr:to>
        <xdr:sp macro="" textlink="">
          <xdr:nvSpPr>
            <xdr:cNvPr id="15367" name="Check Box 7" hidden="1">
              <a:extLst>
                <a:ext uri="{63B3BB69-23CF-44E3-9099-C40C66FF867C}">
                  <a14:compatExt spid="_x0000_s15367"/>
                </a:ext>
                <a:ext uri="{FF2B5EF4-FFF2-40B4-BE49-F238E27FC236}">
                  <a16:creationId xmlns:a16="http://schemas.microsoft.com/office/drawing/2014/main" id="{00000000-0008-0000-0B00-00000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37</xdr:row>
          <xdr:rowOff>0</xdr:rowOff>
        </xdr:from>
        <xdr:to>
          <xdr:col>30</xdr:col>
          <xdr:colOff>209550</xdr:colOff>
          <xdr:row>38</xdr:row>
          <xdr:rowOff>9525</xdr:rowOff>
        </xdr:to>
        <xdr:sp macro="" textlink="">
          <xdr:nvSpPr>
            <xdr:cNvPr id="15368" name="Check Box 8" hidden="1">
              <a:extLst>
                <a:ext uri="{63B3BB69-23CF-44E3-9099-C40C66FF867C}">
                  <a14:compatExt spid="_x0000_s15368"/>
                </a:ext>
                <a:ext uri="{FF2B5EF4-FFF2-40B4-BE49-F238E27FC236}">
                  <a16:creationId xmlns:a16="http://schemas.microsoft.com/office/drawing/2014/main" id="{00000000-0008-0000-0B00-00000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37</xdr:row>
          <xdr:rowOff>152400</xdr:rowOff>
        </xdr:from>
        <xdr:to>
          <xdr:col>31</xdr:col>
          <xdr:colOff>0</xdr:colOff>
          <xdr:row>39</xdr:row>
          <xdr:rowOff>0</xdr:rowOff>
        </xdr:to>
        <xdr:sp macro="" textlink="">
          <xdr:nvSpPr>
            <xdr:cNvPr id="15369" name="Check Box 9" hidden="1">
              <a:extLst>
                <a:ext uri="{63B3BB69-23CF-44E3-9099-C40C66FF867C}">
                  <a14:compatExt spid="_x0000_s15369"/>
                </a:ext>
                <a:ext uri="{FF2B5EF4-FFF2-40B4-BE49-F238E27FC236}">
                  <a16:creationId xmlns:a16="http://schemas.microsoft.com/office/drawing/2014/main" id="{00000000-0008-0000-0B00-00000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31</xdr:row>
          <xdr:rowOff>180975</xdr:rowOff>
        </xdr:from>
        <xdr:to>
          <xdr:col>31</xdr:col>
          <xdr:colOff>0</xdr:colOff>
          <xdr:row>33</xdr:row>
          <xdr:rowOff>9525</xdr:rowOff>
        </xdr:to>
        <xdr:sp macro="" textlink="">
          <xdr:nvSpPr>
            <xdr:cNvPr id="15370" name="Check Box 10" hidden="1">
              <a:extLst>
                <a:ext uri="{63B3BB69-23CF-44E3-9099-C40C66FF867C}">
                  <a14:compatExt spid="_x0000_s15370"/>
                </a:ext>
                <a:ext uri="{FF2B5EF4-FFF2-40B4-BE49-F238E27FC236}">
                  <a16:creationId xmlns:a16="http://schemas.microsoft.com/office/drawing/2014/main" id="{00000000-0008-0000-0B00-00000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32</xdr:row>
          <xdr:rowOff>0</xdr:rowOff>
        </xdr:from>
        <xdr:to>
          <xdr:col>40</xdr:col>
          <xdr:colOff>0</xdr:colOff>
          <xdr:row>33</xdr:row>
          <xdr:rowOff>0</xdr:rowOff>
        </xdr:to>
        <xdr:sp macro="" textlink="">
          <xdr:nvSpPr>
            <xdr:cNvPr id="15371" name="Check Box 11" hidden="1">
              <a:extLst>
                <a:ext uri="{63B3BB69-23CF-44E3-9099-C40C66FF867C}">
                  <a14:compatExt spid="_x0000_s15371"/>
                </a:ext>
                <a:ext uri="{FF2B5EF4-FFF2-40B4-BE49-F238E27FC236}">
                  <a16:creationId xmlns:a16="http://schemas.microsoft.com/office/drawing/2014/main" id="{00000000-0008-0000-0B00-00000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4</xdr:row>
          <xdr:rowOff>0</xdr:rowOff>
        </xdr:from>
        <xdr:to>
          <xdr:col>43</xdr:col>
          <xdr:colOff>0</xdr:colOff>
          <xdr:row>5</xdr:row>
          <xdr:rowOff>9525</xdr:rowOff>
        </xdr:to>
        <xdr:sp macro="" textlink="">
          <xdr:nvSpPr>
            <xdr:cNvPr id="15372" name="Check Box 12" hidden="1">
              <a:extLst>
                <a:ext uri="{63B3BB69-23CF-44E3-9099-C40C66FF867C}">
                  <a14:compatExt spid="_x0000_s15372"/>
                </a:ext>
                <a:ext uri="{FF2B5EF4-FFF2-40B4-BE49-F238E27FC236}">
                  <a16:creationId xmlns:a16="http://schemas.microsoft.com/office/drawing/2014/main" id="{00000000-0008-0000-0B00-00000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42</xdr:col>
          <xdr:colOff>0</xdr:colOff>
          <xdr:row>5</xdr:row>
          <xdr:rowOff>0</xdr:rowOff>
        </xdr:from>
        <xdr:to>
          <xdr:col>43</xdr:col>
          <xdr:colOff>0</xdr:colOff>
          <xdr:row>6</xdr:row>
          <xdr:rowOff>19050</xdr:rowOff>
        </xdr:to>
        <xdr:sp macro="" textlink="">
          <xdr:nvSpPr>
            <xdr:cNvPr id="15373" name="Check Box 13" hidden="1">
              <a:extLst>
                <a:ext uri="{63B3BB69-23CF-44E3-9099-C40C66FF867C}">
                  <a14:compatExt spid="_x0000_s15373"/>
                </a:ext>
                <a:ext uri="{FF2B5EF4-FFF2-40B4-BE49-F238E27FC236}">
                  <a16:creationId xmlns:a16="http://schemas.microsoft.com/office/drawing/2014/main" id="{00000000-0008-0000-0B00-00000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5</xdr:col>
          <xdr:colOff>0</xdr:colOff>
          <xdr:row>33</xdr:row>
          <xdr:rowOff>9525</xdr:rowOff>
        </xdr:to>
        <xdr:sp macro="" textlink="">
          <xdr:nvSpPr>
            <xdr:cNvPr id="15374" name="Check Box 14" hidden="1">
              <a:extLst>
                <a:ext uri="{63B3BB69-23CF-44E3-9099-C40C66FF867C}">
                  <a14:compatExt spid="_x0000_s15374"/>
                </a:ext>
                <a:ext uri="{FF2B5EF4-FFF2-40B4-BE49-F238E27FC236}">
                  <a16:creationId xmlns:a16="http://schemas.microsoft.com/office/drawing/2014/main" id="{00000000-0008-0000-0B00-00000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9525</xdr:rowOff>
        </xdr:to>
        <xdr:sp macro="" textlink="">
          <xdr:nvSpPr>
            <xdr:cNvPr id="15375" name="Check Box 15" hidden="1">
              <a:extLst>
                <a:ext uri="{63B3BB69-23CF-44E3-9099-C40C66FF867C}">
                  <a14:compatExt spid="_x0000_s15375"/>
                </a:ext>
                <a:ext uri="{FF2B5EF4-FFF2-40B4-BE49-F238E27FC236}">
                  <a16:creationId xmlns:a16="http://schemas.microsoft.com/office/drawing/2014/main" id="{00000000-0008-0000-0B00-00000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19050</xdr:rowOff>
        </xdr:to>
        <xdr:sp macro="" textlink="">
          <xdr:nvSpPr>
            <xdr:cNvPr id="15376" name="Check Box 16" hidden="1">
              <a:extLst>
                <a:ext uri="{63B3BB69-23CF-44E3-9099-C40C66FF867C}">
                  <a14:compatExt spid="_x0000_s15376"/>
                </a:ext>
                <a:ext uri="{FF2B5EF4-FFF2-40B4-BE49-F238E27FC236}">
                  <a16:creationId xmlns:a16="http://schemas.microsoft.com/office/drawing/2014/main" id="{00000000-0008-0000-0B00-00001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9525</xdr:rowOff>
        </xdr:from>
        <xdr:to>
          <xdr:col>5</xdr:col>
          <xdr:colOff>0</xdr:colOff>
          <xdr:row>7</xdr:row>
          <xdr:rowOff>38100</xdr:rowOff>
        </xdr:to>
        <xdr:sp macro="" textlink="">
          <xdr:nvSpPr>
            <xdr:cNvPr id="15377" name="Check Box 17" hidden="1">
              <a:extLst>
                <a:ext uri="{63B3BB69-23CF-44E3-9099-C40C66FF867C}">
                  <a14:compatExt spid="_x0000_s15377"/>
                </a:ext>
                <a:ext uri="{FF2B5EF4-FFF2-40B4-BE49-F238E27FC236}">
                  <a16:creationId xmlns:a16="http://schemas.microsoft.com/office/drawing/2014/main" id="{00000000-0008-0000-0B00-00001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50053</xdr:colOff>
      <xdr:row>48</xdr:row>
      <xdr:rowOff>116001</xdr:rowOff>
    </xdr:from>
    <xdr:to>
      <xdr:col>4</xdr:col>
      <xdr:colOff>78381</xdr:colOff>
      <xdr:row>49</xdr:row>
      <xdr:rowOff>76916</xdr:rowOff>
    </xdr:to>
    <xdr:cxnSp macro="">
      <xdr:nvCxnSpPr>
        <xdr:cNvPr id="48" name="Gerader Verbinder 47">
          <a:extLst>
            <a:ext uri="{FF2B5EF4-FFF2-40B4-BE49-F238E27FC236}">
              <a16:creationId xmlns:a16="http://schemas.microsoft.com/office/drawing/2014/main" id="{00000000-0008-0000-0B00-000030000000}"/>
            </a:ext>
          </a:extLst>
        </xdr:cNvPr>
        <xdr:cNvCxnSpPr/>
      </xdr:nvCxnSpPr>
      <xdr:spPr>
        <a:xfrm flipV="1">
          <a:off x="1316878" y="8193201"/>
          <a:ext cx="114053" cy="122840"/>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103516</xdr:colOff>
      <xdr:row>48</xdr:row>
      <xdr:rowOff>111917</xdr:rowOff>
    </xdr:from>
    <xdr:to>
      <xdr:col>14</xdr:col>
      <xdr:colOff>215188</xdr:colOff>
      <xdr:row>49</xdr:row>
      <xdr:rowOff>75126</xdr:rowOff>
    </xdr:to>
    <xdr:cxnSp macro="">
      <xdr:nvCxnSpPr>
        <xdr:cNvPr id="49" name="Gerader Verbinder 48">
          <a:extLst>
            <a:ext uri="{FF2B5EF4-FFF2-40B4-BE49-F238E27FC236}">
              <a16:creationId xmlns:a16="http://schemas.microsoft.com/office/drawing/2014/main" id="{00000000-0008-0000-0B00-000031000000}"/>
            </a:ext>
          </a:extLst>
        </xdr:cNvPr>
        <xdr:cNvCxnSpPr/>
      </xdr:nvCxnSpPr>
      <xdr:spPr>
        <a:xfrm flipV="1">
          <a:off x="3646816" y="8189117"/>
          <a:ext cx="111672" cy="125134"/>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9525</xdr:colOff>
          <xdr:row>43</xdr:row>
          <xdr:rowOff>114300</xdr:rowOff>
        </xdr:from>
        <xdr:to>
          <xdr:col>7</xdr:col>
          <xdr:colOff>38100</xdr:colOff>
          <xdr:row>44</xdr:row>
          <xdr:rowOff>114300</xdr:rowOff>
        </xdr:to>
        <xdr:sp macro="" textlink="">
          <xdr:nvSpPr>
            <xdr:cNvPr id="15378" name="Check Box 18" hidden="1">
              <a:extLst>
                <a:ext uri="{63B3BB69-23CF-44E3-9099-C40C66FF867C}">
                  <a14:compatExt spid="_x0000_s15378"/>
                </a:ext>
                <a:ext uri="{FF2B5EF4-FFF2-40B4-BE49-F238E27FC236}">
                  <a16:creationId xmlns:a16="http://schemas.microsoft.com/office/drawing/2014/main" id="{00000000-0008-0000-0B00-00001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43</xdr:row>
          <xdr:rowOff>114300</xdr:rowOff>
        </xdr:from>
        <xdr:to>
          <xdr:col>12</xdr:col>
          <xdr:colOff>152400</xdr:colOff>
          <xdr:row>44</xdr:row>
          <xdr:rowOff>104775</xdr:rowOff>
        </xdr:to>
        <xdr:sp macro="" textlink="">
          <xdr:nvSpPr>
            <xdr:cNvPr id="15379" name="Check Box 19" hidden="1">
              <a:extLst>
                <a:ext uri="{63B3BB69-23CF-44E3-9099-C40C66FF867C}">
                  <a14:compatExt spid="_x0000_s15379"/>
                </a:ext>
                <a:ext uri="{FF2B5EF4-FFF2-40B4-BE49-F238E27FC236}">
                  <a16:creationId xmlns:a16="http://schemas.microsoft.com/office/drawing/2014/main" id="{00000000-0008-0000-0B00-00001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171450</xdr:colOff>
          <xdr:row>52</xdr:row>
          <xdr:rowOff>85725</xdr:rowOff>
        </xdr:from>
        <xdr:to>
          <xdr:col>8</xdr:col>
          <xdr:colOff>171450</xdr:colOff>
          <xdr:row>53</xdr:row>
          <xdr:rowOff>85725</xdr:rowOff>
        </xdr:to>
        <xdr:sp macro="" textlink="">
          <xdr:nvSpPr>
            <xdr:cNvPr id="15380" name="Check Box 20" hidden="1">
              <a:extLst>
                <a:ext uri="{63B3BB69-23CF-44E3-9099-C40C66FF867C}">
                  <a14:compatExt spid="_x0000_s15380"/>
                </a:ext>
                <a:ext uri="{FF2B5EF4-FFF2-40B4-BE49-F238E27FC236}">
                  <a16:creationId xmlns:a16="http://schemas.microsoft.com/office/drawing/2014/main" id="{00000000-0008-0000-0B00-00001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219075</xdr:colOff>
          <xdr:row>52</xdr:row>
          <xdr:rowOff>85725</xdr:rowOff>
        </xdr:from>
        <xdr:to>
          <xdr:col>11</xdr:col>
          <xdr:colOff>0</xdr:colOff>
          <xdr:row>53</xdr:row>
          <xdr:rowOff>85725</xdr:rowOff>
        </xdr:to>
        <xdr:sp macro="" textlink="">
          <xdr:nvSpPr>
            <xdr:cNvPr id="15381" name="Check Box 21" hidden="1">
              <a:extLst>
                <a:ext uri="{63B3BB69-23CF-44E3-9099-C40C66FF867C}">
                  <a14:compatExt spid="_x0000_s15381"/>
                </a:ext>
                <a:ext uri="{FF2B5EF4-FFF2-40B4-BE49-F238E27FC236}">
                  <a16:creationId xmlns:a16="http://schemas.microsoft.com/office/drawing/2014/main" id="{00000000-0008-0000-0B00-00001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14</xdr:col>
      <xdr:colOff>152400</xdr:colOff>
      <xdr:row>47</xdr:row>
      <xdr:rowOff>5443</xdr:rowOff>
    </xdr:from>
    <xdr:to>
      <xdr:col>14</xdr:col>
      <xdr:colOff>152400</xdr:colOff>
      <xdr:row>50</xdr:row>
      <xdr:rowOff>81643</xdr:rowOff>
    </xdr:to>
    <xdr:cxnSp macro="">
      <xdr:nvCxnSpPr>
        <xdr:cNvPr id="54" name="Gerader Verbinder 53">
          <a:extLst>
            <a:ext uri="{FF2B5EF4-FFF2-40B4-BE49-F238E27FC236}">
              <a16:creationId xmlns:a16="http://schemas.microsoft.com/office/drawing/2014/main" id="{00000000-0008-0000-0B00-000036000000}"/>
            </a:ext>
          </a:extLst>
        </xdr:cNvPr>
        <xdr:cNvCxnSpPr/>
      </xdr:nvCxnSpPr>
      <xdr:spPr>
        <a:xfrm>
          <a:off x="3695700" y="7920718"/>
          <a:ext cx="0" cy="561975"/>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30</xdr:col>
          <xdr:colOff>0</xdr:colOff>
          <xdr:row>54</xdr:row>
          <xdr:rowOff>142875</xdr:rowOff>
        </xdr:from>
        <xdr:to>
          <xdr:col>31</xdr:col>
          <xdr:colOff>0</xdr:colOff>
          <xdr:row>55</xdr:row>
          <xdr:rowOff>142875</xdr:rowOff>
        </xdr:to>
        <xdr:sp macro="" textlink="">
          <xdr:nvSpPr>
            <xdr:cNvPr id="15382" name="Check Box 22" hidden="1">
              <a:extLst>
                <a:ext uri="{63B3BB69-23CF-44E3-9099-C40C66FF867C}">
                  <a14:compatExt spid="_x0000_s15382"/>
                </a:ext>
                <a:ext uri="{FF2B5EF4-FFF2-40B4-BE49-F238E27FC236}">
                  <a16:creationId xmlns:a16="http://schemas.microsoft.com/office/drawing/2014/main" id="{00000000-0008-0000-0B00-00001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4</xdr:col>
      <xdr:colOff>19050</xdr:colOff>
      <xdr:row>47</xdr:row>
      <xdr:rowOff>16329</xdr:rowOff>
    </xdr:from>
    <xdr:to>
      <xdr:col>4</xdr:col>
      <xdr:colOff>19050</xdr:colOff>
      <xdr:row>50</xdr:row>
      <xdr:rowOff>70757</xdr:rowOff>
    </xdr:to>
    <xdr:cxnSp macro="">
      <xdr:nvCxnSpPr>
        <xdr:cNvPr id="56" name="Gerader Verbinder 55">
          <a:extLst>
            <a:ext uri="{FF2B5EF4-FFF2-40B4-BE49-F238E27FC236}">
              <a16:creationId xmlns:a16="http://schemas.microsoft.com/office/drawing/2014/main" id="{00000000-0008-0000-0B00-000038000000}"/>
            </a:ext>
          </a:extLst>
        </xdr:cNvPr>
        <xdr:cNvCxnSpPr/>
      </xdr:nvCxnSpPr>
      <xdr:spPr>
        <a:xfrm>
          <a:off x="1371600" y="7931604"/>
          <a:ext cx="0" cy="540203"/>
        </a:xfrm>
        <a:prstGeom prst="line">
          <a:avLst/>
        </a:prstGeom>
        <a:ln w="95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37</xdr:col>
          <xdr:colOff>219075</xdr:colOff>
          <xdr:row>55</xdr:row>
          <xdr:rowOff>0</xdr:rowOff>
        </xdr:from>
        <xdr:to>
          <xdr:col>39</xdr:col>
          <xdr:colOff>0</xdr:colOff>
          <xdr:row>56</xdr:row>
          <xdr:rowOff>0</xdr:rowOff>
        </xdr:to>
        <xdr:sp macro="" textlink="">
          <xdr:nvSpPr>
            <xdr:cNvPr id="15383" name="Check Box 23" hidden="1">
              <a:extLst>
                <a:ext uri="{63B3BB69-23CF-44E3-9099-C40C66FF867C}">
                  <a14:compatExt spid="_x0000_s15383"/>
                </a:ext>
                <a:ext uri="{FF2B5EF4-FFF2-40B4-BE49-F238E27FC236}">
                  <a16:creationId xmlns:a16="http://schemas.microsoft.com/office/drawing/2014/main" id="{00000000-0008-0000-0B00-00001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9525</xdr:colOff>
          <xdr:row>62</xdr:row>
          <xdr:rowOff>0</xdr:rowOff>
        </xdr:from>
        <xdr:to>
          <xdr:col>31</xdr:col>
          <xdr:colOff>9525</xdr:colOff>
          <xdr:row>63</xdr:row>
          <xdr:rowOff>9525</xdr:rowOff>
        </xdr:to>
        <xdr:sp macro="" textlink="">
          <xdr:nvSpPr>
            <xdr:cNvPr id="15384" name="Check Box 24" hidden="1">
              <a:extLst>
                <a:ext uri="{63B3BB69-23CF-44E3-9099-C40C66FF867C}">
                  <a14:compatExt spid="_x0000_s15384"/>
                </a:ext>
                <a:ext uri="{FF2B5EF4-FFF2-40B4-BE49-F238E27FC236}">
                  <a16:creationId xmlns:a16="http://schemas.microsoft.com/office/drawing/2014/main" id="{00000000-0008-0000-0B00-00001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33</xdr:col>
          <xdr:colOff>180975</xdr:colOff>
          <xdr:row>62</xdr:row>
          <xdr:rowOff>0</xdr:rowOff>
        </xdr:from>
        <xdr:to>
          <xdr:col>34</xdr:col>
          <xdr:colOff>190500</xdr:colOff>
          <xdr:row>63</xdr:row>
          <xdr:rowOff>9525</xdr:rowOff>
        </xdr:to>
        <xdr:sp macro="" textlink="">
          <xdr:nvSpPr>
            <xdr:cNvPr id="15385" name="Check Box 25" hidden="1">
              <a:extLst>
                <a:ext uri="{63B3BB69-23CF-44E3-9099-C40C66FF867C}">
                  <a14:compatExt spid="_x0000_s15385"/>
                </a:ext>
                <a:ext uri="{FF2B5EF4-FFF2-40B4-BE49-F238E27FC236}">
                  <a16:creationId xmlns:a16="http://schemas.microsoft.com/office/drawing/2014/main" id="{00000000-0008-0000-0B00-00001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104775</xdr:colOff>
          <xdr:row>62</xdr:row>
          <xdr:rowOff>0</xdr:rowOff>
        </xdr:from>
        <xdr:to>
          <xdr:col>38</xdr:col>
          <xdr:colOff>104775</xdr:colOff>
          <xdr:row>63</xdr:row>
          <xdr:rowOff>19050</xdr:rowOff>
        </xdr:to>
        <xdr:sp macro="" textlink="">
          <xdr:nvSpPr>
            <xdr:cNvPr id="15386" name="Check Box 26" hidden="1">
              <a:extLst>
                <a:ext uri="{63B3BB69-23CF-44E3-9099-C40C66FF867C}">
                  <a14:compatExt spid="_x0000_s15386"/>
                </a:ext>
                <a:ext uri="{FF2B5EF4-FFF2-40B4-BE49-F238E27FC236}">
                  <a16:creationId xmlns:a16="http://schemas.microsoft.com/office/drawing/2014/main" id="{00000000-0008-0000-0B00-00001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57150</xdr:colOff>
          <xdr:row>62</xdr:row>
          <xdr:rowOff>0</xdr:rowOff>
        </xdr:from>
        <xdr:to>
          <xdr:col>42</xdr:col>
          <xdr:colOff>57150</xdr:colOff>
          <xdr:row>63</xdr:row>
          <xdr:rowOff>9525</xdr:rowOff>
        </xdr:to>
        <xdr:sp macro="" textlink="">
          <xdr:nvSpPr>
            <xdr:cNvPr id="15387" name="Check Box 27" hidden="1">
              <a:extLst>
                <a:ext uri="{63B3BB69-23CF-44E3-9099-C40C66FF867C}">
                  <a14:compatExt spid="_x0000_s15387"/>
                </a:ext>
                <a:ext uri="{FF2B5EF4-FFF2-40B4-BE49-F238E27FC236}">
                  <a16:creationId xmlns:a16="http://schemas.microsoft.com/office/drawing/2014/main" id="{00000000-0008-0000-0B00-00001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83</xdr:row>
          <xdr:rowOff>0</xdr:rowOff>
        </xdr:from>
        <xdr:to>
          <xdr:col>40</xdr:col>
          <xdr:colOff>0</xdr:colOff>
          <xdr:row>84</xdr:row>
          <xdr:rowOff>0</xdr:rowOff>
        </xdr:to>
        <xdr:sp macro="" textlink="">
          <xdr:nvSpPr>
            <xdr:cNvPr id="15388" name="Check Box 28" hidden="1">
              <a:extLst>
                <a:ext uri="{63B3BB69-23CF-44E3-9099-C40C66FF867C}">
                  <a14:compatExt spid="_x0000_s15388"/>
                </a:ext>
                <a:ext uri="{FF2B5EF4-FFF2-40B4-BE49-F238E27FC236}">
                  <a16:creationId xmlns:a16="http://schemas.microsoft.com/office/drawing/2014/main" id="{00000000-0008-0000-0B00-00001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84</xdr:row>
          <xdr:rowOff>0</xdr:rowOff>
        </xdr:from>
        <xdr:to>
          <xdr:col>40</xdr:col>
          <xdr:colOff>0</xdr:colOff>
          <xdr:row>85</xdr:row>
          <xdr:rowOff>0</xdr:rowOff>
        </xdr:to>
        <xdr:sp macro="" textlink="">
          <xdr:nvSpPr>
            <xdr:cNvPr id="15389" name="Check Box 29" hidden="1">
              <a:extLst>
                <a:ext uri="{63B3BB69-23CF-44E3-9099-C40C66FF867C}">
                  <a14:compatExt spid="_x0000_s15389"/>
                </a:ext>
                <a:ext uri="{FF2B5EF4-FFF2-40B4-BE49-F238E27FC236}">
                  <a16:creationId xmlns:a16="http://schemas.microsoft.com/office/drawing/2014/main" id="{00000000-0008-0000-0B00-00001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85725</xdr:colOff>
          <xdr:row>58</xdr:row>
          <xdr:rowOff>142875</xdr:rowOff>
        </xdr:from>
        <xdr:to>
          <xdr:col>5</xdr:col>
          <xdr:colOff>0</xdr:colOff>
          <xdr:row>60</xdr:row>
          <xdr:rowOff>0</xdr:rowOff>
        </xdr:to>
        <xdr:sp macro="" textlink="">
          <xdr:nvSpPr>
            <xdr:cNvPr id="15390" name="Check Box 30" hidden="1">
              <a:extLst>
                <a:ext uri="{63B3BB69-23CF-44E3-9099-C40C66FF867C}">
                  <a14:compatExt spid="_x0000_s15390"/>
                </a:ext>
                <a:ext uri="{FF2B5EF4-FFF2-40B4-BE49-F238E27FC236}">
                  <a16:creationId xmlns:a16="http://schemas.microsoft.com/office/drawing/2014/main" id="{00000000-0008-0000-0B00-00001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58</xdr:row>
          <xdr:rowOff>142875</xdr:rowOff>
        </xdr:from>
        <xdr:to>
          <xdr:col>11</xdr:col>
          <xdr:colOff>0</xdr:colOff>
          <xdr:row>60</xdr:row>
          <xdr:rowOff>0</xdr:rowOff>
        </xdr:to>
        <xdr:sp macro="" textlink="">
          <xdr:nvSpPr>
            <xdr:cNvPr id="15391" name="Check Box 31" hidden="1">
              <a:extLst>
                <a:ext uri="{63B3BB69-23CF-44E3-9099-C40C66FF867C}">
                  <a14:compatExt spid="_x0000_s15391"/>
                </a:ext>
                <a:ext uri="{FF2B5EF4-FFF2-40B4-BE49-F238E27FC236}">
                  <a16:creationId xmlns:a16="http://schemas.microsoft.com/office/drawing/2014/main" id="{00000000-0008-0000-0B00-00001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22</xdr:col>
      <xdr:colOff>168588</xdr:colOff>
      <xdr:row>47</xdr:row>
      <xdr:rowOff>38217</xdr:rowOff>
    </xdr:from>
    <xdr:to>
      <xdr:col>23</xdr:col>
      <xdr:colOff>184547</xdr:colOff>
      <xdr:row>47</xdr:row>
      <xdr:rowOff>38217</xdr:rowOff>
    </xdr:to>
    <xdr:cxnSp macro="">
      <xdr:nvCxnSpPr>
        <xdr:cNvPr id="66" name="Gerader Verbinder 65">
          <a:extLst>
            <a:ext uri="{FF2B5EF4-FFF2-40B4-BE49-F238E27FC236}">
              <a16:creationId xmlns:a16="http://schemas.microsoft.com/office/drawing/2014/main" id="{00000000-0008-0000-0B00-000042000000}"/>
            </a:ext>
          </a:extLst>
        </xdr:cNvPr>
        <xdr:cNvCxnSpPr/>
      </xdr:nvCxnSpPr>
      <xdr:spPr>
        <a:xfrm>
          <a:off x="5464488" y="7953492"/>
          <a:ext cx="2350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105730</xdr:colOff>
      <xdr:row>43</xdr:row>
      <xdr:rowOff>69695</xdr:rowOff>
    </xdr:from>
    <xdr:to>
      <xdr:col>23</xdr:col>
      <xdr:colOff>105730</xdr:colOff>
      <xdr:row>47</xdr:row>
      <xdr:rowOff>111512</xdr:rowOff>
    </xdr:to>
    <xdr:cxnSp macro="">
      <xdr:nvCxnSpPr>
        <xdr:cNvPr id="67" name="Gerader Verbinder 66">
          <a:extLst>
            <a:ext uri="{FF2B5EF4-FFF2-40B4-BE49-F238E27FC236}">
              <a16:creationId xmlns:a16="http://schemas.microsoft.com/office/drawing/2014/main" id="{00000000-0008-0000-0B00-000043000000}"/>
            </a:ext>
          </a:extLst>
        </xdr:cNvPr>
        <xdr:cNvCxnSpPr/>
      </xdr:nvCxnSpPr>
      <xdr:spPr>
        <a:xfrm>
          <a:off x="5620705" y="7337270"/>
          <a:ext cx="0" cy="68951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17948</xdr:colOff>
      <xdr:row>44</xdr:row>
      <xdr:rowOff>3288</xdr:rowOff>
    </xdr:from>
    <xdr:to>
      <xdr:col>23</xdr:col>
      <xdr:colOff>218378</xdr:colOff>
      <xdr:row>44</xdr:row>
      <xdr:rowOff>3288</xdr:rowOff>
    </xdr:to>
    <xdr:cxnSp macro="">
      <xdr:nvCxnSpPr>
        <xdr:cNvPr id="68" name="Gerader Verbinder 67">
          <a:extLst>
            <a:ext uri="{FF2B5EF4-FFF2-40B4-BE49-F238E27FC236}">
              <a16:creationId xmlns:a16="http://schemas.microsoft.com/office/drawing/2014/main" id="{00000000-0008-0000-0B00-000044000000}"/>
            </a:ext>
          </a:extLst>
        </xdr:cNvPr>
        <xdr:cNvCxnSpPr/>
      </xdr:nvCxnSpPr>
      <xdr:spPr>
        <a:xfrm>
          <a:off x="5094773" y="7432788"/>
          <a:ext cx="638580" cy="0"/>
        </a:xfrm>
        <a:prstGeom prst="line">
          <a:avLst/>
        </a:prstGeom>
        <a:ln>
          <a:solidFill>
            <a:sysClr val="windowText" lastClr="000000"/>
          </a:solidFill>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43</xdr:row>
      <xdr:rowOff>107817</xdr:rowOff>
    </xdr:from>
    <xdr:to>
      <xdr:col>23</xdr:col>
      <xdr:colOff>164271</xdr:colOff>
      <xdr:row>44</xdr:row>
      <xdr:rowOff>59295</xdr:rowOff>
    </xdr:to>
    <xdr:cxnSp macro="">
      <xdr:nvCxnSpPr>
        <xdr:cNvPr id="69" name="Gerader Verbinder 68">
          <a:extLst>
            <a:ext uri="{FF2B5EF4-FFF2-40B4-BE49-F238E27FC236}">
              <a16:creationId xmlns:a16="http://schemas.microsoft.com/office/drawing/2014/main" id="{00000000-0008-0000-0B00-000045000000}"/>
            </a:ext>
          </a:extLst>
        </xdr:cNvPr>
        <xdr:cNvCxnSpPr/>
      </xdr:nvCxnSpPr>
      <xdr:spPr>
        <a:xfrm flipV="1">
          <a:off x="5564542" y="7375392"/>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49567</xdr:colOff>
      <xdr:row>46</xdr:row>
      <xdr:rowOff>140342</xdr:rowOff>
    </xdr:from>
    <xdr:to>
      <xdr:col>23</xdr:col>
      <xdr:colOff>164271</xdr:colOff>
      <xdr:row>47</xdr:row>
      <xdr:rowOff>91820</xdr:rowOff>
    </xdr:to>
    <xdr:cxnSp macro="">
      <xdr:nvCxnSpPr>
        <xdr:cNvPr id="70" name="Gerader Verbinder 69">
          <a:extLst>
            <a:ext uri="{FF2B5EF4-FFF2-40B4-BE49-F238E27FC236}">
              <a16:creationId xmlns:a16="http://schemas.microsoft.com/office/drawing/2014/main" id="{00000000-0008-0000-0B00-000046000000}"/>
            </a:ext>
          </a:extLst>
        </xdr:cNvPr>
        <xdr:cNvCxnSpPr/>
      </xdr:nvCxnSpPr>
      <xdr:spPr>
        <a:xfrm flipV="1">
          <a:off x="5564542" y="7893692"/>
          <a:ext cx="114704" cy="11340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0</xdr:colOff>
          <xdr:row>70</xdr:row>
          <xdr:rowOff>9525</xdr:rowOff>
        </xdr:from>
        <xdr:to>
          <xdr:col>5</xdr:col>
          <xdr:colOff>0</xdr:colOff>
          <xdr:row>71</xdr:row>
          <xdr:rowOff>9525</xdr:rowOff>
        </xdr:to>
        <xdr:sp macro="" textlink="">
          <xdr:nvSpPr>
            <xdr:cNvPr id="15392" name="Check Box 32" hidden="1">
              <a:extLst>
                <a:ext uri="{63B3BB69-23CF-44E3-9099-C40C66FF867C}">
                  <a14:compatExt spid="_x0000_s15392"/>
                </a:ext>
                <a:ext uri="{FF2B5EF4-FFF2-40B4-BE49-F238E27FC236}">
                  <a16:creationId xmlns:a16="http://schemas.microsoft.com/office/drawing/2014/main" id="{00000000-0008-0000-0B00-00002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70</xdr:row>
          <xdr:rowOff>0</xdr:rowOff>
        </xdr:from>
        <xdr:to>
          <xdr:col>11</xdr:col>
          <xdr:colOff>0</xdr:colOff>
          <xdr:row>71</xdr:row>
          <xdr:rowOff>0</xdr:rowOff>
        </xdr:to>
        <xdr:sp macro="" textlink="">
          <xdr:nvSpPr>
            <xdr:cNvPr id="15393" name="Check Box 33" hidden="1">
              <a:extLst>
                <a:ext uri="{63B3BB69-23CF-44E3-9099-C40C66FF867C}">
                  <a14:compatExt spid="_x0000_s15393"/>
                </a:ext>
                <a:ext uri="{FF2B5EF4-FFF2-40B4-BE49-F238E27FC236}">
                  <a16:creationId xmlns:a16="http://schemas.microsoft.com/office/drawing/2014/main" id="{00000000-0008-0000-0B00-00002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0</xdr:colOff>
          <xdr:row>70</xdr:row>
          <xdr:rowOff>9525</xdr:rowOff>
        </xdr:from>
        <xdr:to>
          <xdr:col>17</xdr:col>
          <xdr:colOff>0</xdr:colOff>
          <xdr:row>71</xdr:row>
          <xdr:rowOff>9525</xdr:rowOff>
        </xdr:to>
        <xdr:sp macro="" textlink="">
          <xdr:nvSpPr>
            <xdr:cNvPr id="15394" name="Check Box 34" hidden="1">
              <a:extLst>
                <a:ext uri="{63B3BB69-23CF-44E3-9099-C40C66FF867C}">
                  <a14:compatExt spid="_x0000_s15394"/>
                </a:ext>
                <a:ext uri="{FF2B5EF4-FFF2-40B4-BE49-F238E27FC236}">
                  <a16:creationId xmlns:a16="http://schemas.microsoft.com/office/drawing/2014/main" id="{00000000-0008-0000-0B00-00002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70</xdr:row>
          <xdr:rowOff>9525</xdr:rowOff>
        </xdr:from>
        <xdr:to>
          <xdr:col>23</xdr:col>
          <xdr:colOff>0</xdr:colOff>
          <xdr:row>71</xdr:row>
          <xdr:rowOff>9525</xdr:rowOff>
        </xdr:to>
        <xdr:sp macro="" textlink="">
          <xdr:nvSpPr>
            <xdr:cNvPr id="15395" name="Check Box 35" hidden="1">
              <a:extLst>
                <a:ext uri="{63B3BB69-23CF-44E3-9099-C40C66FF867C}">
                  <a14:compatExt spid="_x0000_s15395"/>
                </a:ext>
                <a:ext uri="{FF2B5EF4-FFF2-40B4-BE49-F238E27FC236}">
                  <a16:creationId xmlns:a16="http://schemas.microsoft.com/office/drawing/2014/main" id="{00000000-0008-0000-0B00-00002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5396" name="Check Box 36" hidden="1">
              <a:extLst>
                <a:ext uri="{63B3BB69-23CF-44E3-9099-C40C66FF867C}">
                  <a14:compatExt spid="_x0000_s15396"/>
                </a:ext>
                <a:ext uri="{FF2B5EF4-FFF2-40B4-BE49-F238E27FC236}">
                  <a16:creationId xmlns:a16="http://schemas.microsoft.com/office/drawing/2014/main" id="{00000000-0008-0000-0B00-00002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83</xdr:row>
          <xdr:rowOff>0</xdr:rowOff>
        </xdr:from>
        <xdr:to>
          <xdr:col>14</xdr:col>
          <xdr:colOff>0</xdr:colOff>
          <xdr:row>84</xdr:row>
          <xdr:rowOff>0</xdr:rowOff>
        </xdr:to>
        <xdr:sp macro="" textlink="">
          <xdr:nvSpPr>
            <xdr:cNvPr id="15397" name="Check Box 37" hidden="1">
              <a:extLst>
                <a:ext uri="{63B3BB69-23CF-44E3-9099-C40C66FF867C}">
                  <a14:compatExt spid="_x0000_s15397"/>
                </a:ext>
                <a:ext uri="{FF2B5EF4-FFF2-40B4-BE49-F238E27FC236}">
                  <a16:creationId xmlns:a16="http://schemas.microsoft.com/office/drawing/2014/main" id="{00000000-0008-0000-0B00-00002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83</xdr:row>
          <xdr:rowOff>0</xdr:rowOff>
        </xdr:from>
        <xdr:to>
          <xdr:col>21</xdr:col>
          <xdr:colOff>0</xdr:colOff>
          <xdr:row>84</xdr:row>
          <xdr:rowOff>0</xdr:rowOff>
        </xdr:to>
        <xdr:sp macro="" textlink="">
          <xdr:nvSpPr>
            <xdr:cNvPr id="15398" name="Check Box 38" hidden="1">
              <a:extLst>
                <a:ext uri="{63B3BB69-23CF-44E3-9099-C40C66FF867C}">
                  <a14:compatExt spid="_x0000_s15398"/>
                </a:ext>
                <a:ext uri="{FF2B5EF4-FFF2-40B4-BE49-F238E27FC236}">
                  <a16:creationId xmlns:a16="http://schemas.microsoft.com/office/drawing/2014/main" id="{00000000-0008-0000-0B00-00002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89</xdr:row>
          <xdr:rowOff>0</xdr:rowOff>
        </xdr:from>
        <xdr:to>
          <xdr:col>21</xdr:col>
          <xdr:colOff>0</xdr:colOff>
          <xdr:row>90</xdr:row>
          <xdr:rowOff>0</xdr:rowOff>
        </xdr:to>
        <xdr:sp macro="" textlink="">
          <xdr:nvSpPr>
            <xdr:cNvPr id="15399" name="Check Box 39" hidden="1">
              <a:extLst>
                <a:ext uri="{63B3BB69-23CF-44E3-9099-C40C66FF867C}">
                  <a14:compatExt spid="_x0000_s15399"/>
                </a:ext>
                <a:ext uri="{FF2B5EF4-FFF2-40B4-BE49-F238E27FC236}">
                  <a16:creationId xmlns:a16="http://schemas.microsoft.com/office/drawing/2014/main" id="{00000000-0008-0000-0B00-00002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219075</xdr:colOff>
          <xdr:row>95</xdr:row>
          <xdr:rowOff>0</xdr:rowOff>
        </xdr:from>
        <xdr:to>
          <xdr:col>21</xdr:col>
          <xdr:colOff>0</xdr:colOff>
          <xdr:row>96</xdr:row>
          <xdr:rowOff>0</xdr:rowOff>
        </xdr:to>
        <xdr:sp macro="" textlink="">
          <xdr:nvSpPr>
            <xdr:cNvPr id="15400" name="Check Box 40" hidden="1">
              <a:extLst>
                <a:ext uri="{63B3BB69-23CF-44E3-9099-C40C66FF867C}">
                  <a14:compatExt spid="_x0000_s15400"/>
                </a:ext>
                <a:ext uri="{FF2B5EF4-FFF2-40B4-BE49-F238E27FC236}">
                  <a16:creationId xmlns:a16="http://schemas.microsoft.com/office/drawing/2014/main" id="{00000000-0008-0000-0B00-000028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15</xdr:col>
      <xdr:colOff>202245</xdr:colOff>
      <xdr:row>72</xdr:row>
      <xdr:rowOff>70757</xdr:rowOff>
    </xdr:from>
    <xdr:to>
      <xdr:col>16</xdr:col>
      <xdr:colOff>156882</xdr:colOff>
      <xdr:row>75</xdr:row>
      <xdr:rowOff>133829</xdr:rowOff>
    </xdr:to>
    <xdr:sp macro="" textlink="">
      <xdr:nvSpPr>
        <xdr:cNvPr id="80" name="Rechteck 79">
          <a:extLst>
            <a:ext uri="{FF2B5EF4-FFF2-40B4-BE49-F238E27FC236}">
              <a16:creationId xmlns:a16="http://schemas.microsoft.com/office/drawing/2014/main" id="{00000000-0008-0000-0B00-000050000000}"/>
            </a:ext>
          </a:extLst>
        </xdr:cNvPr>
        <xdr:cNvSpPr/>
      </xdr:nvSpPr>
      <xdr:spPr>
        <a:xfrm>
          <a:off x="3964620" y="12034157"/>
          <a:ext cx="173712" cy="54884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94</xdr:row>
          <xdr:rowOff>142875</xdr:rowOff>
        </xdr:to>
        <xdr:sp macro="" textlink="">
          <xdr:nvSpPr>
            <xdr:cNvPr id="15401" name="Check Box 41" hidden="1">
              <a:extLst>
                <a:ext uri="{63B3BB69-23CF-44E3-9099-C40C66FF867C}">
                  <a14:compatExt spid="_x0000_s15401"/>
                </a:ext>
                <a:ext uri="{FF2B5EF4-FFF2-40B4-BE49-F238E27FC236}">
                  <a16:creationId xmlns:a16="http://schemas.microsoft.com/office/drawing/2014/main" id="{00000000-0008-0000-0B00-000029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94</xdr:row>
          <xdr:rowOff>19050</xdr:rowOff>
        </xdr:from>
        <xdr:to>
          <xdr:col>14</xdr:col>
          <xdr:colOff>0</xdr:colOff>
          <xdr:row>95</xdr:row>
          <xdr:rowOff>0</xdr:rowOff>
        </xdr:to>
        <xdr:sp macro="" textlink="">
          <xdr:nvSpPr>
            <xdr:cNvPr id="15402" name="Check Box 42" hidden="1">
              <a:extLst>
                <a:ext uri="{63B3BB69-23CF-44E3-9099-C40C66FF867C}">
                  <a14:compatExt spid="_x0000_s15402"/>
                </a:ext>
                <a:ext uri="{FF2B5EF4-FFF2-40B4-BE49-F238E27FC236}">
                  <a16:creationId xmlns:a16="http://schemas.microsoft.com/office/drawing/2014/main" id="{00000000-0008-0000-0B00-00002A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72</xdr:row>
          <xdr:rowOff>152400</xdr:rowOff>
        </xdr:from>
        <xdr:to>
          <xdr:col>16</xdr:col>
          <xdr:colOff>190500</xdr:colOff>
          <xdr:row>74</xdr:row>
          <xdr:rowOff>0</xdr:rowOff>
        </xdr:to>
        <xdr:sp macro="" textlink="">
          <xdr:nvSpPr>
            <xdr:cNvPr id="15403" name="Check Box 43" hidden="1">
              <a:extLst>
                <a:ext uri="{63B3BB69-23CF-44E3-9099-C40C66FF867C}">
                  <a14:compatExt spid="_x0000_s15403"/>
                </a:ext>
                <a:ext uri="{FF2B5EF4-FFF2-40B4-BE49-F238E27FC236}">
                  <a16:creationId xmlns:a16="http://schemas.microsoft.com/office/drawing/2014/main" id="{00000000-0008-0000-0B00-00002B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108116</xdr:colOff>
      <xdr:row>78</xdr:row>
      <xdr:rowOff>121446</xdr:rowOff>
    </xdr:from>
    <xdr:to>
      <xdr:col>14</xdr:col>
      <xdr:colOff>75592</xdr:colOff>
      <xdr:row>82</xdr:row>
      <xdr:rowOff>92528</xdr:rowOff>
    </xdr:to>
    <xdr:sp macro="" textlink="">
      <xdr:nvSpPr>
        <xdr:cNvPr id="84" name="Rechteck 83">
          <a:extLst>
            <a:ext uri="{FF2B5EF4-FFF2-40B4-BE49-F238E27FC236}">
              <a16:creationId xmlns:a16="http://schemas.microsoft.com/office/drawing/2014/main" id="{00000000-0008-0000-0B00-000054000000}"/>
            </a:ext>
          </a:extLst>
        </xdr:cNvPr>
        <xdr:cNvSpPr/>
      </xdr:nvSpPr>
      <xdr:spPr>
        <a:xfrm>
          <a:off x="3432341" y="13056396"/>
          <a:ext cx="186551" cy="60925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13</xdr:col>
          <xdr:colOff>104775</xdr:colOff>
          <xdr:row>80</xdr:row>
          <xdr:rowOff>152400</xdr:rowOff>
        </xdr:from>
        <xdr:to>
          <xdr:col>14</xdr:col>
          <xdr:colOff>104775</xdr:colOff>
          <xdr:row>82</xdr:row>
          <xdr:rowOff>0</xdr:rowOff>
        </xdr:to>
        <xdr:sp macro="" textlink="">
          <xdr:nvSpPr>
            <xdr:cNvPr id="15404" name="Check Box 44" hidden="1">
              <a:extLst>
                <a:ext uri="{63B3BB69-23CF-44E3-9099-C40C66FF867C}">
                  <a14:compatExt spid="_x0000_s15404"/>
                </a:ext>
                <a:ext uri="{FF2B5EF4-FFF2-40B4-BE49-F238E27FC236}">
                  <a16:creationId xmlns:a16="http://schemas.microsoft.com/office/drawing/2014/main" id="{00000000-0008-0000-0B00-00002C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13</xdr:col>
      <xdr:colOff>40881</xdr:colOff>
      <xdr:row>62</xdr:row>
      <xdr:rowOff>3852</xdr:rowOff>
    </xdr:from>
    <xdr:to>
      <xdr:col>13</xdr:col>
      <xdr:colOff>212912</xdr:colOff>
      <xdr:row>63</xdr:row>
      <xdr:rowOff>99582</xdr:rowOff>
    </xdr:to>
    <xdr:sp macro="" textlink="">
      <xdr:nvSpPr>
        <xdr:cNvPr id="86" name="Rechteck 85">
          <a:extLst>
            <a:ext uri="{FF2B5EF4-FFF2-40B4-BE49-F238E27FC236}">
              <a16:creationId xmlns:a16="http://schemas.microsoft.com/office/drawing/2014/main" id="{00000000-0008-0000-0B00-000056000000}"/>
            </a:ext>
          </a:extLst>
        </xdr:cNvPr>
        <xdr:cNvSpPr/>
      </xdr:nvSpPr>
      <xdr:spPr>
        <a:xfrm>
          <a:off x="3365106" y="10348002"/>
          <a:ext cx="172031" cy="25765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23</xdr:col>
          <xdr:colOff>0</xdr:colOff>
          <xdr:row>48</xdr:row>
          <xdr:rowOff>0</xdr:rowOff>
        </xdr:from>
        <xdr:to>
          <xdr:col>24</xdr:col>
          <xdr:colOff>0</xdr:colOff>
          <xdr:row>49</xdr:row>
          <xdr:rowOff>38100</xdr:rowOff>
        </xdr:to>
        <xdr:sp macro="" textlink="">
          <xdr:nvSpPr>
            <xdr:cNvPr id="15405" name="Check Box 45" hidden="1">
              <a:extLst>
                <a:ext uri="{63B3BB69-23CF-44E3-9099-C40C66FF867C}">
                  <a14:compatExt spid="_x0000_s15405"/>
                </a:ext>
                <a:ext uri="{FF2B5EF4-FFF2-40B4-BE49-F238E27FC236}">
                  <a16:creationId xmlns:a16="http://schemas.microsoft.com/office/drawing/2014/main" id="{00000000-0008-0000-0B00-00002D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55</xdr:row>
          <xdr:rowOff>0</xdr:rowOff>
        </xdr:from>
        <xdr:to>
          <xdr:col>24</xdr:col>
          <xdr:colOff>0</xdr:colOff>
          <xdr:row>56</xdr:row>
          <xdr:rowOff>38100</xdr:rowOff>
        </xdr:to>
        <xdr:sp macro="" textlink="">
          <xdr:nvSpPr>
            <xdr:cNvPr id="15406" name="Check Box 46" hidden="1">
              <a:extLst>
                <a:ext uri="{63B3BB69-23CF-44E3-9099-C40C66FF867C}">
                  <a14:compatExt spid="_x0000_s15406"/>
                </a:ext>
                <a:ext uri="{FF2B5EF4-FFF2-40B4-BE49-F238E27FC236}">
                  <a16:creationId xmlns:a16="http://schemas.microsoft.com/office/drawing/2014/main" id="{00000000-0008-0000-0B00-00002E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3</xdr:col>
      <xdr:colOff>29884</xdr:colOff>
      <xdr:row>27</xdr:row>
      <xdr:rowOff>165927</xdr:rowOff>
    </xdr:from>
    <xdr:to>
      <xdr:col>4</xdr:col>
      <xdr:colOff>59192</xdr:colOff>
      <xdr:row>28</xdr:row>
      <xdr:rowOff>51715</xdr:rowOff>
    </xdr:to>
    <xdr:cxnSp macro="">
      <xdr:nvCxnSpPr>
        <xdr:cNvPr id="89" name="Gerader Verbinder 88">
          <a:extLst>
            <a:ext uri="{FF2B5EF4-FFF2-40B4-BE49-F238E27FC236}">
              <a16:creationId xmlns:a16="http://schemas.microsoft.com/office/drawing/2014/main" id="{00000000-0008-0000-0B00-000059000000}"/>
            </a:ext>
          </a:extLst>
        </xdr:cNvPr>
        <xdr:cNvCxnSpPr/>
      </xdr:nvCxnSpPr>
      <xdr:spPr>
        <a:xfrm flipV="1">
          <a:off x="1296709" y="4890327"/>
          <a:ext cx="115033"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39</xdr:col>
          <xdr:colOff>0</xdr:colOff>
          <xdr:row>33</xdr:row>
          <xdr:rowOff>0</xdr:rowOff>
        </xdr:from>
        <xdr:to>
          <xdr:col>40</xdr:col>
          <xdr:colOff>0</xdr:colOff>
          <xdr:row>34</xdr:row>
          <xdr:rowOff>0</xdr:rowOff>
        </xdr:to>
        <xdr:sp macro="" textlink="">
          <xdr:nvSpPr>
            <xdr:cNvPr id="15407" name="Check Box 47" hidden="1">
              <a:extLst>
                <a:ext uri="{63B3BB69-23CF-44E3-9099-C40C66FF867C}">
                  <a14:compatExt spid="_x0000_s15407"/>
                </a:ext>
                <a:ext uri="{FF2B5EF4-FFF2-40B4-BE49-F238E27FC236}">
                  <a16:creationId xmlns:a16="http://schemas.microsoft.com/office/drawing/2014/main" id="{00000000-0008-0000-0B00-00002F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160442</xdr:colOff>
      <xdr:row>27</xdr:row>
      <xdr:rowOff>171880</xdr:rowOff>
    </xdr:from>
    <xdr:to>
      <xdr:col>8</xdr:col>
      <xdr:colOff>52827</xdr:colOff>
      <xdr:row>28</xdr:row>
      <xdr:rowOff>57668</xdr:rowOff>
    </xdr:to>
    <xdr:cxnSp macro="">
      <xdr:nvCxnSpPr>
        <xdr:cNvPr id="91" name="Gerader Verbinder 90">
          <a:extLst>
            <a:ext uri="{FF2B5EF4-FFF2-40B4-BE49-F238E27FC236}">
              <a16:creationId xmlns:a16="http://schemas.microsoft.com/office/drawing/2014/main" id="{00000000-0008-0000-0B00-00005B000000}"/>
            </a:ext>
          </a:extLst>
        </xdr:cNvPr>
        <xdr:cNvCxnSpPr/>
      </xdr:nvCxnSpPr>
      <xdr:spPr>
        <a:xfrm flipV="1">
          <a:off x="2170217" y="4896280"/>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158060</xdr:colOff>
      <xdr:row>27</xdr:row>
      <xdr:rowOff>175452</xdr:rowOff>
    </xdr:from>
    <xdr:to>
      <xdr:col>12</xdr:col>
      <xdr:colOff>50446</xdr:colOff>
      <xdr:row>28</xdr:row>
      <xdr:rowOff>61240</xdr:rowOff>
    </xdr:to>
    <xdr:cxnSp macro="">
      <xdr:nvCxnSpPr>
        <xdr:cNvPr id="92" name="Gerader Verbinder 91">
          <a:extLst>
            <a:ext uri="{FF2B5EF4-FFF2-40B4-BE49-F238E27FC236}">
              <a16:creationId xmlns:a16="http://schemas.microsoft.com/office/drawing/2014/main" id="{00000000-0008-0000-0B00-00005C000000}"/>
            </a:ext>
          </a:extLst>
        </xdr:cNvPr>
        <xdr:cNvCxnSpPr/>
      </xdr:nvCxnSpPr>
      <xdr:spPr>
        <a:xfrm flipV="1">
          <a:off x="3044135" y="4899852"/>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161632</xdr:colOff>
      <xdr:row>27</xdr:row>
      <xdr:rowOff>173071</xdr:rowOff>
    </xdr:from>
    <xdr:to>
      <xdr:col>16</xdr:col>
      <xdr:colOff>54017</xdr:colOff>
      <xdr:row>28</xdr:row>
      <xdr:rowOff>58859</xdr:rowOff>
    </xdr:to>
    <xdr:cxnSp macro="">
      <xdr:nvCxnSpPr>
        <xdr:cNvPr id="93" name="Gerader Verbinder 92">
          <a:extLst>
            <a:ext uri="{FF2B5EF4-FFF2-40B4-BE49-F238E27FC236}">
              <a16:creationId xmlns:a16="http://schemas.microsoft.com/office/drawing/2014/main" id="{00000000-0008-0000-0B00-00005D000000}"/>
            </a:ext>
          </a:extLst>
        </xdr:cNvPr>
        <xdr:cNvCxnSpPr/>
      </xdr:nvCxnSpPr>
      <xdr:spPr>
        <a:xfrm flipV="1">
          <a:off x="3924007" y="4897471"/>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159250</xdr:colOff>
      <xdr:row>27</xdr:row>
      <xdr:rowOff>170690</xdr:rowOff>
    </xdr:from>
    <xdr:to>
      <xdr:col>20</xdr:col>
      <xdr:colOff>51636</xdr:colOff>
      <xdr:row>28</xdr:row>
      <xdr:rowOff>56478</xdr:rowOff>
    </xdr:to>
    <xdr:cxnSp macro="">
      <xdr:nvCxnSpPr>
        <xdr:cNvPr id="94" name="Gerader Verbinder 93">
          <a:extLst>
            <a:ext uri="{FF2B5EF4-FFF2-40B4-BE49-F238E27FC236}">
              <a16:creationId xmlns:a16="http://schemas.microsoft.com/office/drawing/2014/main" id="{00000000-0008-0000-0B00-00005E000000}"/>
            </a:ext>
          </a:extLst>
        </xdr:cNvPr>
        <xdr:cNvCxnSpPr/>
      </xdr:nvCxnSpPr>
      <xdr:spPr>
        <a:xfrm flipV="1">
          <a:off x="4797925" y="4895090"/>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162822</xdr:colOff>
      <xdr:row>27</xdr:row>
      <xdr:rowOff>174262</xdr:rowOff>
    </xdr:from>
    <xdr:to>
      <xdr:col>24</xdr:col>
      <xdr:colOff>55207</xdr:colOff>
      <xdr:row>28</xdr:row>
      <xdr:rowOff>60050</xdr:rowOff>
    </xdr:to>
    <xdr:cxnSp macro="">
      <xdr:nvCxnSpPr>
        <xdr:cNvPr id="95" name="Gerader Verbinder 94">
          <a:extLst>
            <a:ext uri="{FF2B5EF4-FFF2-40B4-BE49-F238E27FC236}">
              <a16:creationId xmlns:a16="http://schemas.microsoft.com/office/drawing/2014/main" id="{00000000-0008-0000-0B00-00005F000000}"/>
            </a:ext>
          </a:extLst>
        </xdr:cNvPr>
        <xdr:cNvCxnSpPr/>
      </xdr:nvCxnSpPr>
      <xdr:spPr>
        <a:xfrm flipV="1">
          <a:off x="5677797" y="4898662"/>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160440</xdr:colOff>
      <xdr:row>27</xdr:row>
      <xdr:rowOff>171881</xdr:rowOff>
    </xdr:from>
    <xdr:to>
      <xdr:col>28</xdr:col>
      <xdr:colOff>52826</xdr:colOff>
      <xdr:row>28</xdr:row>
      <xdr:rowOff>57669</xdr:rowOff>
    </xdr:to>
    <xdr:cxnSp macro="">
      <xdr:nvCxnSpPr>
        <xdr:cNvPr id="96" name="Gerader Verbinder 95">
          <a:extLst>
            <a:ext uri="{FF2B5EF4-FFF2-40B4-BE49-F238E27FC236}">
              <a16:creationId xmlns:a16="http://schemas.microsoft.com/office/drawing/2014/main" id="{00000000-0008-0000-0B00-000060000000}"/>
            </a:ext>
          </a:extLst>
        </xdr:cNvPr>
        <xdr:cNvCxnSpPr/>
      </xdr:nvCxnSpPr>
      <xdr:spPr>
        <a:xfrm flipV="1">
          <a:off x="6551715" y="4896281"/>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164012</xdr:colOff>
      <xdr:row>27</xdr:row>
      <xdr:rowOff>169500</xdr:rowOff>
    </xdr:from>
    <xdr:to>
      <xdr:col>32</xdr:col>
      <xdr:colOff>56397</xdr:colOff>
      <xdr:row>28</xdr:row>
      <xdr:rowOff>55288</xdr:rowOff>
    </xdr:to>
    <xdr:cxnSp macro="">
      <xdr:nvCxnSpPr>
        <xdr:cNvPr id="97" name="Gerader Verbinder 96">
          <a:extLst>
            <a:ext uri="{FF2B5EF4-FFF2-40B4-BE49-F238E27FC236}">
              <a16:creationId xmlns:a16="http://schemas.microsoft.com/office/drawing/2014/main" id="{00000000-0008-0000-0B00-000061000000}"/>
            </a:ext>
          </a:extLst>
        </xdr:cNvPr>
        <xdr:cNvCxnSpPr/>
      </xdr:nvCxnSpPr>
      <xdr:spPr>
        <a:xfrm flipV="1">
          <a:off x="7431587" y="4893900"/>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161630</xdr:colOff>
      <xdr:row>27</xdr:row>
      <xdr:rowOff>173072</xdr:rowOff>
    </xdr:from>
    <xdr:to>
      <xdr:col>36</xdr:col>
      <xdr:colOff>54016</xdr:colOff>
      <xdr:row>28</xdr:row>
      <xdr:rowOff>58860</xdr:rowOff>
    </xdr:to>
    <xdr:cxnSp macro="">
      <xdr:nvCxnSpPr>
        <xdr:cNvPr id="98" name="Gerader Verbinder 97">
          <a:extLst>
            <a:ext uri="{FF2B5EF4-FFF2-40B4-BE49-F238E27FC236}">
              <a16:creationId xmlns:a16="http://schemas.microsoft.com/office/drawing/2014/main" id="{00000000-0008-0000-0B00-000062000000}"/>
            </a:ext>
          </a:extLst>
        </xdr:cNvPr>
        <xdr:cNvCxnSpPr/>
      </xdr:nvCxnSpPr>
      <xdr:spPr>
        <a:xfrm flipV="1">
          <a:off x="8305505" y="4897472"/>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159249</xdr:colOff>
      <xdr:row>27</xdr:row>
      <xdr:rowOff>164738</xdr:rowOff>
    </xdr:from>
    <xdr:to>
      <xdr:col>40</xdr:col>
      <xdr:colOff>51634</xdr:colOff>
      <xdr:row>28</xdr:row>
      <xdr:rowOff>50526</xdr:rowOff>
    </xdr:to>
    <xdr:cxnSp macro="">
      <xdr:nvCxnSpPr>
        <xdr:cNvPr id="99" name="Gerader Verbinder 98">
          <a:extLst>
            <a:ext uri="{FF2B5EF4-FFF2-40B4-BE49-F238E27FC236}">
              <a16:creationId xmlns:a16="http://schemas.microsoft.com/office/drawing/2014/main" id="{00000000-0008-0000-0B00-000063000000}"/>
            </a:ext>
          </a:extLst>
        </xdr:cNvPr>
        <xdr:cNvCxnSpPr/>
      </xdr:nvCxnSpPr>
      <xdr:spPr>
        <a:xfrm flipV="1">
          <a:off x="9179424" y="4889138"/>
          <a:ext cx="111460"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162821</xdr:colOff>
      <xdr:row>27</xdr:row>
      <xdr:rowOff>174263</xdr:rowOff>
    </xdr:from>
    <xdr:to>
      <xdr:col>44</xdr:col>
      <xdr:colOff>55207</xdr:colOff>
      <xdr:row>28</xdr:row>
      <xdr:rowOff>60051</xdr:rowOff>
    </xdr:to>
    <xdr:cxnSp macro="">
      <xdr:nvCxnSpPr>
        <xdr:cNvPr id="100" name="Gerader Verbinder 99">
          <a:extLst>
            <a:ext uri="{FF2B5EF4-FFF2-40B4-BE49-F238E27FC236}">
              <a16:creationId xmlns:a16="http://schemas.microsoft.com/office/drawing/2014/main" id="{00000000-0008-0000-0B00-000064000000}"/>
            </a:ext>
          </a:extLst>
        </xdr:cNvPr>
        <xdr:cNvCxnSpPr/>
      </xdr:nvCxnSpPr>
      <xdr:spPr>
        <a:xfrm flipV="1">
          <a:off x="10059296" y="4898663"/>
          <a:ext cx="111461" cy="114388"/>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11206</xdr:colOff>
      <xdr:row>1</xdr:row>
      <xdr:rowOff>145676</xdr:rowOff>
    </xdr:from>
    <xdr:to>
      <xdr:col>14</xdr:col>
      <xdr:colOff>212912</xdr:colOff>
      <xdr:row>2</xdr:row>
      <xdr:rowOff>313067</xdr:rowOff>
    </xdr:to>
    <xdr:pic>
      <xdr:nvPicPr>
        <xdr:cNvPr id="101" name="Grafik 100">
          <a:extLst>
            <a:ext uri="{FF2B5EF4-FFF2-40B4-BE49-F238E27FC236}">
              <a16:creationId xmlns:a16="http://schemas.microsoft.com/office/drawing/2014/main" id="{00000000-0008-0000-0B00-000065000000}"/>
            </a:ext>
          </a:extLst>
        </xdr:cNvPr>
        <xdr:cNvPicPr>
          <a:picLocks noChangeAspect="1"/>
        </xdr:cNvPicPr>
      </xdr:nvPicPr>
      <xdr:blipFill>
        <a:blip xmlns:r="http://schemas.openxmlformats.org/officeDocument/2006/relationships" r:embed="rId27"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7531" y="317126"/>
          <a:ext cx="2668681" cy="33884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30</xdr:col>
          <xdr:colOff>0</xdr:colOff>
          <xdr:row>42</xdr:row>
          <xdr:rowOff>0</xdr:rowOff>
        </xdr:from>
        <xdr:to>
          <xdr:col>31</xdr:col>
          <xdr:colOff>0</xdr:colOff>
          <xdr:row>43</xdr:row>
          <xdr:rowOff>9525</xdr:rowOff>
        </xdr:to>
        <xdr:sp macro="" textlink="">
          <xdr:nvSpPr>
            <xdr:cNvPr id="15408" name="Check Box 48" hidden="1">
              <a:extLst>
                <a:ext uri="{63B3BB69-23CF-44E3-9099-C40C66FF867C}">
                  <a14:compatExt spid="_x0000_s15408"/>
                </a:ext>
                <a:ext uri="{FF2B5EF4-FFF2-40B4-BE49-F238E27FC236}">
                  <a16:creationId xmlns:a16="http://schemas.microsoft.com/office/drawing/2014/main" id="{00000000-0008-0000-0B00-000030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44</xdr:row>
          <xdr:rowOff>0</xdr:rowOff>
        </xdr:from>
        <xdr:to>
          <xdr:col>31</xdr:col>
          <xdr:colOff>0</xdr:colOff>
          <xdr:row>45</xdr:row>
          <xdr:rowOff>9525</xdr:rowOff>
        </xdr:to>
        <xdr:sp macro="" textlink="">
          <xdr:nvSpPr>
            <xdr:cNvPr id="15409" name="Check Box 49" hidden="1">
              <a:extLst>
                <a:ext uri="{63B3BB69-23CF-44E3-9099-C40C66FF867C}">
                  <a14:compatExt spid="_x0000_s15409"/>
                </a:ext>
                <a:ext uri="{FF2B5EF4-FFF2-40B4-BE49-F238E27FC236}">
                  <a16:creationId xmlns:a16="http://schemas.microsoft.com/office/drawing/2014/main" id="{00000000-0008-0000-0B00-00003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29</xdr:col>
          <xdr:colOff>219075</xdr:colOff>
          <xdr:row>56</xdr:row>
          <xdr:rowOff>19050</xdr:rowOff>
        </xdr:from>
        <xdr:to>
          <xdr:col>31</xdr:col>
          <xdr:colOff>0</xdr:colOff>
          <xdr:row>57</xdr:row>
          <xdr:rowOff>38100</xdr:rowOff>
        </xdr:to>
        <xdr:sp macro="" textlink="">
          <xdr:nvSpPr>
            <xdr:cNvPr id="15410" name="Check Box 50" hidden="1">
              <a:extLst>
                <a:ext uri="{63B3BB69-23CF-44E3-9099-C40C66FF867C}">
                  <a14:compatExt spid="_x0000_s15410"/>
                </a:ext>
                <a:ext uri="{FF2B5EF4-FFF2-40B4-BE49-F238E27FC236}">
                  <a16:creationId xmlns:a16="http://schemas.microsoft.com/office/drawing/2014/main" id="{00000000-0008-0000-0B00-00003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73</xdr:row>
          <xdr:rowOff>0</xdr:rowOff>
        </xdr:from>
        <xdr:to>
          <xdr:col>31</xdr:col>
          <xdr:colOff>0</xdr:colOff>
          <xdr:row>74</xdr:row>
          <xdr:rowOff>9525</xdr:rowOff>
        </xdr:to>
        <xdr:sp macro="" textlink="">
          <xdr:nvSpPr>
            <xdr:cNvPr id="15411" name="Check Box 51" hidden="1">
              <a:extLst>
                <a:ext uri="{63B3BB69-23CF-44E3-9099-C40C66FF867C}">
                  <a14:compatExt spid="_x0000_s15411"/>
                </a:ext>
                <a:ext uri="{FF2B5EF4-FFF2-40B4-BE49-F238E27FC236}">
                  <a16:creationId xmlns:a16="http://schemas.microsoft.com/office/drawing/2014/main" id="{00000000-0008-0000-0B00-00003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27</xdr:col>
      <xdr:colOff>81239</xdr:colOff>
      <xdr:row>101</xdr:row>
      <xdr:rowOff>67986</xdr:rowOff>
    </xdr:from>
    <xdr:to>
      <xdr:col>32</xdr:col>
      <xdr:colOff>109349</xdr:colOff>
      <xdr:row>109</xdr:row>
      <xdr:rowOff>61630</xdr:rowOff>
    </xdr:to>
    <xdr:pic>
      <xdr:nvPicPr>
        <xdr:cNvPr id="106" name="Grafik 105">
          <a:extLst>
            <a:ext uri="{FF2B5EF4-FFF2-40B4-BE49-F238E27FC236}">
              <a16:creationId xmlns:a16="http://schemas.microsoft.com/office/drawing/2014/main" id="{00000000-0008-0000-0B00-00006A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6277" t="10351" r="77528" b="74663"/>
        <a:stretch/>
      </xdr:blipFill>
      <xdr:spPr>
        <a:xfrm>
          <a:off x="6472514" y="16898661"/>
          <a:ext cx="1123485" cy="1422394"/>
        </a:xfrm>
        <a:prstGeom prst="rect">
          <a:avLst/>
        </a:prstGeom>
      </xdr:spPr>
    </xdr:pic>
    <xdr:clientData/>
  </xdr:twoCellAnchor>
  <xdr:twoCellAnchor editAs="oneCell">
    <xdr:from>
      <xdr:col>33</xdr:col>
      <xdr:colOff>15689</xdr:colOff>
      <xdr:row>101</xdr:row>
      <xdr:rowOff>53339</xdr:rowOff>
    </xdr:from>
    <xdr:to>
      <xdr:col>38</xdr:col>
      <xdr:colOff>186131</xdr:colOff>
      <xdr:row>108</xdr:row>
      <xdr:rowOff>67710</xdr:rowOff>
    </xdr:to>
    <xdr:pic>
      <xdr:nvPicPr>
        <xdr:cNvPr id="107" name="Grafik 106">
          <a:extLst>
            <a:ext uri="{FF2B5EF4-FFF2-40B4-BE49-F238E27FC236}">
              <a16:creationId xmlns:a16="http://schemas.microsoft.com/office/drawing/2014/main" id="{00000000-0008-0000-0B00-00006B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25697" t="10250" r="56015" b="76270"/>
        <a:stretch/>
      </xdr:blipFill>
      <xdr:spPr>
        <a:xfrm>
          <a:off x="7721414" y="16884014"/>
          <a:ext cx="1265817" cy="1281196"/>
        </a:xfrm>
        <a:prstGeom prst="rect">
          <a:avLst/>
        </a:prstGeom>
      </xdr:spPr>
    </xdr:pic>
    <xdr:clientData/>
  </xdr:twoCellAnchor>
  <xdr:twoCellAnchor editAs="oneCell">
    <xdr:from>
      <xdr:col>39</xdr:col>
      <xdr:colOff>126347</xdr:colOff>
      <xdr:row>101</xdr:row>
      <xdr:rowOff>67333</xdr:rowOff>
    </xdr:from>
    <xdr:to>
      <xdr:col>45</xdr:col>
      <xdr:colOff>60472</xdr:colOff>
      <xdr:row>109</xdr:row>
      <xdr:rowOff>108788</xdr:rowOff>
    </xdr:to>
    <xdr:pic>
      <xdr:nvPicPr>
        <xdr:cNvPr id="108" name="Grafik 107">
          <a:extLst>
            <a:ext uri="{FF2B5EF4-FFF2-40B4-BE49-F238E27FC236}">
              <a16:creationId xmlns:a16="http://schemas.microsoft.com/office/drawing/2014/main" id="{00000000-0008-0000-0B00-00006C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8824" t="10375" r="34746" b="74144"/>
        <a:stretch/>
      </xdr:blipFill>
      <xdr:spPr>
        <a:xfrm>
          <a:off x="9146522" y="16898008"/>
          <a:ext cx="1124750" cy="1470205"/>
        </a:xfrm>
        <a:prstGeom prst="rect">
          <a:avLst/>
        </a:prstGeom>
      </xdr:spPr>
    </xdr:pic>
    <xdr:clientData/>
  </xdr:twoCellAnchor>
  <xdr:twoCellAnchor editAs="oneCell">
    <xdr:from>
      <xdr:col>27</xdr:col>
      <xdr:colOff>172651</xdr:colOff>
      <xdr:row>110</xdr:row>
      <xdr:rowOff>119954</xdr:rowOff>
    </xdr:from>
    <xdr:to>
      <xdr:col>31</xdr:col>
      <xdr:colOff>176552</xdr:colOff>
      <xdr:row>118</xdr:row>
      <xdr:rowOff>118999</xdr:rowOff>
    </xdr:to>
    <xdr:pic>
      <xdr:nvPicPr>
        <xdr:cNvPr id="109" name="Grafik 108">
          <a:extLst>
            <a:ext uri="{FF2B5EF4-FFF2-40B4-BE49-F238E27FC236}">
              <a16:creationId xmlns:a16="http://schemas.microsoft.com/office/drawing/2014/main" id="{00000000-0008-0000-0B00-00006D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6350" t="42700" r="40451" b="43145"/>
        <a:stretch/>
      </xdr:blipFill>
      <xdr:spPr>
        <a:xfrm>
          <a:off x="6563926" y="18569879"/>
          <a:ext cx="880201" cy="1351595"/>
        </a:xfrm>
        <a:prstGeom prst="rect">
          <a:avLst/>
        </a:prstGeom>
      </xdr:spPr>
    </xdr:pic>
    <xdr:clientData/>
  </xdr:twoCellAnchor>
  <xdr:twoCellAnchor editAs="oneCell">
    <xdr:from>
      <xdr:col>39</xdr:col>
      <xdr:colOff>205649</xdr:colOff>
      <xdr:row>109</xdr:row>
      <xdr:rowOff>85736</xdr:rowOff>
    </xdr:from>
    <xdr:to>
      <xdr:col>43</xdr:col>
      <xdr:colOff>214011</xdr:colOff>
      <xdr:row>119</xdr:row>
      <xdr:rowOff>165006</xdr:rowOff>
    </xdr:to>
    <xdr:pic>
      <xdr:nvPicPr>
        <xdr:cNvPr id="110" name="Grafik 109">
          <a:extLst>
            <a:ext uri="{FF2B5EF4-FFF2-40B4-BE49-F238E27FC236}">
              <a16:creationId xmlns:a16="http://schemas.microsoft.com/office/drawing/2014/main" id="{00000000-0008-0000-0B00-00006E000000}"/>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46350" t="40330" r="40451" b="41065"/>
        <a:stretch/>
      </xdr:blipFill>
      <xdr:spPr>
        <a:xfrm>
          <a:off x="9225824" y="18345161"/>
          <a:ext cx="884662" cy="1784245"/>
        </a:xfrm>
        <a:prstGeom prst="rect">
          <a:avLst/>
        </a:prstGeom>
      </xdr:spPr>
    </xdr:pic>
    <xdr:clientData/>
  </xdr:twoCellAnchor>
  <xdr:twoCellAnchor>
    <xdr:from>
      <xdr:col>33</xdr:col>
      <xdr:colOff>155863</xdr:colOff>
      <xdr:row>110</xdr:row>
      <xdr:rowOff>20315</xdr:rowOff>
    </xdr:from>
    <xdr:to>
      <xdr:col>38</xdr:col>
      <xdr:colOff>155863</xdr:colOff>
      <xdr:row>111</xdr:row>
      <xdr:rowOff>11907</xdr:rowOff>
    </xdr:to>
    <xdr:sp macro="" textlink="">
      <xdr:nvSpPr>
        <xdr:cNvPr id="111" name="Rechteck 110">
          <a:extLst>
            <a:ext uri="{FF2B5EF4-FFF2-40B4-BE49-F238E27FC236}">
              <a16:creationId xmlns:a16="http://schemas.microsoft.com/office/drawing/2014/main" id="{00000000-0008-0000-0B00-00006F000000}"/>
            </a:ext>
          </a:extLst>
        </xdr:cNvPr>
        <xdr:cNvSpPr/>
      </xdr:nvSpPr>
      <xdr:spPr>
        <a:xfrm>
          <a:off x="7861588" y="18470240"/>
          <a:ext cx="1095375" cy="153517"/>
        </a:xfrm>
        <a:prstGeom prst="rect">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27</xdr:col>
      <xdr:colOff>46308</xdr:colOff>
      <xdr:row>121</xdr:row>
      <xdr:rowOff>100856</xdr:rowOff>
    </xdr:from>
    <xdr:to>
      <xdr:col>45</xdr:col>
      <xdr:colOff>168087</xdr:colOff>
      <xdr:row>134</xdr:row>
      <xdr:rowOff>179295</xdr:rowOff>
    </xdr:to>
    <xdr:pic>
      <xdr:nvPicPr>
        <xdr:cNvPr id="112" name="Grafik 111">
          <a:extLst>
            <a:ext uri="{FF2B5EF4-FFF2-40B4-BE49-F238E27FC236}">
              <a16:creationId xmlns:a16="http://schemas.microsoft.com/office/drawing/2014/main" id="{00000000-0008-0000-0B00-000070000000}"/>
            </a:ext>
          </a:extLst>
        </xdr:cNvPr>
        <xdr:cNvPicPr>
          <a:picLocks noChangeAspect="1"/>
        </xdr:cNvPicPr>
      </xdr:nvPicPr>
      <xdr:blipFill rotWithShape="1">
        <a:blip xmlns:r="http://schemas.openxmlformats.org/officeDocument/2006/relationships" r:embed="rId29" cstate="print">
          <a:duotone>
            <a:prstClr val="black"/>
            <a:schemeClr val="accent3">
              <a:tint val="45000"/>
              <a:satMod val="400000"/>
            </a:schemeClr>
          </a:duotone>
          <a:extLst>
            <a:ext uri="{BEBA8EAE-BF5A-486C-A8C5-ECC9F3942E4B}">
              <a14:imgProps xmlns:a14="http://schemas.microsoft.com/office/drawing/2010/main">
                <a14:imgLayer r:embed="rId30">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6437583" y="20408156"/>
          <a:ext cx="3941304" cy="2183464"/>
        </a:xfrm>
        <a:prstGeom prst="rect">
          <a:avLst/>
        </a:prstGeom>
      </xdr:spPr>
    </xdr:pic>
    <xdr:clientData/>
  </xdr:twoCellAnchor>
  <xdr:twoCellAnchor editAs="oneCell">
    <xdr:from>
      <xdr:col>33</xdr:col>
      <xdr:colOff>4186</xdr:colOff>
      <xdr:row>110</xdr:row>
      <xdr:rowOff>22222</xdr:rowOff>
    </xdr:from>
    <xdr:to>
      <xdr:col>39</xdr:col>
      <xdr:colOff>22238</xdr:colOff>
      <xdr:row>119</xdr:row>
      <xdr:rowOff>116522</xdr:rowOff>
    </xdr:to>
    <xdr:pic>
      <xdr:nvPicPr>
        <xdr:cNvPr id="113" name="Grafik 112">
          <a:extLst>
            <a:ext uri="{FF2B5EF4-FFF2-40B4-BE49-F238E27FC236}">
              <a16:creationId xmlns:a16="http://schemas.microsoft.com/office/drawing/2014/main" id="{00000000-0008-0000-0B00-000071000000}"/>
            </a:ext>
          </a:extLst>
        </xdr:cNvPr>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val="0"/>
            </a:ext>
          </a:extLst>
        </a:blip>
        <a:srcRect l="63390" t="41256" r="16917" b="41369"/>
        <a:stretch/>
      </xdr:blipFill>
      <xdr:spPr>
        <a:xfrm>
          <a:off x="7709911" y="18472147"/>
          <a:ext cx="1332502" cy="1608775"/>
        </a:xfrm>
        <a:prstGeom prst="rect">
          <a:avLst/>
        </a:prstGeom>
      </xdr:spPr>
    </xdr:pic>
    <xdr:clientData/>
  </xdr:twoCellAnchor>
  <xdr:twoCellAnchor>
    <xdr:from>
      <xdr:col>17</xdr:col>
      <xdr:colOff>145677</xdr:colOff>
      <xdr:row>90</xdr:row>
      <xdr:rowOff>0</xdr:rowOff>
    </xdr:from>
    <xdr:to>
      <xdr:col>19</xdr:col>
      <xdr:colOff>56030</xdr:colOff>
      <xdr:row>92</xdr:row>
      <xdr:rowOff>145677</xdr:rowOff>
    </xdr:to>
    <xdr:sp macro="" textlink="">
      <xdr:nvSpPr>
        <xdr:cNvPr id="114" name="Rechteck 113">
          <a:extLst>
            <a:ext uri="{FF2B5EF4-FFF2-40B4-BE49-F238E27FC236}">
              <a16:creationId xmlns:a16="http://schemas.microsoft.com/office/drawing/2014/main" id="{00000000-0008-0000-0B00-000072000000}"/>
            </a:ext>
          </a:extLst>
        </xdr:cNvPr>
        <xdr:cNvSpPr/>
      </xdr:nvSpPr>
      <xdr:spPr>
        <a:xfrm>
          <a:off x="4346202" y="14868525"/>
          <a:ext cx="348503" cy="46952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52</xdr:col>
      <xdr:colOff>81803</xdr:colOff>
      <xdr:row>24</xdr:row>
      <xdr:rowOff>9930</xdr:rowOff>
    </xdr:from>
    <xdr:to>
      <xdr:col>52</xdr:col>
      <xdr:colOff>535195</xdr:colOff>
      <xdr:row>25</xdr:row>
      <xdr:rowOff>111344</xdr:rowOff>
    </xdr:to>
    <xdr:sp macro="" textlink="">
      <xdr:nvSpPr>
        <xdr:cNvPr id="115" name="Pfeil nach rechts 16">
          <a:hlinkClick xmlns:r="http://schemas.openxmlformats.org/officeDocument/2006/relationships" r:id="rId32"/>
          <a:extLst>
            <a:ext uri="{FF2B5EF4-FFF2-40B4-BE49-F238E27FC236}">
              <a16:creationId xmlns:a16="http://schemas.microsoft.com/office/drawing/2014/main" id="{00000000-0008-0000-0B00-000073000000}"/>
            </a:ext>
          </a:extLst>
        </xdr:cNvPr>
        <xdr:cNvSpPr/>
      </xdr:nvSpPr>
      <xdr:spPr>
        <a:xfrm>
          <a:off x="14883653" y="4286655"/>
          <a:ext cx="453392" cy="225239"/>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e-CH" sz="1100"/>
        </a:p>
      </xdr:txBody>
    </xdr:sp>
    <xdr:clientData/>
  </xdr:twoCellAnchor>
  <mc:AlternateContent xmlns:mc="http://schemas.openxmlformats.org/markup-compatibility/2006">
    <mc:Choice xmlns:a14="http://schemas.microsoft.com/office/drawing/2010/main" Requires="a14">
      <xdr:twoCellAnchor editAs="oneCell">
        <xdr:from>
          <xdr:col>39</xdr:col>
          <xdr:colOff>0</xdr:colOff>
          <xdr:row>33</xdr:row>
          <xdr:rowOff>152400</xdr:rowOff>
        </xdr:from>
        <xdr:to>
          <xdr:col>40</xdr:col>
          <xdr:colOff>0</xdr:colOff>
          <xdr:row>35</xdr:row>
          <xdr:rowOff>0</xdr:rowOff>
        </xdr:to>
        <xdr:sp macro="" textlink="">
          <xdr:nvSpPr>
            <xdr:cNvPr id="15412" name="Check Box 52" hidden="1">
              <a:extLst>
                <a:ext uri="{63B3BB69-23CF-44E3-9099-C40C66FF867C}">
                  <a14:compatExt spid="_x0000_s15412"/>
                </a:ext>
                <a:ext uri="{FF2B5EF4-FFF2-40B4-BE49-F238E27FC236}">
                  <a16:creationId xmlns:a16="http://schemas.microsoft.com/office/drawing/2014/main" id="{00000000-0008-0000-0B00-000034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34</xdr:row>
          <xdr:rowOff>142875</xdr:rowOff>
        </xdr:from>
        <xdr:to>
          <xdr:col>40</xdr:col>
          <xdr:colOff>0</xdr:colOff>
          <xdr:row>36</xdr:row>
          <xdr:rowOff>0</xdr:rowOff>
        </xdr:to>
        <xdr:sp macro="" textlink="">
          <xdr:nvSpPr>
            <xdr:cNvPr id="15413" name="Check Box 53" hidden="1">
              <a:extLst>
                <a:ext uri="{63B3BB69-23CF-44E3-9099-C40C66FF867C}">
                  <a14:compatExt spid="_x0000_s15413"/>
                </a:ext>
                <a:ext uri="{FF2B5EF4-FFF2-40B4-BE49-F238E27FC236}">
                  <a16:creationId xmlns:a16="http://schemas.microsoft.com/office/drawing/2014/main" id="{00000000-0008-0000-0B00-000035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35</xdr:row>
          <xdr:rowOff>142875</xdr:rowOff>
        </xdr:from>
        <xdr:to>
          <xdr:col>40</xdr:col>
          <xdr:colOff>0</xdr:colOff>
          <xdr:row>37</xdr:row>
          <xdr:rowOff>0</xdr:rowOff>
        </xdr:to>
        <xdr:sp macro="" textlink="">
          <xdr:nvSpPr>
            <xdr:cNvPr id="15414" name="Check Box 54" hidden="1">
              <a:extLst>
                <a:ext uri="{63B3BB69-23CF-44E3-9099-C40C66FF867C}">
                  <a14:compatExt spid="_x0000_s15414"/>
                </a:ext>
                <a:ext uri="{FF2B5EF4-FFF2-40B4-BE49-F238E27FC236}">
                  <a16:creationId xmlns:a16="http://schemas.microsoft.com/office/drawing/2014/main" id="{00000000-0008-0000-0B00-000036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30</xdr:col>
          <xdr:colOff>0</xdr:colOff>
          <xdr:row>38</xdr:row>
          <xdr:rowOff>142875</xdr:rowOff>
        </xdr:from>
        <xdr:to>
          <xdr:col>31</xdr:col>
          <xdr:colOff>0</xdr:colOff>
          <xdr:row>40</xdr:row>
          <xdr:rowOff>0</xdr:rowOff>
        </xdr:to>
        <xdr:sp macro="" textlink="">
          <xdr:nvSpPr>
            <xdr:cNvPr id="15415" name="Check Box 55" hidden="1">
              <a:extLst>
                <a:ext uri="{63B3BB69-23CF-44E3-9099-C40C66FF867C}">
                  <a14:compatExt spid="_x0000_s15415"/>
                </a:ext>
                <a:ext uri="{FF2B5EF4-FFF2-40B4-BE49-F238E27FC236}">
                  <a16:creationId xmlns:a16="http://schemas.microsoft.com/office/drawing/2014/main" id="{00000000-0008-0000-0B00-000037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49</xdr:col>
      <xdr:colOff>49695</xdr:colOff>
      <xdr:row>75</xdr:row>
      <xdr:rowOff>34374</xdr:rowOff>
    </xdr:from>
    <xdr:to>
      <xdr:col>49</xdr:col>
      <xdr:colOff>749316</xdr:colOff>
      <xdr:row>79</xdr:row>
      <xdr:rowOff>132523</xdr:rowOff>
    </xdr:to>
    <xdr:pic>
      <xdr:nvPicPr>
        <xdr:cNvPr id="120" name="Grafik 119">
          <a:extLst>
            <a:ext uri="{FF2B5EF4-FFF2-40B4-BE49-F238E27FC236}">
              <a16:creationId xmlns:a16="http://schemas.microsoft.com/office/drawing/2014/main" id="{00000000-0008-0000-0B00-000078000000}"/>
            </a:ext>
          </a:extLst>
        </xdr:cNvPr>
        <xdr:cNvPicPr>
          <a:picLocks noChangeAspect="1"/>
        </xdr:cNvPicPr>
      </xdr:nvPicPr>
      <xdr:blipFill rotWithShape="1">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Layer>
              </a14:imgProps>
            </a:ext>
          </a:extLst>
        </a:blip>
        <a:srcRect l="51024"/>
        <a:stretch/>
      </xdr:blipFill>
      <xdr:spPr>
        <a:xfrm>
          <a:off x="12060720" y="12483549"/>
          <a:ext cx="699621" cy="745849"/>
        </a:xfrm>
        <a:prstGeom prst="rect">
          <a:avLst/>
        </a:prstGeom>
        <a:ln>
          <a:noFill/>
        </a:ln>
      </xdr:spPr>
    </xdr:pic>
    <xdr:clientData/>
  </xdr:twoCellAnchor>
  <xdr:twoCellAnchor editAs="oneCell">
    <xdr:from>
      <xdr:col>48</xdr:col>
      <xdr:colOff>44726</xdr:colOff>
      <xdr:row>75</xdr:row>
      <xdr:rowOff>21121</xdr:rowOff>
    </xdr:from>
    <xdr:to>
      <xdr:col>48</xdr:col>
      <xdr:colOff>728870</xdr:colOff>
      <xdr:row>79</xdr:row>
      <xdr:rowOff>119270</xdr:rowOff>
    </xdr:to>
    <xdr:pic>
      <xdr:nvPicPr>
        <xdr:cNvPr id="121" name="Grafik 120">
          <a:extLst>
            <a:ext uri="{FF2B5EF4-FFF2-40B4-BE49-F238E27FC236}">
              <a16:creationId xmlns:a16="http://schemas.microsoft.com/office/drawing/2014/main" id="{00000000-0008-0000-0B00-000079000000}"/>
            </a:ext>
          </a:extLst>
        </xdr:cNvPr>
        <xdr:cNvPicPr>
          <a:picLocks noChangeAspect="1"/>
        </xdr:cNvPicPr>
      </xdr:nvPicPr>
      <xdr:blipFill rotWithShape="1">
        <a:blip xmlns:r="http://schemas.openxmlformats.org/officeDocument/2006/relationships" r:embed="rId33">
          <a:duotone>
            <a:prstClr val="black"/>
            <a:schemeClr val="accent3">
              <a:tint val="45000"/>
              <a:satMod val="400000"/>
            </a:schemeClr>
          </a:duotone>
          <a:extLst>
            <a:ext uri="{BEBA8EAE-BF5A-486C-A8C5-ECC9F3942E4B}">
              <a14:imgProps xmlns:a14="http://schemas.microsoft.com/office/drawing/2010/main">
                <a14:imgLayer r:embed="rId34">
                  <a14:imgEffect>
                    <a14:colorTemperature colorTemp="11500"/>
                  </a14:imgEffect>
                </a14:imgLayer>
              </a14:imgProps>
            </a:ext>
          </a:extLst>
        </a:blip>
        <a:srcRect r="52107"/>
        <a:stretch/>
      </xdr:blipFill>
      <xdr:spPr>
        <a:xfrm>
          <a:off x="11293751" y="12470296"/>
          <a:ext cx="684144" cy="745849"/>
        </a:xfrm>
        <a:prstGeom prst="rect">
          <a:avLst/>
        </a:prstGeom>
        <a:ln>
          <a:noFill/>
        </a:ln>
      </xdr:spPr>
    </xdr:pic>
    <xdr:clientData/>
  </xdr:twoCellAnchor>
  <xdr:twoCellAnchor editAs="oneCell">
    <xdr:from>
      <xdr:col>4</xdr:col>
      <xdr:colOff>173820</xdr:colOff>
      <xdr:row>61</xdr:row>
      <xdr:rowOff>147667</xdr:rowOff>
    </xdr:from>
    <xdr:to>
      <xdr:col>7</xdr:col>
      <xdr:colOff>165065</xdr:colOff>
      <xdr:row>68</xdr:row>
      <xdr:rowOff>142671</xdr:rowOff>
    </xdr:to>
    <xdr:pic>
      <xdr:nvPicPr>
        <xdr:cNvPr id="122" name="Grafik 121">
          <a:extLst>
            <a:ext uri="{FF2B5EF4-FFF2-40B4-BE49-F238E27FC236}">
              <a16:creationId xmlns:a16="http://schemas.microsoft.com/office/drawing/2014/main" id="{00000000-0008-0000-0B00-00007A000000}"/>
            </a:ext>
          </a:extLst>
        </xdr:cNvPr>
        <xdr:cNvPicPr>
          <a:picLocks noChangeAspect="1"/>
        </xdr:cNvPicPr>
      </xdr:nvPicPr>
      <xdr:blipFill>
        <a:blip xmlns:r="http://schemas.openxmlformats.org/officeDocument/2006/relationships" r:embed="rId35">
          <a:duotone>
            <a:prstClr val="black"/>
            <a:schemeClr val="accent3">
              <a:tint val="45000"/>
              <a:satMod val="400000"/>
            </a:schemeClr>
          </a:duotone>
          <a:extLst>
            <a:ext uri="{BEBA8EAE-BF5A-486C-A8C5-ECC9F3942E4B}">
              <a14:imgProps xmlns:a14="http://schemas.microsoft.com/office/drawing/2010/main">
                <a14:imgLayer r:embed="rId36">
                  <a14:imgEffect>
                    <a14:colorTemperature colorTemp="11500"/>
                  </a14:imgEffect>
                  <a14:imgEffect>
                    <a14:saturation sat="400000"/>
                  </a14:imgEffect>
                </a14:imgLayer>
              </a14:imgProps>
            </a:ext>
          </a:extLst>
        </a:blip>
        <a:stretch>
          <a:fillRect/>
        </a:stretch>
      </xdr:blipFill>
      <xdr:spPr>
        <a:xfrm>
          <a:off x="1526370" y="10329892"/>
          <a:ext cx="648470" cy="1128479"/>
        </a:xfrm>
        <a:prstGeom prst="rect">
          <a:avLst/>
        </a:prstGeom>
      </xdr:spPr>
    </xdr:pic>
    <xdr:clientData/>
  </xdr:twoCellAnchor>
  <xdr:twoCellAnchor editAs="oneCell">
    <xdr:from>
      <xdr:col>23</xdr:col>
      <xdr:colOff>29211</xdr:colOff>
      <xdr:row>61</xdr:row>
      <xdr:rowOff>72420</xdr:rowOff>
    </xdr:from>
    <xdr:to>
      <xdr:col>25</xdr:col>
      <xdr:colOff>177961</xdr:colOff>
      <xdr:row>69</xdr:row>
      <xdr:rowOff>87088</xdr:rowOff>
    </xdr:to>
    <xdr:pic>
      <xdr:nvPicPr>
        <xdr:cNvPr id="123" name="Grafik 122">
          <a:extLst>
            <a:ext uri="{FF2B5EF4-FFF2-40B4-BE49-F238E27FC236}">
              <a16:creationId xmlns:a16="http://schemas.microsoft.com/office/drawing/2014/main" id="{00000000-0008-0000-0B00-00007B000000}"/>
            </a:ext>
          </a:extLst>
        </xdr:cNvPr>
        <xdr:cNvPicPr>
          <a:picLocks noChangeAspect="1"/>
        </xdr:cNvPicPr>
      </xdr:nvPicPr>
      <xdr:blipFill>
        <a:blip xmlns:r="http://schemas.openxmlformats.org/officeDocument/2006/relationships" r:embed="rId37">
          <a:duotone>
            <a:prstClr val="black"/>
            <a:schemeClr val="accent3">
              <a:tint val="45000"/>
              <a:satMod val="400000"/>
            </a:schemeClr>
          </a:duotone>
          <a:extLst>
            <a:ext uri="{BEBA8EAE-BF5A-486C-A8C5-ECC9F3942E4B}">
              <a14:imgProps xmlns:a14="http://schemas.microsoft.com/office/drawing/2010/main">
                <a14:imgLayer r:embed="rId38">
                  <a14:imgEffect>
                    <a14:colorTemperature colorTemp="11500"/>
                  </a14:imgEffect>
                  <a14:imgEffect>
                    <a14:saturation sat="400000"/>
                  </a14:imgEffect>
                </a14:imgLayer>
              </a14:imgProps>
            </a:ext>
          </a:extLst>
        </a:blip>
        <a:stretch>
          <a:fillRect/>
        </a:stretch>
      </xdr:blipFill>
      <xdr:spPr>
        <a:xfrm>
          <a:off x="5544186" y="10254645"/>
          <a:ext cx="586900" cy="1310068"/>
        </a:xfrm>
        <a:prstGeom prst="rect">
          <a:avLst/>
        </a:prstGeom>
      </xdr:spPr>
    </xdr:pic>
    <xdr:clientData/>
  </xdr:twoCellAnchor>
  <xdr:twoCellAnchor editAs="oneCell">
    <xdr:from>
      <xdr:col>16</xdr:col>
      <xdr:colOff>132163</xdr:colOff>
      <xdr:row>61</xdr:row>
      <xdr:rowOff>27451</xdr:rowOff>
    </xdr:from>
    <xdr:to>
      <xdr:col>21</xdr:col>
      <xdr:colOff>53892</xdr:colOff>
      <xdr:row>69</xdr:row>
      <xdr:rowOff>141283</xdr:rowOff>
    </xdr:to>
    <xdr:pic>
      <xdr:nvPicPr>
        <xdr:cNvPr id="124" name="Grafik 123">
          <a:extLst>
            <a:ext uri="{FF2B5EF4-FFF2-40B4-BE49-F238E27FC236}">
              <a16:creationId xmlns:a16="http://schemas.microsoft.com/office/drawing/2014/main" id="{00000000-0008-0000-0B00-00007C000000}"/>
            </a:ext>
          </a:extLst>
        </xdr:cNvPr>
        <xdr:cNvPicPr>
          <a:picLocks noChangeAspect="1"/>
        </xdr:cNvPicPr>
      </xdr:nvPicPr>
      <xdr:blipFill>
        <a:blip xmlns:r="http://schemas.openxmlformats.org/officeDocument/2006/relationships" r:embed="rId39">
          <a:duotone>
            <a:prstClr val="black"/>
            <a:schemeClr val="accent3">
              <a:tint val="45000"/>
              <a:satMod val="400000"/>
            </a:schemeClr>
          </a:duotone>
          <a:extLst>
            <a:ext uri="{BEBA8EAE-BF5A-486C-A8C5-ECC9F3942E4B}">
              <a14:imgProps xmlns:a14="http://schemas.microsoft.com/office/drawing/2010/main">
                <a14:imgLayer r:embed="rId40">
                  <a14:imgEffect>
                    <a14:colorTemperature colorTemp="11500"/>
                  </a14:imgEffect>
                  <a14:imgEffect>
                    <a14:saturation sat="400000"/>
                  </a14:imgEffect>
                </a14:imgLayer>
              </a14:imgProps>
            </a:ext>
          </a:extLst>
        </a:blip>
        <a:stretch>
          <a:fillRect/>
        </a:stretch>
      </xdr:blipFill>
      <xdr:spPr>
        <a:xfrm>
          <a:off x="4113613" y="10209676"/>
          <a:ext cx="1017104" cy="1409232"/>
        </a:xfrm>
        <a:prstGeom prst="rect">
          <a:avLst/>
        </a:prstGeom>
      </xdr:spPr>
    </xdr:pic>
    <xdr:clientData/>
  </xdr:twoCellAnchor>
  <xdr:twoCellAnchor>
    <xdr:from>
      <xdr:col>6</xdr:col>
      <xdr:colOff>195521</xdr:colOff>
      <xdr:row>65</xdr:row>
      <xdr:rowOff>122301</xdr:rowOff>
    </xdr:from>
    <xdr:to>
      <xdr:col>8</xdr:col>
      <xdr:colOff>32656</xdr:colOff>
      <xdr:row>68</xdr:row>
      <xdr:rowOff>103413</xdr:rowOff>
    </xdr:to>
    <xdr:sp macro="" textlink="">
      <xdr:nvSpPr>
        <xdr:cNvPr id="125" name="Rechteck 124">
          <a:extLst>
            <a:ext uri="{FF2B5EF4-FFF2-40B4-BE49-F238E27FC236}">
              <a16:creationId xmlns:a16="http://schemas.microsoft.com/office/drawing/2014/main" id="{00000000-0008-0000-0B00-00007D000000}"/>
            </a:ext>
          </a:extLst>
        </xdr:cNvPr>
        <xdr:cNvSpPr/>
      </xdr:nvSpPr>
      <xdr:spPr>
        <a:xfrm>
          <a:off x="1986221" y="10952226"/>
          <a:ext cx="275285"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18</xdr:col>
      <xdr:colOff>122043</xdr:colOff>
      <xdr:row>66</xdr:row>
      <xdr:rowOff>35215</xdr:rowOff>
    </xdr:from>
    <xdr:to>
      <xdr:col>21</xdr:col>
      <xdr:colOff>111579</xdr:colOff>
      <xdr:row>67</xdr:row>
      <xdr:rowOff>27214</xdr:rowOff>
    </xdr:to>
    <xdr:sp macro="" textlink="">
      <xdr:nvSpPr>
        <xdr:cNvPr id="126" name="Rechteck 125">
          <a:extLst>
            <a:ext uri="{FF2B5EF4-FFF2-40B4-BE49-F238E27FC236}">
              <a16:creationId xmlns:a16="http://schemas.microsoft.com/office/drawing/2014/main" id="{00000000-0008-0000-0B00-00007E000000}"/>
            </a:ext>
          </a:extLst>
        </xdr:cNvPr>
        <xdr:cNvSpPr/>
      </xdr:nvSpPr>
      <xdr:spPr>
        <a:xfrm>
          <a:off x="4541643" y="11027065"/>
          <a:ext cx="646761" cy="153924"/>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3</xdr:col>
      <xdr:colOff>14654</xdr:colOff>
      <xdr:row>62</xdr:row>
      <xdr:rowOff>43962</xdr:rowOff>
    </xdr:from>
    <xdr:to>
      <xdr:col>5</xdr:col>
      <xdr:colOff>22210</xdr:colOff>
      <xdr:row>63</xdr:row>
      <xdr:rowOff>131884</xdr:rowOff>
    </xdr:to>
    <xdr:pic>
      <xdr:nvPicPr>
        <xdr:cNvPr id="127" name="Grafik 126">
          <a:extLst>
            <a:ext uri="{FF2B5EF4-FFF2-40B4-BE49-F238E27FC236}">
              <a16:creationId xmlns:a16="http://schemas.microsoft.com/office/drawing/2014/main" id="{00000000-0008-0000-0B00-00007F000000}"/>
            </a:ext>
          </a:extLst>
        </xdr:cNvPr>
        <xdr:cNvPicPr>
          <a:picLocks noChangeAspect="1"/>
        </xdr:cNvPicPr>
      </xdr:nvPicPr>
      <xdr:blipFill>
        <a:blip xmlns:r="http://schemas.openxmlformats.org/officeDocument/2006/relationships" r:embed="rId41">
          <a:duotone>
            <a:prstClr val="black"/>
            <a:schemeClr val="accent3">
              <a:tint val="45000"/>
              <a:satMod val="400000"/>
            </a:schemeClr>
          </a:duotone>
          <a:extLst>
            <a:ext uri="{BEBA8EAE-BF5A-486C-A8C5-ECC9F3942E4B}">
              <a14:imgProps xmlns:a14="http://schemas.microsoft.com/office/drawing/2010/main">
                <a14:imgLayer r:embed="rId42">
                  <a14:imgEffect>
                    <a14:colorTemperature colorTemp="11500"/>
                  </a14:imgEffect>
                  <a14:imgEffect>
                    <a14:saturation sat="400000"/>
                  </a14:imgEffect>
                </a14:imgLayer>
              </a14:imgProps>
            </a:ext>
          </a:extLst>
        </a:blip>
        <a:stretch>
          <a:fillRect/>
        </a:stretch>
      </xdr:blipFill>
      <xdr:spPr>
        <a:xfrm>
          <a:off x="1281479" y="10388112"/>
          <a:ext cx="312356" cy="249847"/>
        </a:xfrm>
        <a:prstGeom prst="rect">
          <a:avLst/>
        </a:prstGeom>
      </xdr:spPr>
    </xdr:pic>
    <xdr:clientData/>
  </xdr:twoCellAnchor>
  <xdr:twoCellAnchor editAs="oneCell">
    <xdr:from>
      <xdr:col>6</xdr:col>
      <xdr:colOff>51449</xdr:colOff>
      <xdr:row>73</xdr:row>
      <xdr:rowOff>14420</xdr:rowOff>
    </xdr:from>
    <xdr:to>
      <xdr:col>10</xdr:col>
      <xdr:colOff>140036</xdr:colOff>
      <xdr:row>81</xdr:row>
      <xdr:rowOff>119751</xdr:rowOff>
    </xdr:to>
    <xdr:pic>
      <xdr:nvPicPr>
        <xdr:cNvPr id="128" name="Grafik 127">
          <a:extLst>
            <a:ext uri="{FF2B5EF4-FFF2-40B4-BE49-F238E27FC236}">
              <a16:creationId xmlns:a16="http://schemas.microsoft.com/office/drawing/2014/main" id="{00000000-0008-0000-0B00-000080000000}"/>
            </a:ext>
          </a:extLst>
        </xdr:cNvPr>
        <xdr:cNvPicPr>
          <a:picLocks noChangeAspect="1"/>
        </xdr:cNvPicPr>
      </xdr:nvPicPr>
      <xdr:blipFill>
        <a:blip xmlns:r="http://schemas.openxmlformats.org/officeDocument/2006/relationships" r:embed="rId43">
          <a:duotone>
            <a:prstClr val="black"/>
            <a:schemeClr val="accent3">
              <a:tint val="45000"/>
              <a:satMod val="400000"/>
            </a:schemeClr>
          </a:duotone>
          <a:extLst>
            <a:ext uri="{BEBA8EAE-BF5A-486C-A8C5-ECC9F3942E4B}">
              <a14:imgProps xmlns:a14="http://schemas.microsoft.com/office/drawing/2010/main">
                <a14:imgLayer r:embed="rId44">
                  <a14:imgEffect>
                    <a14:colorTemperature colorTemp="11500"/>
                  </a14:imgEffect>
                  <a14:imgEffect>
                    <a14:saturation sat="400000"/>
                  </a14:imgEffect>
                </a14:imgLayer>
              </a14:imgProps>
            </a:ext>
          </a:extLst>
        </a:blip>
        <a:stretch>
          <a:fillRect/>
        </a:stretch>
      </xdr:blipFill>
      <xdr:spPr>
        <a:xfrm>
          <a:off x="1842149" y="12139745"/>
          <a:ext cx="964887" cy="1391206"/>
        </a:xfrm>
        <a:prstGeom prst="rect">
          <a:avLst/>
        </a:prstGeom>
      </xdr:spPr>
    </xdr:pic>
    <xdr:clientData/>
  </xdr:twoCellAnchor>
  <xdr:twoCellAnchor editAs="oneCell">
    <xdr:from>
      <xdr:col>5</xdr:col>
      <xdr:colOff>199197</xdr:colOff>
      <xdr:row>87</xdr:row>
      <xdr:rowOff>94338</xdr:rowOff>
    </xdr:from>
    <xdr:to>
      <xdr:col>11</xdr:col>
      <xdr:colOff>132531</xdr:colOff>
      <xdr:row>93</xdr:row>
      <xdr:rowOff>53576</xdr:rowOff>
    </xdr:to>
    <xdr:pic>
      <xdr:nvPicPr>
        <xdr:cNvPr id="129" name="Grafik 128">
          <a:extLst>
            <a:ext uri="{FF2B5EF4-FFF2-40B4-BE49-F238E27FC236}">
              <a16:creationId xmlns:a16="http://schemas.microsoft.com/office/drawing/2014/main" id="{00000000-0008-0000-0B00-000081000000}"/>
            </a:ext>
          </a:extLst>
        </xdr:cNvPr>
        <xdr:cNvPicPr>
          <a:picLocks noChangeAspect="1"/>
        </xdr:cNvPicPr>
      </xdr:nvPicPr>
      <xdr:blipFill rotWithShape="1">
        <a:blip xmlns:r="http://schemas.openxmlformats.org/officeDocument/2006/relationships" r:embed="rId45">
          <a:duotone>
            <a:prstClr val="black"/>
            <a:schemeClr val="accent3">
              <a:tint val="45000"/>
              <a:satMod val="400000"/>
            </a:schemeClr>
          </a:duotone>
          <a:extLst>
            <a:ext uri="{BEBA8EAE-BF5A-486C-A8C5-ECC9F3942E4B}">
              <a14:imgProps xmlns:a14="http://schemas.microsoft.com/office/drawing/2010/main">
                <a14:imgLayer r:embed="rId46">
                  <a14:imgEffect>
                    <a14:colorTemperature colorTemp="11500"/>
                  </a14:imgEffect>
                  <a14:imgEffect>
                    <a14:saturation sat="400000"/>
                  </a14:imgEffect>
                </a14:imgLayer>
              </a14:imgProps>
            </a:ext>
          </a:extLst>
        </a:blip>
        <a:srcRect r="1820"/>
        <a:stretch/>
      </xdr:blipFill>
      <xdr:spPr>
        <a:xfrm>
          <a:off x="1770822" y="14477088"/>
          <a:ext cx="1247784" cy="930788"/>
        </a:xfrm>
        <a:prstGeom prst="rect">
          <a:avLst/>
        </a:prstGeom>
      </xdr:spPr>
    </xdr:pic>
    <xdr:clientData/>
  </xdr:twoCellAnchor>
  <xdr:twoCellAnchor editAs="oneCell">
    <xdr:from>
      <xdr:col>20</xdr:col>
      <xdr:colOff>178594</xdr:colOff>
      <xdr:row>85</xdr:row>
      <xdr:rowOff>29766</xdr:rowOff>
    </xdr:from>
    <xdr:to>
      <xdr:col>24</xdr:col>
      <xdr:colOff>186691</xdr:colOff>
      <xdr:row>88</xdr:row>
      <xdr:rowOff>154783</xdr:rowOff>
    </xdr:to>
    <xdr:pic>
      <xdr:nvPicPr>
        <xdr:cNvPr id="130" name="Grafik 129">
          <a:extLst>
            <a:ext uri="{FF2B5EF4-FFF2-40B4-BE49-F238E27FC236}">
              <a16:creationId xmlns:a16="http://schemas.microsoft.com/office/drawing/2014/main" id="{00000000-0008-0000-0B00-000082000000}"/>
            </a:ext>
          </a:extLst>
        </xdr:cNvPr>
        <xdr:cNvPicPr>
          <a:picLocks noChangeAspect="1"/>
        </xdr:cNvPicPr>
      </xdr:nvPicPr>
      <xdr:blipFill rotWithShape="1">
        <a:blip xmlns:r="http://schemas.openxmlformats.org/officeDocument/2006/relationships" r:embed="rId47">
          <a:duotone>
            <a:prstClr val="black"/>
            <a:schemeClr val="accent3">
              <a:tint val="45000"/>
              <a:satMod val="400000"/>
            </a:schemeClr>
          </a:duotone>
          <a:extLst>
            <a:ext uri="{BEBA8EAE-BF5A-486C-A8C5-ECC9F3942E4B}">
              <a14:imgProps xmlns:a14="http://schemas.microsoft.com/office/drawing/2010/main">
                <a14:imgLayer r:embed="rId48">
                  <a14:imgEffect>
                    <a14:colorTemperature colorTemp="11500"/>
                  </a14:imgEffect>
                  <a14:imgEffect>
                    <a14:saturation sat="400000"/>
                  </a14:imgEffect>
                </a14:imgLayer>
              </a14:imgProps>
            </a:ext>
          </a:extLst>
        </a:blip>
        <a:srcRect t="6513" b="3729"/>
        <a:stretch/>
      </xdr:blipFill>
      <xdr:spPr>
        <a:xfrm>
          <a:off x="5036344" y="14088666"/>
          <a:ext cx="884397" cy="610792"/>
        </a:xfrm>
        <a:prstGeom prst="rect">
          <a:avLst/>
        </a:prstGeom>
      </xdr:spPr>
    </xdr:pic>
    <xdr:clientData/>
  </xdr:twoCellAnchor>
  <xdr:twoCellAnchor editAs="oneCell">
    <xdr:from>
      <xdr:col>20</xdr:col>
      <xdr:colOff>203519</xdr:colOff>
      <xdr:row>90</xdr:row>
      <xdr:rowOff>28578</xdr:rowOff>
    </xdr:from>
    <xdr:to>
      <xdr:col>25</xdr:col>
      <xdr:colOff>9286</xdr:colOff>
      <xdr:row>95</xdr:row>
      <xdr:rowOff>3851</xdr:rowOff>
    </xdr:to>
    <xdr:pic>
      <xdr:nvPicPr>
        <xdr:cNvPr id="131" name="Grafik 130">
          <a:extLst>
            <a:ext uri="{FF2B5EF4-FFF2-40B4-BE49-F238E27FC236}">
              <a16:creationId xmlns:a16="http://schemas.microsoft.com/office/drawing/2014/main" id="{00000000-0008-0000-0B00-000083000000}"/>
            </a:ext>
          </a:extLst>
        </xdr:cNvPr>
        <xdr:cNvPicPr>
          <a:picLocks noChangeAspect="1"/>
        </xdr:cNvPicPr>
      </xdr:nvPicPr>
      <xdr:blipFill>
        <a:blip xmlns:r="http://schemas.openxmlformats.org/officeDocument/2006/relationships" r:embed="rId49">
          <a:duotone>
            <a:prstClr val="black"/>
            <a:schemeClr val="accent3">
              <a:tint val="45000"/>
              <a:satMod val="400000"/>
            </a:schemeClr>
          </a:duotone>
          <a:extLst>
            <a:ext uri="{BEBA8EAE-BF5A-486C-A8C5-ECC9F3942E4B}">
              <a14:imgProps xmlns:a14="http://schemas.microsoft.com/office/drawing/2010/main">
                <a14:imgLayer r:embed="rId50">
                  <a14:imgEffect>
                    <a14:colorTemperature colorTemp="11500"/>
                  </a14:imgEffect>
                  <a14:imgEffect>
                    <a14:saturation sat="400000"/>
                  </a14:imgEffect>
                </a14:imgLayer>
              </a14:imgProps>
            </a:ext>
          </a:extLst>
        </a:blip>
        <a:stretch>
          <a:fillRect/>
        </a:stretch>
      </xdr:blipFill>
      <xdr:spPr>
        <a:xfrm>
          <a:off x="5061269" y="14897103"/>
          <a:ext cx="901142" cy="784898"/>
        </a:xfrm>
        <a:prstGeom prst="rect">
          <a:avLst/>
        </a:prstGeom>
      </xdr:spPr>
    </xdr:pic>
    <xdr:clientData/>
  </xdr:twoCellAnchor>
  <xdr:twoCellAnchor>
    <xdr:from>
      <xdr:col>9</xdr:col>
      <xdr:colOff>92316</xdr:colOff>
      <xdr:row>72</xdr:row>
      <xdr:rowOff>73315</xdr:rowOff>
    </xdr:from>
    <xdr:to>
      <xdr:col>10</xdr:col>
      <xdr:colOff>145072</xdr:colOff>
      <xdr:row>75</xdr:row>
      <xdr:rowOff>54427</xdr:rowOff>
    </xdr:to>
    <xdr:sp macro="" textlink="">
      <xdr:nvSpPr>
        <xdr:cNvPr id="132" name="Rechteck 131">
          <a:extLst>
            <a:ext uri="{FF2B5EF4-FFF2-40B4-BE49-F238E27FC236}">
              <a16:creationId xmlns:a16="http://schemas.microsoft.com/office/drawing/2014/main" id="{00000000-0008-0000-0B00-000084000000}"/>
            </a:ext>
          </a:extLst>
        </xdr:cNvPr>
        <xdr:cNvSpPr/>
      </xdr:nvSpPr>
      <xdr:spPr>
        <a:xfrm>
          <a:off x="2540241" y="12036715"/>
          <a:ext cx="271831"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152400</xdr:colOff>
      <xdr:row>73</xdr:row>
      <xdr:rowOff>54431</xdr:rowOff>
    </xdr:from>
    <xdr:to>
      <xdr:col>5</xdr:col>
      <xdr:colOff>67915</xdr:colOff>
      <xdr:row>74</xdr:row>
      <xdr:rowOff>112663</xdr:rowOff>
    </xdr:to>
    <xdr:pic>
      <xdr:nvPicPr>
        <xdr:cNvPr id="133" name="Grafik 132">
          <a:extLst>
            <a:ext uri="{FF2B5EF4-FFF2-40B4-BE49-F238E27FC236}">
              <a16:creationId xmlns:a16="http://schemas.microsoft.com/office/drawing/2014/main" id="{00000000-0008-0000-0B00-000085000000}"/>
            </a:ext>
          </a:extLst>
        </xdr:cNvPr>
        <xdr:cNvPicPr>
          <a:picLocks noChangeAspect="1"/>
        </xdr:cNvPicPr>
      </xdr:nvPicPr>
      <xdr:blipFill>
        <a:blip xmlns:r="http://schemas.openxmlformats.org/officeDocument/2006/relationships" r:embed="rId51">
          <a:duotone>
            <a:prstClr val="black"/>
            <a:schemeClr val="accent3">
              <a:tint val="45000"/>
              <a:satMod val="400000"/>
            </a:schemeClr>
          </a:duotone>
          <a:extLst>
            <a:ext uri="{BEBA8EAE-BF5A-486C-A8C5-ECC9F3942E4B}">
              <a14:imgProps xmlns:a14="http://schemas.microsoft.com/office/drawing/2010/main">
                <a14:imgLayer r:embed="rId52">
                  <a14:imgEffect>
                    <a14:colorTemperature colorTemp="11500"/>
                  </a14:imgEffect>
                  <a14:imgEffect>
                    <a14:saturation sat="400000"/>
                  </a14:imgEffect>
                </a14:imgLayer>
              </a14:imgProps>
            </a:ext>
          </a:extLst>
        </a:blip>
        <a:stretch>
          <a:fillRect/>
        </a:stretch>
      </xdr:blipFill>
      <xdr:spPr>
        <a:xfrm>
          <a:off x="1228725" y="12179756"/>
          <a:ext cx="410815" cy="220157"/>
        </a:xfrm>
        <a:prstGeom prst="rect">
          <a:avLst/>
        </a:prstGeom>
      </xdr:spPr>
    </xdr:pic>
    <xdr:clientData/>
  </xdr:twoCellAnchor>
  <xdr:twoCellAnchor editAs="oneCell">
    <xdr:from>
      <xdr:col>2</xdr:col>
      <xdr:colOff>152570</xdr:colOff>
      <xdr:row>86</xdr:row>
      <xdr:rowOff>56809</xdr:rowOff>
    </xdr:from>
    <xdr:to>
      <xdr:col>5</xdr:col>
      <xdr:colOff>68085</xdr:colOff>
      <xdr:row>87</xdr:row>
      <xdr:rowOff>115041</xdr:rowOff>
    </xdr:to>
    <xdr:pic>
      <xdr:nvPicPr>
        <xdr:cNvPr id="134" name="Grafik 133">
          <a:extLst>
            <a:ext uri="{FF2B5EF4-FFF2-40B4-BE49-F238E27FC236}">
              <a16:creationId xmlns:a16="http://schemas.microsoft.com/office/drawing/2014/main" id="{00000000-0008-0000-0B00-000086000000}"/>
            </a:ext>
          </a:extLst>
        </xdr:cNvPr>
        <xdr:cNvPicPr>
          <a:picLocks noChangeAspect="1"/>
        </xdr:cNvPicPr>
      </xdr:nvPicPr>
      <xdr:blipFill>
        <a:blip xmlns:r="http://schemas.openxmlformats.org/officeDocument/2006/relationships" r:embed="rId51">
          <a:duotone>
            <a:prstClr val="black"/>
            <a:schemeClr val="accent3">
              <a:tint val="45000"/>
              <a:satMod val="400000"/>
            </a:schemeClr>
          </a:duotone>
          <a:extLst>
            <a:ext uri="{BEBA8EAE-BF5A-486C-A8C5-ECC9F3942E4B}">
              <a14:imgProps xmlns:a14="http://schemas.microsoft.com/office/drawing/2010/main">
                <a14:imgLayer r:embed="rId52">
                  <a14:imgEffect>
                    <a14:colorTemperature colorTemp="11500"/>
                  </a14:imgEffect>
                  <a14:imgEffect>
                    <a14:saturation sat="400000"/>
                  </a14:imgEffect>
                </a14:imgLayer>
              </a14:imgProps>
            </a:ext>
          </a:extLst>
        </a:blip>
        <a:stretch>
          <a:fillRect/>
        </a:stretch>
      </xdr:blipFill>
      <xdr:spPr>
        <a:xfrm>
          <a:off x="1228895" y="14277634"/>
          <a:ext cx="410815" cy="220157"/>
        </a:xfrm>
        <a:prstGeom prst="rect">
          <a:avLst/>
        </a:prstGeom>
      </xdr:spPr>
    </xdr:pic>
    <xdr:clientData/>
  </xdr:twoCellAnchor>
  <xdr:twoCellAnchor editAs="oneCell">
    <xdr:from>
      <xdr:col>12</xdr:col>
      <xdr:colOff>155174</xdr:colOff>
      <xdr:row>85</xdr:row>
      <xdr:rowOff>157162</xdr:rowOff>
    </xdr:from>
    <xdr:to>
      <xdr:col>17</xdr:col>
      <xdr:colOff>191320</xdr:colOff>
      <xdr:row>93</xdr:row>
      <xdr:rowOff>29765</xdr:rowOff>
    </xdr:to>
    <xdr:pic>
      <xdr:nvPicPr>
        <xdr:cNvPr id="135" name="Grafik 134">
          <a:extLst>
            <a:ext uri="{FF2B5EF4-FFF2-40B4-BE49-F238E27FC236}">
              <a16:creationId xmlns:a16="http://schemas.microsoft.com/office/drawing/2014/main" id="{00000000-0008-0000-0B00-000087000000}"/>
            </a:ext>
          </a:extLst>
        </xdr:cNvPr>
        <xdr:cNvPicPr>
          <a:picLocks noChangeAspect="1"/>
        </xdr:cNvPicPr>
      </xdr:nvPicPr>
      <xdr:blipFill>
        <a:blip xmlns:r="http://schemas.openxmlformats.org/officeDocument/2006/relationships" r:embed="rId53">
          <a:duotone>
            <a:prstClr val="black"/>
            <a:schemeClr val="accent3">
              <a:tint val="45000"/>
              <a:satMod val="400000"/>
            </a:schemeClr>
          </a:duotone>
          <a:extLst>
            <a:ext uri="{BEBA8EAE-BF5A-486C-A8C5-ECC9F3942E4B}">
              <a14:imgProps xmlns:a14="http://schemas.microsoft.com/office/drawing/2010/main">
                <a14:imgLayer r:embed="rId54">
                  <a14:imgEffect>
                    <a14:colorTemperature colorTemp="11500"/>
                  </a14:imgEffect>
                  <a14:imgEffect>
                    <a14:saturation sat="400000"/>
                  </a14:imgEffect>
                </a14:imgLayer>
              </a14:imgProps>
            </a:ext>
          </a:extLst>
        </a:blip>
        <a:stretch>
          <a:fillRect/>
        </a:stretch>
      </xdr:blipFill>
      <xdr:spPr>
        <a:xfrm>
          <a:off x="3260324" y="14216062"/>
          <a:ext cx="1131521" cy="1168003"/>
        </a:xfrm>
        <a:prstGeom prst="rect">
          <a:avLst/>
        </a:prstGeom>
      </xdr:spPr>
    </xdr:pic>
    <xdr:clientData/>
  </xdr:twoCellAnchor>
  <xdr:twoCellAnchor>
    <xdr:from>
      <xdr:col>12</xdr:col>
      <xdr:colOff>38057</xdr:colOff>
      <xdr:row>91</xdr:row>
      <xdr:rowOff>115158</xdr:rowOff>
    </xdr:from>
    <xdr:to>
      <xdr:col>13</xdr:col>
      <xdr:colOff>90813</xdr:colOff>
      <xdr:row>93</xdr:row>
      <xdr:rowOff>125016</xdr:rowOff>
    </xdr:to>
    <xdr:sp macro="" textlink="">
      <xdr:nvSpPr>
        <xdr:cNvPr id="136" name="Rechteck 135">
          <a:extLst>
            <a:ext uri="{FF2B5EF4-FFF2-40B4-BE49-F238E27FC236}">
              <a16:creationId xmlns:a16="http://schemas.microsoft.com/office/drawing/2014/main" id="{00000000-0008-0000-0B00-000088000000}"/>
            </a:ext>
          </a:extLst>
        </xdr:cNvPr>
        <xdr:cNvSpPr/>
      </xdr:nvSpPr>
      <xdr:spPr>
        <a:xfrm>
          <a:off x="3143207" y="15145608"/>
          <a:ext cx="271831" cy="333708"/>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12</xdr:col>
      <xdr:colOff>164564</xdr:colOff>
      <xdr:row>65</xdr:row>
      <xdr:rowOff>151896</xdr:rowOff>
    </xdr:from>
    <xdr:to>
      <xdr:col>14</xdr:col>
      <xdr:colOff>1699</xdr:colOff>
      <xdr:row>68</xdr:row>
      <xdr:rowOff>133008</xdr:rowOff>
    </xdr:to>
    <xdr:sp macro="" textlink="">
      <xdr:nvSpPr>
        <xdr:cNvPr id="137" name="Rechteck 136">
          <a:extLst>
            <a:ext uri="{FF2B5EF4-FFF2-40B4-BE49-F238E27FC236}">
              <a16:creationId xmlns:a16="http://schemas.microsoft.com/office/drawing/2014/main" id="{00000000-0008-0000-0B00-000089000000}"/>
            </a:ext>
          </a:extLst>
        </xdr:cNvPr>
        <xdr:cNvSpPr/>
      </xdr:nvSpPr>
      <xdr:spPr>
        <a:xfrm>
          <a:off x="3269714" y="10981821"/>
          <a:ext cx="275285" cy="466887"/>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31</xdr:col>
      <xdr:colOff>81642</xdr:colOff>
      <xdr:row>59</xdr:row>
      <xdr:rowOff>152401</xdr:rowOff>
    </xdr:from>
    <xdr:to>
      <xdr:col>36</xdr:col>
      <xdr:colOff>168727</xdr:colOff>
      <xdr:row>61</xdr:row>
      <xdr:rowOff>136072</xdr:rowOff>
    </xdr:to>
    <xdr:sp macro="" textlink="">
      <xdr:nvSpPr>
        <xdr:cNvPr id="138" name="Rechteck 137">
          <a:extLst>
            <a:ext uri="{FF2B5EF4-FFF2-40B4-BE49-F238E27FC236}">
              <a16:creationId xmlns:a16="http://schemas.microsoft.com/office/drawing/2014/main" id="{00000000-0008-0000-0B00-00008A000000}"/>
            </a:ext>
          </a:extLst>
        </xdr:cNvPr>
        <xdr:cNvSpPr/>
      </xdr:nvSpPr>
      <xdr:spPr>
        <a:xfrm>
          <a:off x="7349217" y="10010776"/>
          <a:ext cx="1182460" cy="30752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9525</xdr:colOff>
      <xdr:row>1</xdr:row>
      <xdr:rowOff>142875</xdr:rowOff>
    </xdr:from>
    <xdr:to>
      <xdr:col>2</xdr:col>
      <xdr:colOff>2678206</xdr:colOff>
      <xdr:row>2</xdr:row>
      <xdr:rowOff>310266</xdr:rowOff>
    </xdr:to>
    <xdr:pic>
      <xdr:nvPicPr>
        <xdr:cNvPr id="2" name="Grafik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duotone>
            <a:prstClr val="black"/>
            <a:schemeClr val="accent3">
              <a:tint val="45000"/>
              <a:satMod val="400000"/>
            </a:schemeClr>
          </a:duotone>
          <a:extLst>
            <a:ext uri="{28A0092B-C50C-407E-A947-70E740481C1C}">
              <a14:useLocalDpi xmlns:a14="http://schemas.microsoft.com/office/drawing/2010/main" val="0"/>
            </a:ext>
          </a:extLst>
        </a:blip>
        <a:stretch>
          <a:fillRect/>
        </a:stretch>
      </xdr:blipFill>
      <xdr:spPr>
        <a:xfrm>
          <a:off x="1085850" y="314325"/>
          <a:ext cx="2668681" cy="338841"/>
        </a:xfrm>
        <a:prstGeom prst="rect">
          <a:avLst/>
        </a:prstGeom>
      </xdr:spPr>
    </xdr:pic>
    <xdr:clientData/>
  </xdr:twoCellAnchor>
  <xdr:twoCellAnchor editAs="oneCell">
    <xdr:from>
      <xdr:col>2</xdr:col>
      <xdr:colOff>19050</xdr:colOff>
      <xdr:row>16</xdr:row>
      <xdr:rowOff>38100</xdr:rowOff>
    </xdr:from>
    <xdr:to>
      <xdr:col>2</xdr:col>
      <xdr:colOff>1781175</xdr:colOff>
      <xdr:row>16</xdr:row>
      <xdr:rowOff>1654437</xdr:rowOff>
    </xdr:to>
    <xdr:pic>
      <xdr:nvPicPr>
        <xdr:cNvPr id="3" name="Grafik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duotone>
            <a:prstClr val="black"/>
            <a:schemeClr val="accent3">
              <a:tint val="45000"/>
              <a:satMod val="400000"/>
            </a:schemeClr>
          </a:duotone>
          <a:extLst>
            <a:ext uri="{BEBA8EAE-BF5A-486C-A8C5-ECC9F3942E4B}">
              <a14:imgProps xmlns:a14="http://schemas.microsoft.com/office/drawing/2010/main">
                <a14:imgLayer r:embed="rId3">
                  <a14:imgEffect>
                    <a14:colorTemperature colorTemp="11500"/>
                  </a14:imgEffect>
                  <a14:imgEffect>
                    <a14:saturation sat="400000"/>
                  </a14:imgEffect>
                </a14:imgLayer>
              </a14:imgProps>
            </a:ext>
          </a:extLst>
        </a:blip>
        <a:stretch>
          <a:fillRect/>
        </a:stretch>
      </xdr:blipFill>
      <xdr:spPr>
        <a:xfrm>
          <a:off x="990600" y="2200275"/>
          <a:ext cx="1762125" cy="1616337"/>
        </a:xfrm>
        <a:prstGeom prst="rect">
          <a:avLst/>
        </a:prstGeom>
        <a:ln w="19050">
          <a:solidFill>
            <a:schemeClr val="tx1"/>
          </a:solidFill>
        </a:ln>
      </xdr:spPr>
    </xdr:pic>
    <xdr:clientData/>
  </xdr:twoCellAnchor>
  <xdr:twoCellAnchor editAs="oneCell">
    <xdr:from>
      <xdr:col>2</xdr:col>
      <xdr:colOff>2381251</xdr:colOff>
      <xdr:row>16</xdr:row>
      <xdr:rowOff>38101</xdr:rowOff>
    </xdr:from>
    <xdr:to>
      <xdr:col>2</xdr:col>
      <xdr:colOff>3933032</xdr:colOff>
      <xdr:row>16</xdr:row>
      <xdr:rowOff>1657350</xdr:rowOff>
    </xdr:to>
    <xdr:pic>
      <xdr:nvPicPr>
        <xdr:cNvPr id="4" name="Grafik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4"/>
        <a:stretch>
          <a:fillRect/>
        </a:stretch>
      </xdr:blipFill>
      <xdr:spPr>
        <a:xfrm>
          <a:off x="3352801" y="2200276"/>
          <a:ext cx="1551781" cy="1619249"/>
        </a:xfrm>
        <a:prstGeom prst="rect">
          <a:avLst/>
        </a:prstGeom>
        <a:ln w="19050">
          <a:solidFill>
            <a:schemeClr val="tx1"/>
          </a:solidFill>
        </a:ln>
      </xdr:spPr>
    </xdr:pic>
    <xdr:clientData/>
  </xdr:twoCellAnchor>
  <xdr:twoCellAnchor>
    <xdr:from>
      <xdr:col>2</xdr:col>
      <xdr:colOff>1905000</xdr:colOff>
      <xdr:row>16</xdr:row>
      <xdr:rowOff>695325</xdr:rowOff>
    </xdr:from>
    <xdr:to>
      <xdr:col>2</xdr:col>
      <xdr:colOff>2247900</xdr:colOff>
      <xdr:row>16</xdr:row>
      <xdr:rowOff>923925</xdr:rowOff>
    </xdr:to>
    <xdr:sp macro="" textlink="">
      <xdr:nvSpPr>
        <xdr:cNvPr id="8" name="Pfeil nach rechts 7">
          <a:extLst>
            <a:ext uri="{FF2B5EF4-FFF2-40B4-BE49-F238E27FC236}">
              <a16:creationId xmlns:a16="http://schemas.microsoft.com/office/drawing/2014/main" id="{00000000-0008-0000-0C00-000008000000}"/>
            </a:ext>
          </a:extLst>
        </xdr:cNvPr>
        <xdr:cNvSpPr/>
      </xdr:nvSpPr>
      <xdr:spPr>
        <a:xfrm>
          <a:off x="2876550" y="2857500"/>
          <a:ext cx="342900" cy="228600"/>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19050</xdr:colOff>
      <xdr:row>21</xdr:row>
      <xdr:rowOff>19050</xdr:rowOff>
    </xdr:from>
    <xdr:to>
      <xdr:col>2</xdr:col>
      <xdr:colOff>1771431</xdr:colOff>
      <xdr:row>21</xdr:row>
      <xdr:rowOff>952383</xdr:rowOff>
    </xdr:to>
    <xdr:pic>
      <xdr:nvPicPr>
        <xdr:cNvPr id="9" name="Grafik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5"/>
        <a:stretch>
          <a:fillRect/>
        </a:stretch>
      </xdr:blipFill>
      <xdr:spPr>
        <a:xfrm>
          <a:off x="990600" y="4972050"/>
          <a:ext cx="1752381" cy="933333"/>
        </a:xfrm>
        <a:prstGeom prst="rect">
          <a:avLst/>
        </a:prstGeom>
        <a:ln w="19050">
          <a:solidFill>
            <a:schemeClr val="tx1"/>
          </a:solidFill>
        </a:ln>
      </xdr:spPr>
    </xdr:pic>
    <xdr:clientData/>
  </xdr:twoCellAnchor>
  <xdr:twoCellAnchor editAs="oneCell">
    <xdr:from>
      <xdr:col>2</xdr:col>
      <xdr:colOff>2381250</xdr:colOff>
      <xdr:row>21</xdr:row>
      <xdr:rowOff>19050</xdr:rowOff>
    </xdr:from>
    <xdr:to>
      <xdr:col>2</xdr:col>
      <xdr:colOff>4105060</xdr:colOff>
      <xdr:row>21</xdr:row>
      <xdr:rowOff>685717</xdr:rowOff>
    </xdr:to>
    <xdr:pic>
      <xdr:nvPicPr>
        <xdr:cNvPr id="10" name="Grafik 9">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6"/>
        <a:stretch>
          <a:fillRect/>
        </a:stretch>
      </xdr:blipFill>
      <xdr:spPr>
        <a:xfrm>
          <a:off x="3352800" y="4972050"/>
          <a:ext cx="1723810" cy="666667"/>
        </a:xfrm>
        <a:prstGeom prst="rect">
          <a:avLst/>
        </a:prstGeom>
        <a:ln w="19050">
          <a:solidFill>
            <a:schemeClr val="tx1"/>
          </a:solidFill>
        </a:ln>
      </xdr:spPr>
    </xdr:pic>
    <xdr:clientData/>
  </xdr:twoCellAnchor>
  <xdr:twoCellAnchor>
    <xdr:from>
      <xdr:col>2</xdr:col>
      <xdr:colOff>1905000</xdr:colOff>
      <xdr:row>21</xdr:row>
      <xdr:rowOff>209550</xdr:rowOff>
    </xdr:from>
    <xdr:to>
      <xdr:col>2</xdr:col>
      <xdr:colOff>2247900</xdr:colOff>
      <xdr:row>21</xdr:row>
      <xdr:rowOff>438150</xdr:rowOff>
    </xdr:to>
    <xdr:sp macro="" textlink="">
      <xdr:nvSpPr>
        <xdr:cNvPr id="11" name="Pfeil nach rechts 10">
          <a:extLst>
            <a:ext uri="{FF2B5EF4-FFF2-40B4-BE49-F238E27FC236}">
              <a16:creationId xmlns:a16="http://schemas.microsoft.com/office/drawing/2014/main" id="{00000000-0008-0000-0C00-00000B000000}"/>
            </a:ext>
          </a:extLst>
        </xdr:cNvPr>
        <xdr:cNvSpPr/>
      </xdr:nvSpPr>
      <xdr:spPr>
        <a:xfrm>
          <a:off x="2876550" y="5162550"/>
          <a:ext cx="342900" cy="228600"/>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4410075</xdr:colOff>
      <xdr:row>26</xdr:row>
      <xdr:rowOff>19050</xdr:rowOff>
    </xdr:from>
    <xdr:to>
      <xdr:col>7</xdr:col>
      <xdr:colOff>37769</xdr:colOff>
      <xdr:row>26</xdr:row>
      <xdr:rowOff>1485717</xdr:rowOff>
    </xdr:to>
    <xdr:pic>
      <xdr:nvPicPr>
        <xdr:cNvPr id="14" name="Grafik 13">
          <a:extLst>
            <a:ext uri="{FF2B5EF4-FFF2-40B4-BE49-F238E27FC236}">
              <a16:creationId xmlns:a16="http://schemas.microsoft.com/office/drawing/2014/main" id="{00000000-0008-0000-0C00-00000E000000}"/>
            </a:ext>
          </a:extLst>
        </xdr:cNvPr>
        <xdr:cNvPicPr>
          <a:picLocks noChangeAspect="1"/>
        </xdr:cNvPicPr>
      </xdr:nvPicPr>
      <xdr:blipFill rotWithShape="1">
        <a:blip xmlns:r="http://schemas.openxmlformats.org/officeDocument/2006/relationships" r:embed="rId7"/>
        <a:srcRect l="7196"/>
        <a:stretch/>
      </xdr:blipFill>
      <xdr:spPr>
        <a:xfrm>
          <a:off x="5381625" y="7229475"/>
          <a:ext cx="2457119" cy="1466667"/>
        </a:xfrm>
        <a:prstGeom prst="rect">
          <a:avLst/>
        </a:prstGeom>
        <a:ln w="19050">
          <a:solidFill>
            <a:schemeClr val="tx1"/>
          </a:solidFill>
        </a:ln>
      </xdr:spPr>
    </xdr:pic>
    <xdr:clientData/>
  </xdr:twoCellAnchor>
  <xdr:twoCellAnchor editAs="oneCell">
    <xdr:from>
      <xdr:col>2</xdr:col>
      <xdr:colOff>19050</xdr:colOff>
      <xdr:row>26</xdr:row>
      <xdr:rowOff>9526</xdr:rowOff>
    </xdr:from>
    <xdr:to>
      <xdr:col>2</xdr:col>
      <xdr:colOff>3804241</xdr:colOff>
      <xdr:row>26</xdr:row>
      <xdr:rowOff>1704976</xdr:rowOff>
    </xdr:to>
    <xdr:pic>
      <xdr:nvPicPr>
        <xdr:cNvPr id="18" name="Grafik 17">
          <a:extLst>
            <a:ext uri="{FF2B5EF4-FFF2-40B4-BE49-F238E27FC236}">
              <a16:creationId xmlns:a16="http://schemas.microsoft.com/office/drawing/2014/main" id="{00000000-0008-0000-0C00-000012000000}"/>
            </a:ext>
          </a:extLst>
        </xdr:cNvPr>
        <xdr:cNvPicPr>
          <a:picLocks noChangeAspect="1"/>
        </xdr:cNvPicPr>
      </xdr:nvPicPr>
      <xdr:blipFill>
        <a:blip xmlns:r="http://schemas.openxmlformats.org/officeDocument/2006/relationships" r:embed="rId8"/>
        <a:stretch>
          <a:fillRect/>
        </a:stretch>
      </xdr:blipFill>
      <xdr:spPr>
        <a:xfrm>
          <a:off x="990600" y="7219951"/>
          <a:ext cx="3785191" cy="1695450"/>
        </a:xfrm>
        <a:prstGeom prst="rect">
          <a:avLst/>
        </a:prstGeom>
        <a:ln w="19050">
          <a:solidFill>
            <a:schemeClr val="tx1"/>
          </a:solidFill>
        </a:ln>
      </xdr:spPr>
    </xdr:pic>
    <xdr:clientData/>
  </xdr:twoCellAnchor>
  <xdr:twoCellAnchor>
    <xdr:from>
      <xdr:col>2</xdr:col>
      <xdr:colOff>76201</xdr:colOff>
      <xdr:row>26</xdr:row>
      <xdr:rowOff>352425</xdr:rowOff>
    </xdr:from>
    <xdr:to>
      <xdr:col>2</xdr:col>
      <xdr:colOff>1524001</xdr:colOff>
      <xdr:row>26</xdr:row>
      <xdr:rowOff>1495425</xdr:rowOff>
    </xdr:to>
    <xdr:sp macro="" textlink="">
      <xdr:nvSpPr>
        <xdr:cNvPr id="19" name="Rechteck 18">
          <a:extLst>
            <a:ext uri="{FF2B5EF4-FFF2-40B4-BE49-F238E27FC236}">
              <a16:creationId xmlns:a16="http://schemas.microsoft.com/office/drawing/2014/main" id="{00000000-0008-0000-0C00-000013000000}"/>
            </a:ext>
          </a:extLst>
        </xdr:cNvPr>
        <xdr:cNvSpPr/>
      </xdr:nvSpPr>
      <xdr:spPr>
        <a:xfrm>
          <a:off x="1047751" y="7562850"/>
          <a:ext cx="1447800" cy="11430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4</xdr:col>
      <xdr:colOff>733425</xdr:colOff>
      <xdr:row>26</xdr:row>
      <xdr:rowOff>923925</xdr:rowOff>
    </xdr:from>
    <xdr:to>
      <xdr:col>5</xdr:col>
      <xdr:colOff>647700</xdr:colOff>
      <xdr:row>26</xdr:row>
      <xdr:rowOff>1066800</xdr:rowOff>
    </xdr:to>
    <xdr:sp macro="" textlink="">
      <xdr:nvSpPr>
        <xdr:cNvPr id="20" name="Rechteck 19">
          <a:extLst>
            <a:ext uri="{FF2B5EF4-FFF2-40B4-BE49-F238E27FC236}">
              <a16:creationId xmlns:a16="http://schemas.microsoft.com/office/drawing/2014/main" id="{00000000-0008-0000-0C00-000014000000}"/>
            </a:ext>
          </a:extLst>
        </xdr:cNvPr>
        <xdr:cNvSpPr/>
      </xdr:nvSpPr>
      <xdr:spPr>
        <a:xfrm>
          <a:off x="6296025" y="8953500"/>
          <a:ext cx="676275" cy="1428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xdr:from>
      <xdr:col>2</xdr:col>
      <xdr:colOff>1552576</xdr:colOff>
      <xdr:row>26</xdr:row>
      <xdr:rowOff>352425</xdr:rowOff>
    </xdr:from>
    <xdr:to>
      <xdr:col>2</xdr:col>
      <xdr:colOff>2247900</xdr:colOff>
      <xdr:row>26</xdr:row>
      <xdr:rowOff>1495425</xdr:rowOff>
    </xdr:to>
    <xdr:sp macro="" textlink="">
      <xdr:nvSpPr>
        <xdr:cNvPr id="21" name="Rechteck 20">
          <a:extLst>
            <a:ext uri="{FF2B5EF4-FFF2-40B4-BE49-F238E27FC236}">
              <a16:creationId xmlns:a16="http://schemas.microsoft.com/office/drawing/2014/main" id="{00000000-0008-0000-0C00-000015000000}"/>
            </a:ext>
          </a:extLst>
        </xdr:cNvPr>
        <xdr:cNvSpPr/>
      </xdr:nvSpPr>
      <xdr:spPr>
        <a:xfrm>
          <a:off x="2524126" y="7562850"/>
          <a:ext cx="695324" cy="114300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4</xdr:col>
      <xdr:colOff>733426</xdr:colOff>
      <xdr:row>26</xdr:row>
      <xdr:rowOff>1085850</xdr:rowOff>
    </xdr:from>
    <xdr:to>
      <xdr:col>5</xdr:col>
      <xdr:colOff>647700</xdr:colOff>
      <xdr:row>26</xdr:row>
      <xdr:rowOff>1238250</xdr:rowOff>
    </xdr:to>
    <xdr:sp macro="" textlink="">
      <xdr:nvSpPr>
        <xdr:cNvPr id="22" name="Rechteck 21">
          <a:extLst>
            <a:ext uri="{FF2B5EF4-FFF2-40B4-BE49-F238E27FC236}">
              <a16:creationId xmlns:a16="http://schemas.microsoft.com/office/drawing/2014/main" id="{00000000-0008-0000-0C00-000016000000}"/>
            </a:ext>
          </a:extLst>
        </xdr:cNvPr>
        <xdr:cNvSpPr/>
      </xdr:nvSpPr>
      <xdr:spPr>
        <a:xfrm>
          <a:off x="6296026" y="9115425"/>
          <a:ext cx="676274" cy="15240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2</xdr:col>
      <xdr:colOff>2276476</xdr:colOff>
      <xdr:row>26</xdr:row>
      <xdr:rowOff>352425</xdr:rowOff>
    </xdr:from>
    <xdr:to>
      <xdr:col>2</xdr:col>
      <xdr:colOff>3714750</xdr:colOff>
      <xdr:row>26</xdr:row>
      <xdr:rowOff>1495425</xdr:rowOff>
    </xdr:to>
    <xdr:sp macro="" textlink="">
      <xdr:nvSpPr>
        <xdr:cNvPr id="23" name="Rechteck 22">
          <a:extLst>
            <a:ext uri="{FF2B5EF4-FFF2-40B4-BE49-F238E27FC236}">
              <a16:creationId xmlns:a16="http://schemas.microsoft.com/office/drawing/2014/main" id="{00000000-0008-0000-0C00-000017000000}"/>
            </a:ext>
          </a:extLst>
        </xdr:cNvPr>
        <xdr:cNvSpPr/>
      </xdr:nvSpPr>
      <xdr:spPr>
        <a:xfrm>
          <a:off x="3248026" y="7562850"/>
          <a:ext cx="1438274" cy="1143000"/>
        </a:xfrm>
        <a:prstGeom prst="rect">
          <a:avLst/>
        </a:prstGeom>
        <a:noFill/>
        <a:ln w="28575">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4</xdr:col>
      <xdr:colOff>733426</xdr:colOff>
      <xdr:row>26</xdr:row>
      <xdr:rowOff>1247775</xdr:rowOff>
    </xdr:from>
    <xdr:to>
      <xdr:col>5</xdr:col>
      <xdr:colOff>647700</xdr:colOff>
      <xdr:row>26</xdr:row>
      <xdr:rowOff>1409700</xdr:rowOff>
    </xdr:to>
    <xdr:sp macro="" textlink="">
      <xdr:nvSpPr>
        <xdr:cNvPr id="24" name="Rechteck 23">
          <a:extLst>
            <a:ext uri="{FF2B5EF4-FFF2-40B4-BE49-F238E27FC236}">
              <a16:creationId xmlns:a16="http://schemas.microsoft.com/office/drawing/2014/main" id="{00000000-0008-0000-0C00-000018000000}"/>
            </a:ext>
          </a:extLst>
        </xdr:cNvPr>
        <xdr:cNvSpPr/>
      </xdr:nvSpPr>
      <xdr:spPr>
        <a:xfrm>
          <a:off x="6296026" y="9277350"/>
          <a:ext cx="676274" cy="161925"/>
        </a:xfrm>
        <a:prstGeom prst="rect">
          <a:avLst/>
        </a:prstGeom>
        <a:noFill/>
        <a:ln w="28575">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solidFill>
              <a:srgbClr val="0070C0"/>
            </a:solidFill>
          </a:endParaRPr>
        </a:p>
      </xdr:txBody>
    </xdr:sp>
    <xdr:clientData/>
  </xdr:twoCellAnchor>
  <xdr:twoCellAnchor>
    <xdr:from>
      <xdr:col>2</xdr:col>
      <xdr:colOff>3943350</xdr:colOff>
      <xdr:row>26</xdr:row>
      <xdr:rowOff>590550</xdr:rowOff>
    </xdr:from>
    <xdr:to>
      <xdr:col>2</xdr:col>
      <xdr:colOff>4286250</xdr:colOff>
      <xdr:row>26</xdr:row>
      <xdr:rowOff>819150</xdr:rowOff>
    </xdr:to>
    <xdr:sp macro="" textlink="">
      <xdr:nvSpPr>
        <xdr:cNvPr id="25" name="Pfeil nach rechts 24">
          <a:extLst>
            <a:ext uri="{FF2B5EF4-FFF2-40B4-BE49-F238E27FC236}">
              <a16:creationId xmlns:a16="http://schemas.microsoft.com/office/drawing/2014/main" id="{00000000-0008-0000-0C00-000019000000}"/>
            </a:ext>
          </a:extLst>
        </xdr:cNvPr>
        <xdr:cNvSpPr/>
      </xdr:nvSpPr>
      <xdr:spPr>
        <a:xfrm>
          <a:off x="4914900" y="7800975"/>
          <a:ext cx="342900" cy="228600"/>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19050</xdr:colOff>
      <xdr:row>31</xdr:row>
      <xdr:rowOff>19050</xdr:rowOff>
    </xdr:from>
    <xdr:to>
      <xdr:col>2</xdr:col>
      <xdr:colOff>3960354</xdr:colOff>
      <xdr:row>39</xdr:row>
      <xdr:rowOff>159121</xdr:rowOff>
    </xdr:to>
    <xdr:pic>
      <xdr:nvPicPr>
        <xdr:cNvPr id="26" name="Grafik 25">
          <a:extLst>
            <a:ext uri="{FF2B5EF4-FFF2-40B4-BE49-F238E27FC236}">
              <a16:creationId xmlns:a16="http://schemas.microsoft.com/office/drawing/2014/main" id="{00000000-0008-0000-0C00-00001A000000}"/>
            </a:ext>
          </a:extLst>
        </xdr:cNvPr>
        <xdr:cNvPicPr>
          <a:picLocks noChangeAspect="1"/>
        </xdr:cNvPicPr>
      </xdr:nvPicPr>
      <xdr:blipFill rotWithShape="1">
        <a:blip xmlns:r="http://schemas.openxmlformats.org/officeDocument/2006/relationships" r:embed="rId9" cstate="print">
          <a:duotone>
            <a:prstClr val="black"/>
            <a:schemeClr val="accent3">
              <a:tint val="45000"/>
              <a:satMod val="400000"/>
            </a:schemeClr>
          </a:duotone>
          <a:extLst>
            <a:ext uri="{BEBA8EAE-BF5A-486C-A8C5-ECC9F3942E4B}">
              <a14:imgProps xmlns:a14="http://schemas.microsoft.com/office/drawing/2010/main">
                <a14:imgLayer r:embed="rId10">
                  <a14:imgEffect>
                    <a14:colorTemperature colorTemp="11500"/>
                  </a14:imgEffect>
                </a14:imgLayer>
              </a14:imgProps>
            </a:ext>
            <a:ext uri="{28A0092B-C50C-407E-A947-70E740481C1C}">
              <a14:useLocalDpi xmlns:a14="http://schemas.microsoft.com/office/drawing/2010/main" val="0"/>
            </a:ext>
          </a:extLst>
        </a:blip>
        <a:srcRect l="4123" t="3763" r="3297" b="4899"/>
        <a:stretch/>
      </xdr:blipFill>
      <xdr:spPr>
        <a:xfrm>
          <a:off x="990600" y="11630025"/>
          <a:ext cx="3941304" cy="2183464"/>
        </a:xfrm>
        <a:prstGeom prst="rect">
          <a:avLst/>
        </a:prstGeom>
        <a:ln w="19050">
          <a:solidFill>
            <a:schemeClr val="tx1"/>
          </a:solidFill>
        </a:ln>
      </xdr:spPr>
    </xdr:pic>
    <xdr:clientData/>
  </xdr:twoCellAnchor>
  <xdr:twoCellAnchor editAs="oneCell">
    <xdr:from>
      <xdr:col>6</xdr:col>
      <xdr:colOff>314325</xdr:colOff>
      <xdr:row>31</xdr:row>
      <xdr:rowOff>76200</xdr:rowOff>
    </xdr:from>
    <xdr:to>
      <xdr:col>7</xdr:col>
      <xdr:colOff>443181</xdr:colOff>
      <xdr:row>37</xdr:row>
      <xdr:rowOff>76200</xdr:rowOff>
    </xdr:to>
    <xdr:pic>
      <xdr:nvPicPr>
        <xdr:cNvPr id="27" name="Grafik 26">
          <a:extLst>
            <a:ext uri="{FF2B5EF4-FFF2-40B4-BE49-F238E27FC236}">
              <a16:creationId xmlns:a16="http://schemas.microsoft.com/office/drawing/2014/main" id="{00000000-0008-0000-0C00-00001B000000}"/>
            </a:ext>
          </a:extLst>
        </xdr:cNvPr>
        <xdr:cNvPicPr>
          <a:picLocks noChangeAspect="1"/>
        </xdr:cNvPicPr>
      </xdr:nvPicPr>
      <xdr:blipFill>
        <a:blip xmlns:r="http://schemas.openxmlformats.org/officeDocument/2006/relationships" r:embed="rId11"/>
        <a:stretch>
          <a:fillRect/>
        </a:stretch>
      </xdr:blipFill>
      <xdr:spPr>
        <a:xfrm>
          <a:off x="8067675" y="11687175"/>
          <a:ext cx="843231" cy="971550"/>
        </a:xfrm>
        <a:prstGeom prst="rect">
          <a:avLst/>
        </a:prstGeom>
      </xdr:spPr>
    </xdr:pic>
    <xdr:clientData/>
  </xdr:twoCellAnchor>
  <xdr:twoCellAnchor>
    <xdr:from>
      <xdr:col>2</xdr:col>
      <xdr:colOff>4122645</xdr:colOff>
      <xdr:row>33</xdr:row>
      <xdr:rowOff>85165</xdr:rowOff>
    </xdr:from>
    <xdr:to>
      <xdr:col>2</xdr:col>
      <xdr:colOff>4465545</xdr:colOff>
      <xdr:row>34</xdr:row>
      <xdr:rowOff>146797</xdr:rowOff>
    </xdr:to>
    <xdr:sp macro="" textlink="">
      <xdr:nvSpPr>
        <xdr:cNvPr id="28" name="Pfeil nach rechts 27">
          <a:extLst>
            <a:ext uri="{FF2B5EF4-FFF2-40B4-BE49-F238E27FC236}">
              <a16:creationId xmlns:a16="http://schemas.microsoft.com/office/drawing/2014/main" id="{00000000-0008-0000-0C00-00001C000000}"/>
            </a:ext>
          </a:extLst>
        </xdr:cNvPr>
        <xdr:cNvSpPr/>
      </xdr:nvSpPr>
      <xdr:spPr>
        <a:xfrm>
          <a:off x="5198410" y="12221136"/>
          <a:ext cx="342900" cy="218514"/>
        </a:xfrm>
        <a:prstGeom prst="right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twoCellAnchor editAs="oneCell">
    <xdr:from>
      <xdr:col>2</xdr:col>
      <xdr:colOff>9525</xdr:colOff>
      <xdr:row>44</xdr:row>
      <xdr:rowOff>28576</xdr:rowOff>
    </xdr:from>
    <xdr:to>
      <xdr:col>2</xdr:col>
      <xdr:colOff>4143374</xdr:colOff>
      <xdr:row>58</xdr:row>
      <xdr:rowOff>112246</xdr:rowOff>
    </xdr:to>
    <xdr:pic>
      <xdr:nvPicPr>
        <xdr:cNvPr id="29" name="Grafik 28">
          <a:extLst>
            <a:ext uri="{FF2B5EF4-FFF2-40B4-BE49-F238E27FC236}">
              <a16:creationId xmlns:a16="http://schemas.microsoft.com/office/drawing/2014/main" id="{00000000-0008-0000-0C00-00001D000000}"/>
            </a:ext>
          </a:extLst>
        </xdr:cNvPr>
        <xdr:cNvPicPr>
          <a:picLocks noChangeAspect="1"/>
        </xdr:cNvPicPr>
      </xdr:nvPicPr>
      <xdr:blipFill>
        <a:blip xmlns:r="http://schemas.openxmlformats.org/officeDocument/2006/relationships" r:embed="rId12">
          <a:duotone>
            <a:prstClr val="black"/>
            <a:schemeClr val="accent3">
              <a:tint val="45000"/>
              <a:satMod val="400000"/>
            </a:schemeClr>
          </a:duotone>
        </a:blip>
        <a:stretch>
          <a:fillRect/>
        </a:stretch>
      </xdr:blipFill>
      <xdr:spPr>
        <a:xfrm>
          <a:off x="1085850" y="15601951"/>
          <a:ext cx="4133849" cy="2350620"/>
        </a:xfrm>
        <a:prstGeom prst="rect">
          <a:avLst/>
        </a:prstGeom>
      </xdr:spPr>
    </xdr:pic>
    <xdr:clientData/>
  </xdr:twoCellAnchor>
  <xdr:twoCellAnchor>
    <xdr:from>
      <xdr:col>2</xdr:col>
      <xdr:colOff>70757</xdr:colOff>
      <xdr:row>53</xdr:row>
      <xdr:rowOff>103414</xdr:rowOff>
    </xdr:from>
    <xdr:to>
      <xdr:col>2</xdr:col>
      <xdr:colOff>70757</xdr:colOff>
      <xdr:row>60</xdr:row>
      <xdr:rowOff>114300</xdr:rowOff>
    </xdr:to>
    <xdr:cxnSp macro="">
      <xdr:nvCxnSpPr>
        <xdr:cNvPr id="30" name="Gerader Verbinder 29">
          <a:extLst>
            <a:ext uri="{FF2B5EF4-FFF2-40B4-BE49-F238E27FC236}">
              <a16:creationId xmlns:a16="http://schemas.microsoft.com/office/drawing/2014/main" id="{00000000-0008-0000-0C00-00001E000000}"/>
            </a:ext>
          </a:extLst>
        </xdr:cNvPr>
        <xdr:cNvCxnSpPr/>
      </xdr:nvCxnSpPr>
      <xdr:spPr>
        <a:xfrm>
          <a:off x="1147082" y="17134114"/>
          <a:ext cx="0" cy="1144361"/>
        </a:xfrm>
        <a:prstGeom prst="line">
          <a:avLst/>
        </a:prstGeom>
        <a:ln w="12700">
          <a:solidFill>
            <a:srgbClr val="FF0000"/>
          </a:soli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4060371</xdr:colOff>
      <xdr:row>53</xdr:row>
      <xdr:rowOff>108857</xdr:rowOff>
    </xdr:from>
    <xdr:to>
      <xdr:col>2</xdr:col>
      <xdr:colOff>4060371</xdr:colOff>
      <xdr:row>60</xdr:row>
      <xdr:rowOff>97971</xdr:rowOff>
    </xdr:to>
    <xdr:cxnSp macro="">
      <xdr:nvCxnSpPr>
        <xdr:cNvPr id="31" name="Gerader Verbinder 30">
          <a:extLst>
            <a:ext uri="{FF2B5EF4-FFF2-40B4-BE49-F238E27FC236}">
              <a16:creationId xmlns:a16="http://schemas.microsoft.com/office/drawing/2014/main" id="{00000000-0008-0000-0C00-00001F000000}"/>
            </a:ext>
          </a:extLst>
        </xdr:cNvPr>
        <xdr:cNvCxnSpPr/>
      </xdr:nvCxnSpPr>
      <xdr:spPr>
        <a:xfrm>
          <a:off x="5136696" y="17139557"/>
          <a:ext cx="0" cy="1122589"/>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10885</xdr:colOff>
      <xdr:row>60</xdr:row>
      <xdr:rowOff>21771</xdr:rowOff>
    </xdr:from>
    <xdr:to>
      <xdr:col>2</xdr:col>
      <xdr:colOff>4125685</xdr:colOff>
      <xdr:row>60</xdr:row>
      <xdr:rowOff>21771</xdr:rowOff>
    </xdr:to>
    <xdr:cxnSp macro="">
      <xdr:nvCxnSpPr>
        <xdr:cNvPr id="32" name="Gerader Verbinder 31">
          <a:extLst>
            <a:ext uri="{FF2B5EF4-FFF2-40B4-BE49-F238E27FC236}">
              <a16:creationId xmlns:a16="http://schemas.microsoft.com/office/drawing/2014/main" id="{00000000-0008-0000-0C00-000020000000}"/>
            </a:ext>
          </a:extLst>
        </xdr:cNvPr>
        <xdr:cNvCxnSpPr/>
      </xdr:nvCxnSpPr>
      <xdr:spPr>
        <a:xfrm>
          <a:off x="1087210" y="18185946"/>
          <a:ext cx="4114800" cy="0"/>
        </a:xfrm>
        <a:prstGeom prst="line">
          <a:avLst/>
        </a:prstGeom>
        <a:ln w="12700">
          <a:solidFill>
            <a:srgbClr val="FF0000"/>
          </a:soli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2035628</xdr:colOff>
      <xdr:row>58</xdr:row>
      <xdr:rowOff>136069</xdr:rowOff>
    </xdr:from>
    <xdr:to>
      <xdr:col>2</xdr:col>
      <xdr:colOff>4114800</xdr:colOff>
      <xdr:row>58</xdr:row>
      <xdr:rowOff>136069</xdr:rowOff>
    </xdr:to>
    <xdr:cxnSp macro="">
      <xdr:nvCxnSpPr>
        <xdr:cNvPr id="33" name="Gerader Verbinder 32">
          <a:extLst>
            <a:ext uri="{FF2B5EF4-FFF2-40B4-BE49-F238E27FC236}">
              <a16:creationId xmlns:a16="http://schemas.microsoft.com/office/drawing/2014/main" id="{00000000-0008-0000-0C00-000021000000}"/>
            </a:ext>
          </a:extLst>
        </xdr:cNvPr>
        <xdr:cNvCxnSpPr/>
      </xdr:nvCxnSpPr>
      <xdr:spPr>
        <a:xfrm>
          <a:off x="3111953" y="17976394"/>
          <a:ext cx="2079172" cy="0"/>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2106386</xdr:colOff>
      <xdr:row>53</xdr:row>
      <xdr:rowOff>157843</xdr:rowOff>
    </xdr:from>
    <xdr:to>
      <xdr:col>2</xdr:col>
      <xdr:colOff>2106386</xdr:colOff>
      <xdr:row>59</xdr:row>
      <xdr:rowOff>54428</xdr:rowOff>
    </xdr:to>
    <xdr:cxnSp macro="">
      <xdr:nvCxnSpPr>
        <xdr:cNvPr id="34" name="Gerader Verbinder 33">
          <a:extLst>
            <a:ext uri="{FF2B5EF4-FFF2-40B4-BE49-F238E27FC236}">
              <a16:creationId xmlns:a16="http://schemas.microsoft.com/office/drawing/2014/main" id="{00000000-0008-0000-0C00-000022000000}"/>
            </a:ext>
          </a:extLst>
        </xdr:cNvPr>
        <xdr:cNvCxnSpPr/>
      </xdr:nvCxnSpPr>
      <xdr:spPr>
        <a:xfrm>
          <a:off x="3182711" y="17188543"/>
          <a:ext cx="0" cy="868135"/>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5442</xdr:colOff>
      <xdr:row>59</xdr:row>
      <xdr:rowOff>136071</xdr:rowOff>
    </xdr:from>
    <xdr:to>
      <xdr:col>2</xdr:col>
      <xdr:colOff>125185</xdr:colOff>
      <xdr:row>60</xdr:row>
      <xdr:rowOff>92528</xdr:rowOff>
    </xdr:to>
    <xdr:cxnSp macro="">
      <xdr:nvCxnSpPr>
        <xdr:cNvPr id="35" name="Gerader Verbinder 34">
          <a:extLst>
            <a:ext uri="{FF2B5EF4-FFF2-40B4-BE49-F238E27FC236}">
              <a16:creationId xmlns:a16="http://schemas.microsoft.com/office/drawing/2014/main" id="{00000000-0008-0000-0C00-000023000000}"/>
            </a:ext>
          </a:extLst>
        </xdr:cNvPr>
        <xdr:cNvCxnSpPr/>
      </xdr:nvCxnSpPr>
      <xdr:spPr>
        <a:xfrm flipV="1">
          <a:off x="1081767" y="18138321"/>
          <a:ext cx="119743" cy="118382"/>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2046513</xdr:colOff>
      <xdr:row>58</xdr:row>
      <xdr:rowOff>76200</xdr:rowOff>
    </xdr:from>
    <xdr:to>
      <xdr:col>2</xdr:col>
      <xdr:colOff>2166256</xdr:colOff>
      <xdr:row>59</xdr:row>
      <xdr:rowOff>32657</xdr:rowOff>
    </xdr:to>
    <xdr:cxnSp macro="">
      <xdr:nvCxnSpPr>
        <xdr:cNvPr id="36" name="Gerader Verbinder 35">
          <a:extLst>
            <a:ext uri="{FF2B5EF4-FFF2-40B4-BE49-F238E27FC236}">
              <a16:creationId xmlns:a16="http://schemas.microsoft.com/office/drawing/2014/main" id="{00000000-0008-0000-0C00-000024000000}"/>
            </a:ext>
          </a:extLst>
        </xdr:cNvPr>
        <xdr:cNvCxnSpPr/>
      </xdr:nvCxnSpPr>
      <xdr:spPr>
        <a:xfrm flipV="1">
          <a:off x="3122838" y="17916525"/>
          <a:ext cx="119743" cy="118382"/>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3989613</xdr:colOff>
      <xdr:row>58</xdr:row>
      <xdr:rowOff>81643</xdr:rowOff>
    </xdr:from>
    <xdr:to>
      <xdr:col>2</xdr:col>
      <xdr:colOff>4109356</xdr:colOff>
      <xdr:row>59</xdr:row>
      <xdr:rowOff>38100</xdr:rowOff>
    </xdr:to>
    <xdr:cxnSp macro="">
      <xdr:nvCxnSpPr>
        <xdr:cNvPr id="37" name="Gerader Verbinder 36">
          <a:extLst>
            <a:ext uri="{FF2B5EF4-FFF2-40B4-BE49-F238E27FC236}">
              <a16:creationId xmlns:a16="http://schemas.microsoft.com/office/drawing/2014/main" id="{00000000-0008-0000-0C00-000025000000}"/>
            </a:ext>
          </a:extLst>
        </xdr:cNvPr>
        <xdr:cNvCxnSpPr/>
      </xdr:nvCxnSpPr>
      <xdr:spPr>
        <a:xfrm flipV="1">
          <a:off x="5065938" y="17921968"/>
          <a:ext cx="119743" cy="118382"/>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3995056</xdr:colOff>
      <xdr:row>59</xdr:row>
      <xdr:rowOff>125185</xdr:rowOff>
    </xdr:from>
    <xdr:to>
      <xdr:col>2</xdr:col>
      <xdr:colOff>4114799</xdr:colOff>
      <xdr:row>60</xdr:row>
      <xdr:rowOff>81642</xdr:rowOff>
    </xdr:to>
    <xdr:cxnSp macro="">
      <xdr:nvCxnSpPr>
        <xdr:cNvPr id="38" name="Gerader Verbinder 37">
          <a:extLst>
            <a:ext uri="{FF2B5EF4-FFF2-40B4-BE49-F238E27FC236}">
              <a16:creationId xmlns:a16="http://schemas.microsoft.com/office/drawing/2014/main" id="{00000000-0008-0000-0C00-000026000000}"/>
            </a:ext>
          </a:extLst>
        </xdr:cNvPr>
        <xdr:cNvCxnSpPr/>
      </xdr:nvCxnSpPr>
      <xdr:spPr>
        <a:xfrm flipV="1">
          <a:off x="5071381" y="18127435"/>
          <a:ext cx="119743" cy="118382"/>
        </a:xfrm>
        <a:prstGeom prst="line">
          <a:avLst/>
        </a:prstGeom>
        <a:ln w="12700">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229913</xdr:colOff>
      <xdr:row>43</xdr:row>
      <xdr:rowOff>98534</xdr:rowOff>
    </xdr:from>
    <xdr:to>
      <xdr:col>2</xdr:col>
      <xdr:colOff>4217276</xdr:colOff>
      <xdr:row>61</xdr:row>
      <xdr:rowOff>13138</xdr:rowOff>
    </xdr:to>
    <xdr:sp macro="" textlink="">
      <xdr:nvSpPr>
        <xdr:cNvPr id="39" name="Rechteck 38">
          <a:extLst>
            <a:ext uri="{FF2B5EF4-FFF2-40B4-BE49-F238E27FC236}">
              <a16:creationId xmlns:a16="http://schemas.microsoft.com/office/drawing/2014/main" id="{00000000-0008-0000-0C00-000027000000}"/>
            </a:ext>
          </a:extLst>
        </xdr:cNvPr>
        <xdr:cNvSpPr/>
      </xdr:nvSpPr>
      <xdr:spPr>
        <a:xfrm>
          <a:off x="1058588" y="15509984"/>
          <a:ext cx="4235013" cy="2829254"/>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C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ctrlProp" Target="../ctrlProps/ctrlProp175.xml"/><Relationship Id="rId18" Type="http://schemas.openxmlformats.org/officeDocument/2006/relationships/ctrlProp" Target="../ctrlProps/ctrlProp180.xml"/><Relationship Id="rId26" Type="http://schemas.openxmlformats.org/officeDocument/2006/relationships/ctrlProp" Target="../ctrlProps/ctrlProp188.xml"/><Relationship Id="rId39" Type="http://schemas.openxmlformats.org/officeDocument/2006/relationships/ctrlProp" Target="../ctrlProps/ctrlProp201.xml"/><Relationship Id="rId21" Type="http://schemas.openxmlformats.org/officeDocument/2006/relationships/ctrlProp" Target="../ctrlProps/ctrlProp183.xml"/><Relationship Id="rId34" Type="http://schemas.openxmlformats.org/officeDocument/2006/relationships/ctrlProp" Target="../ctrlProps/ctrlProp196.xml"/><Relationship Id="rId42" Type="http://schemas.openxmlformats.org/officeDocument/2006/relationships/ctrlProp" Target="../ctrlProps/ctrlProp204.xml"/><Relationship Id="rId47" Type="http://schemas.openxmlformats.org/officeDocument/2006/relationships/ctrlProp" Target="../ctrlProps/ctrlProp209.xml"/><Relationship Id="rId50" Type="http://schemas.openxmlformats.org/officeDocument/2006/relationships/ctrlProp" Target="../ctrlProps/ctrlProp212.xml"/><Relationship Id="rId55" Type="http://schemas.openxmlformats.org/officeDocument/2006/relationships/ctrlProp" Target="../ctrlProps/ctrlProp217.xml"/><Relationship Id="rId7" Type="http://schemas.openxmlformats.org/officeDocument/2006/relationships/ctrlProp" Target="../ctrlProps/ctrlProp169.xml"/><Relationship Id="rId12" Type="http://schemas.openxmlformats.org/officeDocument/2006/relationships/ctrlProp" Target="../ctrlProps/ctrlProp174.xml"/><Relationship Id="rId17" Type="http://schemas.openxmlformats.org/officeDocument/2006/relationships/ctrlProp" Target="../ctrlProps/ctrlProp179.xml"/><Relationship Id="rId25" Type="http://schemas.openxmlformats.org/officeDocument/2006/relationships/ctrlProp" Target="../ctrlProps/ctrlProp187.xml"/><Relationship Id="rId33" Type="http://schemas.openxmlformats.org/officeDocument/2006/relationships/ctrlProp" Target="../ctrlProps/ctrlProp195.xml"/><Relationship Id="rId38" Type="http://schemas.openxmlformats.org/officeDocument/2006/relationships/ctrlProp" Target="../ctrlProps/ctrlProp200.xml"/><Relationship Id="rId46" Type="http://schemas.openxmlformats.org/officeDocument/2006/relationships/ctrlProp" Target="../ctrlProps/ctrlProp208.xml"/><Relationship Id="rId59" Type="http://schemas.openxmlformats.org/officeDocument/2006/relationships/comments" Target="../comments8.xml"/><Relationship Id="rId2" Type="http://schemas.openxmlformats.org/officeDocument/2006/relationships/drawing" Target="../drawings/drawing5.xml"/><Relationship Id="rId16" Type="http://schemas.openxmlformats.org/officeDocument/2006/relationships/ctrlProp" Target="../ctrlProps/ctrlProp178.xml"/><Relationship Id="rId20" Type="http://schemas.openxmlformats.org/officeDocument/2006/relationships/ctrlProp" Target="../ctrlProps/ctrlProp182.xml"/><Relationship Id="rId29" Type="http://schemas.openxmlformats.org/officeDocument/2006/relationships/ctrlProp" Target="../ctrlProps/ctrlProp191.xml"/><Relationship Id="rId41" Type="http://schemas.openxmlformats.org/officeDocument/2006/relationships/ctrlProp" Target="../ctrlProps/ctrlProp203.xml"/><Relationship Id="rId54" Type="http://schemas.openxmlformats.org/officeDocument/2006/relationships/ctrlProp" Target="../ctrlProps/ctrlProp216.xml"/><Relationship Id="rId1" Type="http://schemas.openxmlformats.org/officeDocument/2006/relationships/printerSettings" Target="../printerSettings/printerSettings10.bin"/><Relationship Id="rId6" Type="http://schemas.openxmlformats.org/officeDocument/2006/relationships/ctrlProp" Target="../ctrlProps/ctrlProp168.xml"/><Relationship Id="rId11" Type="http://schemas.openxmlformats.org/officeDocument/2006/relationships/ctrlProp" Target="../ctrlProps/ctrlProp173.xml"/><Relationship Id="rId24" Type="http://schemas.openxmlformats.org/officeDocument/2006/relationships/ctrlProp" Target="../ctrlProps/ctrlProp186.xml"/><Relationship Id="rId32" Type="http://schemas.openxmlformats.org/officeDocument/2006/relationships/ctrlProp" Target="../ctrlProps/ctrlProp194.xml"/><Relationship Id="rId37" Type="http://schemas.openxmlformats.org/officeDocument/2006/relationships/ctrlProp" Target="../ctrlProps/ctrlProp199.xml"/><Relationship Id="rId40" Type="http://schemas.openxmlformats.org/officeDocument/2006/relationships/ctrlProp" Target="../ctrlProps/ctrlProp202.xml"/><Relationship Id="rId45" Type="http://schemas.openxmlformats.org/officeDocument/2006/relationships/ctrlProp" Target="../ctrlProps/ctrlProp207.xml"/><Relationship Id="rId53" Type="http://schemas.openxmlformats.org/officeDocument/2006/relationships/ctrlProp" Target="../ctrlProps/ctrlProp215.xml"/><Relationship Id="rId58" Type="http://schemas.openxmlformats.org/officeDocument/2006/relationships/ctrlProp" Target="../ctrlProps/ctrlProp220.xml"/><Relationship Id="rId5" Type="http://schemas.openxmlformats.org/officeDocument/2006/relationships/ctrlProp" Target="../ctrlProps/ctrlProp167.xml"/><Relationship Id="rId15" Type="http://schemas.openxmlformats.org/officeDocument/2006/relationships/ctrlProp" Target="../ctrlProps/ctrlProp177.xml"/><Relationship Id="rId23" Type="http://schemas.openxmlformats.org/officeDocument/2006/relationships/ctrlProp" Target="../ctrlProps/ctrlProp185.xml"/><Relationship Id="rId28" Type="http://schemas.openxmlformats.org/officeDocument/2006/relationships/ctrlProp" Target="../ctrlProps/ctrlProp190.xml"/><Relationship Id="rId36" Type="http://schemas.openxmlformats.org/officeDocument/2006/relationships/ctrlProp" Target="../ctrlProps/ctrlProp198.xml"/><Relationship Id="rId49" Type="http://schemas.openxmlformats.org/officeDocument/2006/relationships/ctrlProp" Target="../ctrlProps/ctrlProp211.xml"/><Relationship Id="rId57" Type="http://schemas.openxmlformats.org/officeDocument/2006/relationships/ctrlProp" Target="../ctrlProps/ctrlProp219.xml"/><Relationship Id="rId10" Type="http://schemas.openxmlformats.org/officeDocument/2006/relationships/ctrlProp" Target="../ctrlProps/ctrlProp172.xml"/><Relationship Id="rId19" Type="http://schemas.openxmlformats.org/officeDocument/2006/relationships/ctrlProp" Target="../ctrlProps/ctrlProp181.xml"/><Relationship Id="rId31" Type="http://schemas.openxmlformats.org/officeDocument/2006/relationships/ctrlProp" Target="../ctrlProps/ctrlProp193.xml"/><Relationship Id="rId44" Type="http://schemas.openxmlformats.org/officeDocument/2006/relationships/ctrlProp" Target="../ctrlProps/ctrlProp206.xml"/><Relationship Id="rId52" Type="http://schemas.openxmlformats.org/officeDocument/2006/relationships/ctrlProp" Target="../ctrlProps/ctrlProp214.xml"/><Relationship Id="rId4" Type="http://schemas.openxmlformats.org/officeDocument/2006/relationships/ctrlProp" Target="../ctrlProps/ctrlProp166.xml"/><Relationship Id="rId9" Type="http://schemas.openxmlformats.org/officeDocument/2006/relationships/ctrlProp" Target="../ctrlProps/ctrlProp171.xml"/><Relationship Id="rId14" Type="http://schemas.openxmlformats.org/officeDocument/2006/relationships/ctrlProp" Target="../ctrlProps/ctrlProp176.xml"/><Relationship Id="rId22" Type="http://schemas.openxmlformats.org/officeDocument/2006/relationships/ctrlProp" Target="../ctrlProps/ctrlProp184.xml"/><Relationship Id="rId27" Type="http://schemas.openxmlformats.org/officeDocument/2006/relationships/ctrlProp" Target="../ctrlProps/ctrlProp189.xml"/><Relationship Id="rId30" Type="http://schemas.openxmlformats.org/officeDocument/2006/relationships/ctrlProp" Target="../ctrlProps/ctrlProp192.xml"/><Relationship Id="rId35" Type="http://schemas.openxmlformats.org/officeDocument/2006/relationships/ctrlProp" Target="../ctrlProps/ctrlProp197.xml"/><Relationship Id="rId43" Type="http://schemas.openxmlformats.org/officeDocument/2006/relationships/ctrlProp" Target="../ctrlProps/ctrlProp205.xml"/><Relationship Id="rId48" Type="http://schemas.openxmlformats.org/officeDocument/2006/relationships/ctrlProp" Target="../ctrlProps/ctrlProp210.xml"/><Relationship Id="rId56" Type="http://schemas.openxmlformats.org/officeDocument/2006/relationships/ctrlProp" Target="../ctrlProps/ctrlProp218.xml"/><Relationship Id="rId8" Type="http://schemas.openxmlformats.org/officeDocument/2006/relationships/ctrlProp" Target="../ctrlProps/ctrlProp170.xml"/><Relationship Id="rId51" Type="http://schemas.openxmlformats.org/officeDocument/2006/relationships/ctrlProp" Target="../ctrlProps/ctrlProp213.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3" Type="http://schemas.openxmlformats.org/officeDocument/2006/relationships/ctrlProp" Target="../ctrlProps/ctrlProp230.xml"/><Relationship Id="rId18" Type="http://schemas.openxmlformats.org/officeDocument/2006/relationships/ctrlProp" Target="../ctrlProps/ctrlProp235.xml"/><Relationship Id="rId26" Type="http://schemas.openxmlformats.org/officeDocument/2006/relationships/ctrlProp" Target="../ctrlProps/ctrlProp243.xml"/><Relationship Id="rId39" Type="http://schemas.openxmlformats.org/officeDocument/2006/relationships/ctrlProp" Target="../ctrlProps/ctrlProp256.xml"/><Relationship Id="rId21" Type="http://schemas.openxmlformats.org/officeDocument/2006/relationships/ctrlProp" Target="../ctrlProps/ctrlProp238.xml"/><Relationship Id="rId34" Type="http://schemas.openxmlformats.org/officeDocument/2006/relationships/ctrlProp" Target="../ctrlProps/ctrlProp251.xml"/><Relationship Id="rId42" Type="http://schemas.openxmlformats.org/officeDocument/2006/relationships/ctrlProp" Target="../ctrlProps/ctrlProp259.xml"/><Relationship Id="rId47" Type="http://schemas.openxmlformats.org/officeDocument/2006/relationships/ctrlProp" Target="../ctrlProps/ctrlProp264.xml"/><Relationship Id="rId50" Type="http://schemas.openxmlformats.org/officeDocument/2006/relationships/ctrlProp" Target="../ctrlProps/ctrlProp267.xml"/><Relationship Id="rId55" Type="http://schemas.openxmlformats.org/officeDocument/2006/relationships/ctrlProp" Target="../ctrlProps/ctrlProp272.xml"/><Relationship Id="rId7" Type="http://schemas.openxmlformats.org/officeDocument/2006/relationships/ctrlProp" Target="../ctrlProps/ctrlProp224.xml"/><Relationship Id="rId12" Type="http://schemas.openxmlformats.org/officeDocument/2006/relationships/ctrlProp" Target="../ctrlProps/ctrlProp229.xml"/><Relationship Id="rId17" Type="http://schemas.openxmlformats.org/officeDocument/2006/relationships/ctrlProp" Target="../ctrlProps/ctrlProp234.xml"/><Relationship Id="rId25" Type="http://schemas.openxmlformats.org/officeDocument/2006/relationships/ctrlProp" Target="../ctrlProps/ctrlProp242.xml"/><Relationship Id="rId33" Type="http://schemas.openxmlformats.org/officeDocument/2006/relationships/ctrlProp" Target="../ctrlProps/ctrlProp250.xml"/><Relationship Id="rId38" Type="http://schemas.openxmlformats.org/officeDocument/2006/relationships/ctrlProp" Target="../ctrlProps/ctrlProp255.xml"/><Relationship Id="rId46" Type="http://schemas.openxmlformats.org/officeDocument/2006/relationships/ctrlProp" Target="../ctrlProps/ctrlProp263.xml"/><Relationship Id="rId59" Type="http://schemas.openxmlformats.org/officeDocument/2006/relationships/comments" Target="../comments10.xml"/><Relationship Id="rId2" Type="http://schemas.openxmlformats.org/officeDocument/2006/relationships/drawing" Target="../drawings/drawing6.xml"/><Relationship Id="rId16" Type="http://schemas.openxmlformats.org/officeDocument/2006/relationships/ctrlProp" Target="../ctrlProps/ctrlProp233.xml"/><Relationship Id="rId20" Type="http://schemas.openxmlformats.org/officeDocument/2006/relationships/ctrlProp" Target="../ctrlProps/ctrlProp237.xml"/><Relationship Id="rId29" Type="http://schemas.openxmlformats.org/officeDocument/2006/relationships/ctrlProp" Target="../ctrlProps/ctrlProp246.xml"/><Relationship Id="rId41" Type="http://schemas.openxmlformats.org/officeDocument/2006/relationships/ctrlProp" Target="../ctrlProps/ctrlProp258.xml"/><Relationship Id="rId54" Type="http://schemas.openxmlformats.org/officeDocument/2006/relationships/ctrlProp" Target="../ctrlProps/ctrlProp271.xml"/><Relationship Id="rId1" Type="http://schemas.openxmlformats.org/officeDocument/2006/relationships/printerSettings" Target="../printerSettings/printerSettings12.bin"/><Relationship Id="rId6" Type="http://schemas.openxmlformats.org/officeDocument/2006/relationships/ctrlProp" Target="../ctrlProps/ctrlProp223.xml"/><Relationship Id="rId11" Type="http://schemas.openxmlformats.org/officeDocument/2006/relationships/ctrlProp" Target="../ctrlProps/ctrlProp228.xml"/><Relationship Id="rId24" Type="http://schemas.openxmlformats.org/officeDocument/2006/relationships/ctrlProp" Target="../ctrlProps/ctrlProp241.xml"/><Relationship Id="rId32" Type="http://schemas.openxmlformats.org/officeDocument/2006/relationships/ctrlProp" Target="../ctrlProps/ctrlProp249.xml"/><Relationship Id="rId37" Type="http://schemas.openxmlformats.org/officeDocument/2006/relationships/ctrlProp" Target="../ctrlProps/ctrlProp254.xml"/><Relationship Id="rId40" Type="http://schemas.openxmlformats.org/officeDocument/2006/relationships/ctrlProp" Target="../ctrlProps/ctrlProp257.xml"/><Relationship Id="rId45" Type="http://schemas.openxmlformats.org/officeDocument/2006/relationships/ctrlProp" Target="../ctrlProps/ctrlProp262.xml"/><Relationship Id="rId53" Type="http://schemas.openxmlformats.org/officeDocument/2006/relationships/ctrlProp" Target="../ctrlProps/ctrlProp270.xml"/><Relationship Id="rId58" Type="http://schemas.openxmlformats.org/officeDocument/2006/relationships/ctrlProp" Target="../ctrlProps/ctrlProp275.xml"/><Relationship Id="rId5" Type="http://schemas.openxmlformats.org/officeDocument/2006/relationships/ctrlProp" Target="../ctrlProps/ctrlProp222.xml"/><Relationship Id="rId15" Type="http://schemas.openxmlformats.org/officeDocument/2006/relationships/ctrlProp" Target="../ctrlProps/ctrlProp232.xml"/><Relationship Id="rId23" Type="http://schemas.openxmlformats.org/officeDocument/2006/relationships/ctrlProp" Target="../ctrlProps/ctrlProp240.xml"/><Relationship Id="rId28" Type="http://schemas.openxmlformats.org/officeDocument/2006/relationships/ctrlProp" Target="../ctrlProps/ctrlProp245.xml"/><Relationship Id="rId36" Type="http://schemas.openxmlformats.org/officeDocument/2006/relationships/ctrlProp" Target="../ctrlProps/ctrlProp253.xml"/><Relationship Id="rId49" Type="http://schemas.openxmlformats.org/officeDocument/2006/relationships/ctrlProp" Target="../ctrlProps/ctrlProp266.xml"/><Relationship Id="rId57" Type="http://schemas.openxmlformats.org/officeDocument/2006/relationships/ctrlProp" Target="../ctrlProps/ctrlProp274.xml"/><Relationship Id="rId10" Type="http://schemas.openxmlformats.org/officeDocument/2006/relationships/ctrlProp" Target="../ctrlProps/ctrlProp227.xml"/><Relationship Id="rId19" Type="http://schemas.openxmlformats.org/officeDocument/2006/relationships/ctrlProp" Target="../ctrlProps/ctrlProp236.xml"/><Relationship Id="rId31" Type="http://schemas.openxmlformats.org/officeDocument/2006/relationships/ctrlProp" Target="../ctrlProps/ctrlProp248.xml"/><Relationship Id="rId44" Type="http://schemas.openxmlformats.org/officeDocument/2006/relationships/ctrlProp" Target="../ctrlProps/ctrlProp261.xml"/><Relationship Id="rId52" Type="http://schemas.openxmlformats.org/officeDocument/2006/relationships/ctrlProp" Target="../ctrlProps/ctrlProp269.xml"/><Relationship Id="rId4" Type="http://schemas.openxmlformats.org/officeDocument/2006/relationships/ctrlProp" Target="../ctrlProps/ctrlProp221.xml"/><Relationship Id="rId9" Type="http://schemas.openxmlformats.org/officeDocument/2006/relationships/ctrlProp" Target="../ctrlProps/ctrlProp226.xml"/><Relationship Id="rId14" Type="http://schemas.openxmlformats.org/officeDocument/2006/relationships/ctrlProp" Target="../ctrlProps/ctrlProp231.xml"/><Relationship Id="rId22" Type="http://schemas.openxmlformats.org/officeDocument/2006/relationships/ctrlProp" Target="../ctrlProps/ctrlProp239.xml"/><Relationship Id="rId27" Type="http://schemas.openxmlformats.org/officeDocument/2006/relationships/ctrlProp" Target="../ctrlProps/ctrlProp244.xml"/><Relationship Id="rId30" Type="http://schemas.openxmlformats.org/officeDocument/2006/relationships/ctrlProp" Target="../ctrlProps/ctrlProp247.xml"/><Relationship Id="rId35" Type="http://schemas.openxmlformats.org/officeDocument/2006/relationships/ctrlProp" Target="../ctrlProps/ctrlProp252.xml"/><Relationship Id="rId43" Type="http://schemas.openxmlformats.org/officeDocument/2006/relationships/ctrlProp" Target="../ctrlProps/ctrlProp260.xml"/><Relationship Id="rId48" Type="http://schemas.openxmlformats.org/officeDocument/2006/relationships/ctrlProp" Target="../ctrlProps/ctrlProp265.xml"/><Relationship Id="rId56" Type="http://schemas.openxmlformats.org/officeDocument/2006/relationships/ctrlProp" Target="../ctrlProps/ctrlProp273.xml"/><Relationship Id="rId8" Type="http://schemas.openxmlformats.org/officeDocument/2006/relationships/ctrlProp" Target="../ctrlProps/ctrlProp225.xml"/><Relationship Id="rId51" Type="http://schemas.openxmlformats.org/officeDocument/2006/relationships/ctrlProp" Target="../ctrlProps/ctrlProp268.xml"/><Relationship Id="rId3"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3.bin"/><Relationship Id="rId1" Type="http://schemas.openxmlformats.org/officeDocument/2006/relationships/hyperlink" Target="mailto:orders@sky-frame.ch?subject=Sky-Frame%20Bestellung:%20OOOO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omments" Target="../comments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65.xml"/><Relationship Id="rId18" Type="http://schemas.openxmlformats.org/officeDocument/2006/relationships/ctrlProp" Target="../ctrlProps/ctrlProp70.xml"/><Relationship Id="rId26" Type="http://schemas.openxmlformats.org/officeDocument/2006/relationships/ctrlProp" Target="../ctrlProps/ctrlProp78.xml"/><Relationship Id="rId39" Type="http://schemas.openxmlformats.org/officeDocument/2006/relationships/ctrlProp" Target="../ctrlProps/ctrlProp91.xml"/><Relationship Id="rId21" Type="http://schemas.openxmlformats.org/officeDocument/2006/relationships/ctrlProp" Target="../ctrlProps/ctrlProp73.xml"/><Relationship Id="rId34" Type="http://schemas.openxmlformats.org/officeDocument/2006/relationships/ctrlProp" Target="../ctrlProps/ctrlProp86.xml"/><Relationship Id="rId42" Type="http://schemas.openxmlformats.org/officeDocument/2006/relationships/ctrlProp" Target="../ctrlProps/ctrlProp94.xml"/><Relationship Id="rId47" Type="http://schemas.openxmlformats.org/officeDocument/2006/relationships/ctrlProp" Target="../ctrlProps/ctrlProp99.xml"/><Relationship Id="rId50" Type="http://schemas.openxmlformats.org/officeDocument/2006/relationships/ctrlProp" Target="../ctrlProps/ctrlProp102.xml"/><Relationship Id="rId55" Type="http://schemas.openxmlformats.org/officeDocument/2006/relationships/ctrlProp" Target="../ctrlProps/ctrlProp107.xml"/><Relationship Id="rId7" Type="http://schemas.openxmlformats.org/officeDocument/2006/relationships/ctrlProp" Target="../ctrlProps/ctrlProp59.xml"/><Relationship Id="rId12" Type="http://schemas.openxmlformats.org/officeDocument/2006/relationships/ctrlProp" Target="../ctrlProps/ctrlProp64.xml"/><Relationship Id="rId17" Type="http://schemas.openxmlformats.org/officeDocument/2006/relationships/ctrlProp" Target="../ctrlProps/ctrlProp69.xml"/><Relationship Id="rId25" Type="http://schemas.openxmlformats.org/officeDocument/2006/relationships/ctrlProp" Target="../ctrlProps/ctrlProp77.xml"/><Relationship Id="rId33" Type="http://schemas.openxmlformats.org/officeDocument/2006/relationships/ctrlProp" Target="../ctrlProps/ctrlProp85.xml"/><Relationship Id="rId38" Type="http://schemas.openxmlformats.org/officeDocument/2006/relationships/ctrlProp" Target="../ctrlProps/ctrlProp90.xml"/><Relationship Id="rId46" Type="http://schemas.openxmlformats.org/officeDocument/2006/relationships/ctrlProp" Target="../ctrlProps/ctrlProp98.xml"/><Relationship Id="rId59" Type="http://schemas.openxmlformats.org/officeDocument/2006/relationships/comments" Target="../comments4.xml"/><Relationship Id="rId2" Type="http://schemas.openxmlformats.org/officeDocument/2006/relationships/drawing" Target="../drawings/drawing3.xml"/><Relationship Id="rId16" Type="http://schemas.openxmlformats.org/officeDocument/2006/relationships/ctrlProp" Target="../ctrlProps/ctrlProp68.xml"/><Relationship Id="rId20" Type="http://schemas.openxmlformats.org/officeDocument/2006/relationships/ctrlProp" Target="../ctrlProps/ctrlProp72.xml"/><Relationship Id="rId29" Type="http://schemas.openxmlformats.org/officeDocument/2006/relationships/ctrlProp" Target="../ctrlProps/ctrlProp81.xml"/><Relationship Id="rId41" Type="http://schemas.openxmlformats.org/officeDocument/2006/relationships/ctrlProp" Target="../ctrlProps/ctrlProp93.xml"/><Relationship Id="rId54" Type="http://schemas.openxmlformats.org/officeDocument/2006/relationships/ctrlProp" Target="../ctrlProps/ctrlProp106.xml"/><Relationship Id="rId1" Type="http://schemas.openxmlformats.org/officeDocument/2006/relationships/printerSettings" Target="../printerSettings/printerSettings6.bin"/><Relationship Id="rId6" Type="http://schemas.openxmlformats.org/officeDocument/2006/relationships/ctrlProp" Target="../ctrlProps/ctrlProp58.xml"/><Relationship Id="rId11" Type="http://schemas.openxmlformats.org/officeDocument/2006/relationships/ctrlProp" Target="../ctrlProps/ctrlProp63.xml"/><Relationship Id="rId24" Type="http://schemas.openxmlformats.org/officeDocument/2006/relationships/ctrlProp" Target="../ctrlProps/ctrlProp76.xml"/><Relationship Id="rId32" Type="http://schemas.openxmlformats.org/officeDocument/2006/relationships/ctrlProp" Target="../ctrlProps/ctrlProp84.xml"/><Relationship Id="rId37" Type="http://schemas.openxmlformats.org/officeDocument/2006/relationships/ctrlProp" Target="../ctrlProps/ctrlProp89.xml"/><Relationship Id="rId40" Type="http://schemas.openxmlformats.org/officeDocument/2006/relationships/ctrlProp" Target="../ctrlProps/ctrlProp92.xml"/><Relationship Id="rId45" Type="http://schemas.openxmlformats.org/officeDocument/2006/relationships/ctrlProp" Target="../ctrlProps/ctrlProp97.xml"/><Relationship Id="rId53" Type="http://schemas.openxmlformats.org/officeDocument/2006/relationships/ctrlProp" Target="../ctrlProps/ctrlProp105.xml"/><Relationship Id="rId58" Type="http://schemas.openxmlformats.org/officeDocument/2006/relationships/ctrlProp" Target="../ctrlProps/ctrlProp110.xml"/><Relationship Id="rId5" Type="http://schemas.openxmlformats.org/officeDocument/2006/relationships/ctrlProp" Target="../ctrlProps/ctrlProp57.xml"/><Relationship Id="rId15" Type="http://schemas.openxmlformats.org/officeDocument/2006/relationships/ctrlProp" Target="../ctrlProps/ctrlProp67.xml"/><Relationship Id="rId23" Type="http://schemas.openxmlformats.org/officeDocument/2006/relationships/ctrlProp" Target="../ctrlProps/ctrlProp75.xml"/><Relationship Id="rId28" Type="http://schemas.openxmlformats.org/officeDocument/2006/relationships/ctrlProp" Target="../ctrlProps/ctrlProp80.xml"/><Relationship Id="rId36" Type="http://schemas.openxmlformats.org/officeDocument/2006/relationships/ctrlProp" Target="../ctrlProps/ctrlProp88.xml"/><Relationship Id="rId49" Type="http://schemas.openxmlformats.org/officeDocument/2006/relationships/ctrlProp" Target="../ctrlProps/ctrlProp101.xml"/><Relationship Id="rId57" Type="http://schemas.openxmlformats.org/officeDocument/2006/relationships/ctrlProp" Target="../ctrlProps/ctrlProp109.xml"/><Relationship Id="rId10" Type="http://schemas.openxmlformats.org/officeDocument/2006/relationships/ctrlProp" Target="../ctrlProps/ctrlProp62.xml"/><Relationship Id="rId19" Type="http://schemas.openxmlformats.org/officeDocument/2006/relationships/ctrlProp" Target="../ctrlProps/ctrlProp71.xml"/><Relationship Id="rId31" Type="http://schemas.openxmlformats.org/officeDocument/2006/relationships/ctrlProp" Target="../ctrlProps/ctrlProp83.xml"/><Relationship Id="rId44" Type="http://schemas.openxmlformats.org/officeDocument/2006/relationships/ctrlProp" Target="../ctrlProps/ctrlProp96.xml"/><Relationship Id="rId52" Type="http://schemas.openxmlformats.org/officeDocument/2006/relationships/ctrlProp" Target="../ctrlProps/ctrlProp104.xml"/><Relationship Id="rId4" Type="http://schemas.openxmlformats.org/officeDocument/2006/relationships/ctrlProp" Target="../ctrlProps/ctrlProp56.xml"/><Relationship Id="rId9" Type="http://schemas.openxmlformats.org/officeDocument/2006/relationships/ctrlProp" Target="../ctrlProps/ctrlProp61.xml"/><Relationship Id="rId14" Type="http://schemas.openxmlformats.org/officeDocument/2006/relationships/ctrlProp" Target="../ctrlProps/ctrlProp66.xml"/><Relationship Id="rId22" Type="http://schemas.openxmlformats.org/officeDocument/2006/relationships/ctrlProp" Target="../ctrlProps/ctrlProp74.xml"/><Relationship Id="rId27" Type="http://schemas.openxmlformats.org/officeDocument/2006/relationships/ctrlProp" Target="../ctrlProps/ctrlProp79.xml"/><Relationship Id="rId30" Type="http://schemas.openxmlformats.org/officeDocument/2006/relationships/ctrlProp" Target="../ctrlProps/ctrlProp82.xml"/><Relationship Id="rId35" Type="http://schemas.openxmlformats.org/officeDocument/2006/relationships/ctrlProp" Target="../ctrlProps/ctrlProp87.xml"/><Relationship Id="rId43" Type="http://schemas.openxmlformats.org/officeDocument/2006/relationships/ctrlProp" Target="../ctrlProps/ctrlProp95.xml"/><Relationship Id="rId48" Type="http://schemas.openxmlformats.org/officeDocument/2006/relationships/ctrlProp" Target="../ctrlProps/ctrlProp100.xml"/><Relationship Id="rId56" Type="http://schemas.openxmlformats.org/officeDocument/2006/relationships/ctrlProp" Target="../ctrlProps/ctrlProp108.xml"/><Relationship Id="rId8" Type="http://schemas.openxmlformats.org/officeDocument/2006/relationships/ctrlProp" Target="../ctrlProps/ctrlProp60.xml"/><Relationship Id="rId51" Type="http://schemas.openxmlformats.org/officeDocument/2006/relationships/ctrlProp" Target="../ctrlProps/ctrlProp103.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ctrlProp" Target="../ctrlProps/ctrlProp120.xml"/><Relationship Id="rId18" Type="http://schemas.openxmlformats.org/officeDocument/2006/relationships/ctrlProp" Target="../ctrlProps/ctrlProp125.xml"/><Relationship Id="rId26" Type="http://schemas.openxmlformats.org/officeDocument/2006/relationships/ctrlProp" Target="../ctrlProps/ctrlProp133.xml"/><Relationship Id="rId39" Type="http://schemas.openxmlformats.org/officeDocument/2006/relationships/ctrlProp" Target="../ctrlProps/ctrlProp146.xml"/><Relationship Id="rId21" Type="http://schemas.openxmlformats.org/officeDocument/2006/relationships/ctrlProp" Target="../ctrlProps/ctrlProp128.xml"/><Relationship Id="rId34" Type="http://schemas.openxmlformats.org/officeDocument/2006/relationships/ctrlProp" Target="../ctrlProps/ctrlProp141.xml"/><Relationship Id="rId42" Type="http://schemas.openxmlformats.org/officeDocument/2006/relationships/ctrlProp" Target="../ctrlProps/ctrlProp149.xml"/><Relationship Id="rId47" Type="http://schemas.openxmlformats.org/officeDocument/2006/relationships/ctrlProp" Target="../ctrlProps/ctrlProp154.xml"/><Relationship Id="rId50" Type="http://schemas.openxmlformats.org/officeDocument/2006/relationships/ctrlProp" Target="../ctrlProps/ctrlProp157.xml"/><Relationship Id="rId55" Type="http://schemas.openxmlformats.org/officeDocument/2006/relationships/ctrlProp" Target="../ctrlProps/ctrlProp162.xml"/><Relationship Id="rId7" Type="http://schemas.openxmlformats.org/officeDocument/2006/relationships/ctrlProp" Target="../ctrlProps/ctrlProp114.xml"/><Relationship Id="rId12" Type="http://schemas.openxmlformats.org/officeDocument/2006/relationships/ctrlProp" Target="../ctrlProps/ctrlProp119.xml"/><Relationship Id="rId17" Type="http://schemas.openxmlformats.org/officeDocument/2006/relationships/ctrlProp" Target="../ctrlProps/ctrlProp124.xml"/><Relationship Id="rId25" Type="http://schemas.openxmlformats.org/officeDocument/2006/relationships/ctrlProp" Target="../ctrlProps/ctrlProp132.xml"/><Relationship Id="rId33" Type="http://schemas.openxmlformats.org/officeDocument/2006/relationships/ctrlProp" Target="../ctrlProps/ctrlProp140.xml"/><Relationship Id="rId38" Type="http://schemas.openxmlformats.org/officeDocument/2006/relationships/ctrlProp" Target="../ctrlProps/ctrlProp145.xml"/><Relationship Id="rId46" Type="http://schemas.openxmlformats.org/officeDocument/2006/relationships/ctrlProp" Target="../ctrlProps/ctrlProp153.xml"/><Relationship Id="rId59" Type="http://schemas.openxmlformats.org/officeDocument/2006/relationships/comments" Target="../comments6.xml"/><Relationship Id="rId2" Type="http://schemas.openxmlformats.org/officeDocument/2006/relationships/drawing" Target="../drawings/drawing4.xml"/><Relationship Id="rId16" Type="http://schemas.openxmlformats.org/officeDocument/2006/relationships/ctrlProp" Target="../ctrlProps/ctrlProp123.xml"/><Relationship Id="rId20" Type="http://schemas.openxmlformats.org/officeDocument/2006/relationships/ctrlProp" Target="../ctrlProps/ctrlProp127.xml"/><Relationship Id="rId29" Type="http://schemas.openxmlformats.org/officeDocument/2006/relationships/ctrlProp" Target="../ctrlProps/ctrlProp136.xml"/><Relationship Id="rId41" Type="http://schemas.openxmlformats.org/officeDocument/2006/relationships/ctrlProp" Target="../ctrlProps/ctrlProp148.xml"/><Relationship Id="rId54" Type="http://schemas.openxmlformats.org/officeDocument/2006/relationships/ctrlProp" Target="../ctrlProps/ctrlProp161.xml"/><Relationship Id="rId1" Type="http://schemas.openxmlformats.org/officeDocument/2006/relationships/printerSettings" Target="../printerSettings/printerSettings8.bin"/><Relationship Id="rId6" Type="http://schemas.openxmlformats.org/officeDocument/2006/relationships/ctrlProp" Target="../ctrlProps/ctrlProp113.xml"/><Relationship Id="rId11" Type="http://schemas.openxmlformats.org/officeDocument/2006/relationships/ctrlProp" Target="../ctrlProps/ctrlProp118.xml"/><Relationship Id="rId24" Type="http://schemas.openxmlformats.org/officeDocument/2006/relationships/ctrlProp" Target="../ctrlProps/ctrlProp131.xml"/><Relationship Id="rId32" Type="http://schemas.openxmlformats.org/officeDocument/2006/relationships/ctrlProp" Target="../ctrlProps/ctrlProp139.xml"/><Relationship Id="rId37" Type="http://schemas.openxmlformats.org/officeDocument/2006/relationships/ctrlProp" Target="../ctrlProps/ctrlProp144.xml"/><Relationship Id="rId40" Type="http://schemas.openxmlformats.org/officeDocument/2006/relationships/ctrlProp" Target="../ctrlProps/ctrlProp147.xml"/><Relationship Id="rId45" Type="http://schemas.openxmlformats.org/officeDocument/2006/relationships/ctrlProp" Target="../ctrlProps/ctrlProp152.xml"/><Relationship Id="rId53" Type="http://schemas.openxmlformats.org/officeDocument/2006/relationships/ctrlProp" Target="../ctrlProps/ctrlProp160.xml"/><Relationship Id="rId58" Type="http://schemas.openxmlformats.org/officeDocument/2006/relationships/ctrlProp" Target="../ctrlProps/ctrlProp165.xml"/><Relationship Id="rId5" Type="http://schemas.openxmlformats.org/officeDocument/2006/relationships/ctrlProp" Target="../ctrlProps/ctrlProp112.xml"/><Relationship Id="rId15" Type="http://schemas.openxmlformats.org/officeDocument/2006/relationships/ctrlProp" Target="../ctrlProps/ctrlProp122.xml"/><Relationship Id="rId23" Type="http://schemas.openxmlformats.org/officeDocument/2006/relationships/ctrlProp" Target="../ctrlProps/ctrlProp130.xml"/><Relationship Id="rId28" Type="http://schemas.openxmlformats.org/officeDocument/2006/relationships/ctrlProp" Target="../ctrlProps/ctrlProp135.xml"/><Relationship Id="rId36" Type="http://schemas.openxmlformats.org/officeDocument/2006/relationships/ctrlProp" Target="../ctrlProps/ctrlProp143.xml"/><Relationship Id="rId49" Type="http://schemas.openxmlformats.org/officeDocument/2006/relationships/ctrlProp" Target="../ctrlProps/ctrlProp156.xml"/><Relationship Id="rId57" Type="http://schemas.openxmlformats.org/officeDocument/2006/relationships/ctrlProp" Target="../ctrlProps/ctrlProp164.xml"/><Relationship Id="rId10" Type="http://schemas.openxmlformats.org/officeDocument/2006/relationships/ctrlProp" Target="../ctrlProps/ctrlProp117.xml"/><Relationship Id="rId19" Type="http://schemas.openxmlformats.org/officeDocument/2006/relationships/ctrlProp" Target="../ctrlProps/ctrlProp126.xml"/><Relationship Id="rId31" Type="http://schemas.openxmlformats.org/officeDocument/2006/relationships/ctrlProp" Target="../ctrlProps/ctrlProp138.xml"/><Relationship Id="rId44" Type="http://schemas.openxmlformats.org/officeDocument/2006/relationships/ctrlProp" Target="../ctrlProps/ctrlProp151.xml"/><Relationship Id="rId52" Type="http://schemas.openxmlformats.org/officeDocument/2006/relationships/ctrlProp" Target="../ctrlProps/ctrlProp159.xml"/><Relationship Id="rId4" Type="http://schemas.openxmlformats.org/officeDocument/2006/relationships/ctrlProp" Target="../ctrlProps/ctrlProp111.xml"/><Relationship Id="rId9" Type="http://schemas.openxmlformats.org/officeDocument/2006/relationships/ctrlProp" Target="../ctrlProps/ctrlProp116.xml"/><Relationship Id="rId14" Type="http://schemas.openxmlformats.org/officeDocument/2006/relationships/ctrlProp" Target="../ctrlProps/ctrlProp121.xml"/><Relationship Id="rId22" Type="http://schemas.openxmlformats.org/officeDocument/2006/relationships/ctrlProp" Target="../ctrlProps/ctrlProp129.xml"/><Relationship Id="rId27" Type="http://schemas.openxmlformats.org/officeDocument/2006/relationships/ctrlProp" Target="../ctrlProps/ctrlProp134.xml"/><Relationship Id="rId30" Type="http://schemas.openxmlformats.org/officeDocument/2006/relationships/ctrlProp" Target="../ctrlProps/ctrlProp137.xml"/><Relationship Id="rId35" Type="http://schemas.openxmlformats.org/officeDocument/2006/relationships/ctrlProp" Target="../ctrlProps/ctrlProp142.xml"/><Relationship Id="rId43" Type="http://schemas.openxmlformats.org/officeDocument/2006/relationships/ctrlProp" Target="../ctrlProps/ctrlProp150.xml"/><Relationship Id="rId48" Type="http://schemas.openxmlformats.org/officeDocument/2006/relationships/ctrlProp" Target="../ctrlProps/ctrlProp155.xml"/><Relationship Id="rId56" Type="http://schemas.openxmlformats.org/officeDocument/2006/relationships/ctrlProp" Target="../ctrlProps/ctrlProp163.xml"/><Relationship Id="rId8" Type="http://schemas.openxmlformats.org/officeDocument/2006/relationships/ctrlProp" Target="../ctrlProps/ctrlProp115.xml"/><Relationship Id="rId51" Type="http://schemas.openxmlformats.org/officeDocument/2006/relationships/ctrlProp" Target="../ctrlProps/ctrlProp15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2:H49"/>
  <sheetViews>
    <sheetView workbookViewId="0">
      <pane ySplit="3" topLeftCell="A4" activePane="bottomLeft" state="frozen"/>
      <selection pane="bottomLeft" activeCell="H40" sqref="H40"/>
    </sheetView>
  </sheetViews>
  <sheetFormatPr baseColWidth="10" defaultColWidth="11.42578125" defaultRowHeight="12.75" x14ac:dyDescent="0.2"/>
  <cols>
    <col min="1" max="2" width="11.42578125" style="1"/>
    <col min="3" max="3" width="48.28515625" style="1" customWidth="1"/>
    <col min="4" max="5" width="5.85546875" style="1" customWidth="1"/>
    <col min="6" max="6" width="6.140625" style="1" customWidth="1"/>
    <col min="7" max="7" width="11.42578125" style="1"/>
    <col min="8" max="8" width="41.5703125" style="1" customWidth="1"/>
    <col min="9" max="16384" width="11.42578125" style="1"/>
  </cols>
  <sheetData>
    <row r="2" spans="1:8" ht="13.5" thickBot="1" x14ac:dyDescent="0.25"/>
    <row r="3" spans="1:8" ht="66.75" thickTop="1" x14ac:dyDescent="0.2">
      <c r="A3" s="158" t="s">
        <v>498</v>
      </c>
      <c r="B3" s="159" t="s">
        <v>494</v>
      </c>
      <c r="C3" s="160" t="s">
        <v>495</v>
      </c>
      <c r="D3" s="161" t="s">
        <v>496</v>
      </c>
      <c r="E3" s="162" t="s">
        <v>508</v>
      </c>
      <c r="F3" s="163" t="s">
        <v>497</v>
      </c>
      <c r="G3" s="160" t="s">
        <v>494</v>
      </c>
      <c r="H3" s="164" t="s">
        <v>502</v>
      </c>
    </row>
    <row r="4" spans="1:8" x14ac:dyDescent="0.2">
      <c r="A4" s="165" t="s">
        <v>500</v>
      </c>
      <c r="B4" s="166">
        <v>42333</v>
      </c>
      <c r="C4" s="173" t="s">
        <v>501</v>
      </c>
      <c r="D4" s="167" t="s">
        <v>499</v>
      </c>
      <c r="E4" s="168"/>
      <c r="F4" s="169"/>
      <c r="G4" s="170">
        <v>42333</v>
      </c>
      <c r="H4" s="171" t="s">
        <v>503</v>
      </c>
    </row>
    <row r="5" spans="1:8" ht="25.5" x14ac:dyDescent="0.2">
      <c r="A5" s="165" t="s">
        <v>500</v>
      </c>
      <c r="B5" s="166">
        <v>42333</v>
      </c>
      <c r="C5" s="173" t="s">
        <v>504</v>
      </c>
      <c r="D5" s="167"/>
      <c r="E5" s="168"/>
      <c r="F5" s="169" t="s">
        <v>499</v>
      </c>
      <c r="G5" s="170">
        <v>42339</v>
      </c>
      <c r="H5" s="172"/>
    </row>
    <row r="6" spans="1:8" ht="25.5" x14ac:dyDescent="0.2">
      <c r="A6" s="165" t="s">
        <v>500</v>
      </c>
      <c r="B6" s="166">
        <v>42333</v>
      </c>
      <c r="C6" s="173" t="s">
        <v>505</v>
      </c>
      <c r="D6" s="167" t="s">
        <v>499</v>
      </c>
      <c r="E6" s="168"/>
      <c r="F6" s="169"/>
      <c r="G6" s="170">
        <v>42333</v>
      </c>
      <c r="H6" s="172" t="s">
        <v>506</v>
      </c>
    </row>
    <row r="7" spans="1:8" ht="38.25" x14ac:dyDescent="0.2">
      <c r="A7" s="165" t="s">
        <v>507</v>
      </c>
      <c r="B7" s="166">
        <v>42333</v>
      </c>
      <c r="C7" s="173" t="s">
        <v>509</v>
      </c>
      <c r="D7" s="167" t="s">
        <v>499</v>
      </c>
      <c r="E7" s="168"/>
      <c r="F7" s="169"/>
      <c r="G7" s="170"/>
      <c r="H7" s="172"/>
    </row>
    <row r="8" spans="1:8" x14ac:dyDescent="0.2">
      <c r="A8" s="165" t="s">
        <v>500</v>
      </c>
      <c r="B8" s="166">
        <v>42333</v>
      </c>
      <c r="C8" s="173" t="s">
        <v>510</v>
      </c>
      <c r="D8" s="167"/>
      <c r="E8" s="168"/>
      <c r="F8" s="169" t="s">
        <v>499</v>
      </c>
      <c r="G8" s="170">
        <v>42339</v>
      </c>
      <c r="H8" s="172"/>
    </row>
    <row r="9" spans="1:8" x14ac:dyDescent="0.2">
      <c r="A9" s="165" t="s">
        <v>500</v>
      </c>
      <c r="B9" s="166">
        <v>42333</v>
      </c>
      <c r="C9" s="173" t="s">
        <v>511</v>
      </c>
      <c r="D9" s="167" t="s">
        <v>499</v>
      </c>
      <c r="E9" s="168"/>
      <c r="F9" s="169"/>
      <c r="G9" s="170">
        <v>42333</v>
      </c>
      <c r="H9" s="172" t="s">
        <v>512</v>
      </c>
    </row>
    <row r="10" spans="1:8" ht="25.5" x14ac:dyDescent="0.2">
      <c r="A10" s="165" t="s">
        <v>500</v>
      </c>
      <c r="B10" s="166">
        <v>42333</v>
      </c>
      <c r="C10" s="173" t="s">
        <v>513</v>
      </c>
      <c r="D10" s="167" t="s">
        <v>499</v>
      </c>
      <c r="E10" s="168"/>
      <c r="F10" s="169"/>
      <c r="G10" s="170">
        <v>42333</v>
      </c>
      <c r="H10" s="172" t="s">
        <v>514</v>
      </c>
    </row>
    <row r="11" spans="1:8" ht="25.5" x14ac:dyDescent="0.2">
      <c r="A11" s="165" t="s">
        <v>507</v>
      </c>
      <c r="B11" s="166">
        <v>42333</v>
      </c>
      <c r="C11" s="173" t="s">
        <v>515</v>
      </c>
      <c r="D11" s="167"/>
      <c r="E11" s="168"/>
      <c r="F11" s="169" t="s">
        <v>499</v>
      </c>
      <c r="G11" s="170">
        <v>42340</v>
      </c>
      <c r="H11" s="172" t="s">
        <v>551</v>
      </c>
    </row>
    <row r="12" spans="1:8" x14ac:dyDescent="0.2">
      <c r="A12" s="165" t="s">
        <v>500</v>
      </c>
      <c r="B12" s="166">
        <v>42333</v>
      </c>
      <c r="C12" s="173" t="s">
        <v>516</v>
      </c>
      <c r="D12" s="167"/>
      <c r="E12" s="168"/>
      <c r="F12" s="169" t="s">
        <v>499</v>
      </c>
      <c r="G12" s="170">
        <v>42333</v>
      </c>
      <c r="H12" s="172"/>
    </row>
    <row r="13" spans="1:8" x14ac:dyDescent="0.2">
      <c r="A13" s="165" t="s">
        <v>500</v>
      </c>
      <c r="B13" s="166">
        <v>42333</v>
      </c>
      <c r="C13" s="173" t="s">
        <v>517</v>
      </c>
      <c r="D13" s="167" t="s">
        <v>499</v>
      </c>
      <c r="E13" s="168"/>
      <c r="F13" s="169"/>
      <c r="G13" s="170">
        <v>42333</v>
      </c>
      <c r="H13" s="172" t="s">
        <v>518</v>
      </c>
    </row>
    <row r="14" spans="1:8" x14ac:dyDescent="0.2">
      <c r="A14" s="165" t="s">
        <v>500</v>
      </c>
      <c r="B14" s="166">
        <v>42333</v>
      </c>
      <c r="C14" s="173" t="s">
        <v>519</v>
      </c>
      <c r="D14" s="167"/>
      <c r="E14" s="168"/>
      <c r="F14" s="169" t="s">
        <v>499</v>
      </c>
      <c r="G14" s="170">
        <v>42335</v>
      </c>
      <c r="H14" s="172"/>
    </row>
    <row r="15" spans="1:8" ht="25.5" x14ac:dyDescent="0.2">
      <c r="A15" s="165" t="s">
        <v>500</v>
      </c>
      <c r="B15" s="166">
        <v>42333</v>
      </c>
      <c r="C15" s="173" t="s">
        <v>520</v>
      </c>
      <c r="D15" s="167" t="s">
        <v>499</v>
      </c>
      <c r="E15" s="168"/>
      <c r="F15" s="169"/>
      <c r="G15" s="170">
        <v>42333</v>
      </c>
      <c r="H15" s="172" t="s">
        <v>521</v>
      </c>
    </row>
    <row r="16" spans="1:8" x14ac:dyDescent="0.2">
      <c r="A16" s="165" t="s">
        <v>535</v>
      </c>
      <c r="B16" s="166">
        <v>42333</v>
      </c>
      <c r="C16" s="173" t="s">
        <v>522</v>
      </c>
      <c r="D16" s="167"/>
      <c r="E16" s="168"/>
      <c r="F16" s="169" t="s">
        <v>499</v>
      </c>
      <c r="G16" s="170">
        <v>42339</v>
      </c>
      <c r="H16" s="172" t="s">
        <v>545</v>
      </c>
    </row>
    <row r="17" spans="1:8" ht="25.5" x14ac:dyDescent="0.2">
      <c r="A17" s="165" t="s">
        <v>500</v>
      </c>
      <c r="B17" s="166">
        <v>42333</v>
      </c>
      <c r="C17" s="173" t="s">
        <v>523</v>
      </c>
      <c r="D17" s="167"/>
      <c r="E17" s="168"/>
      <c r="F17" s="169" t="s">
        <v>499</v>
      </c>
      <c r="G17" s="170">
        <v>42333</v>
      </c>
      <c r="H17" s="172"/>
    </row>
    <row r="18" spans="1:8" x14ac:dyDescent="0.2">
      <c r="A18" s="165" t="s">
        <v>531</v>
      </c>
      <c r="B18" s="166">
        <v>42333</v>
      </c>
      <c r="C18" s="173" t="s">
        <v>524</v>
      </c>
      <c r="D18" s="167"/>
      <c r="E18" s="168"/>
      <c r="F18" s="169" t="s">
        <v>499</v>
      </c>
      <c r="G18" s="170">
        <v>42333</v>
      </c>
      <c r="H18" s="172"/>
    </row>
    <row r="19" spans="1:8" x14ac:dyDescent="0.2">
      <c r="A19" s="165" t="s">
        <v>500</v>
      </c>
      <c r="B19" s="166">
        <v>42333</v>
      </c>
      <c r="C19" s="173" t="s">
        <v>525</v>
      </c>
      <c r="D19" s="167"/>
      <c r="E19" s="168"/>
      <c r="F19" s="169" t="s">
        <v>499</v>
      </c>
      <c r="G19" s="170">
        <v>42333</v>
      </c>
      <c r="H19" s="172"/>
    </row>
    <row r="20" spans="1:8" ht="25.5" x14ac:dyDescent="0.2">
      <c r="A20" s="165" t="s">
        <v>526</v>
      </c>
      <c r="B20" s="166">
        <v>42333</v>
      </c>
      <c r="C20" s="173" t="s">
        <v>527</v>
      </c>
      <c r="D20" s="167"/>
      <c r="E20" s="168"/>
      <c r="F20" s="169" t="s">
        <v>499</v>
      </c>
      <c r="G20" s="170">
        <v>42338</v>
      </c>
      <c r="H20" s="172"/>
    </row>
    <row r="21" spans="1:8" ht="25.5" x14ac:dyDescent="0.2">
      <c r="A21" s="165" t="s">
        <v>528</v>
      </c>
      <c r="B21" s="166">
        <v>42333</v>
      </c>
      <c r="C21" s="173" t="s">
        <v>529</v>
      </c>
      <c r="D21" s="167"/>
      <c r="E21" s="168"/>
      <c r="F21" s="169" t="s">
        <v>499</v>
      </c>
      <c r="G21" s="170">
        <v>42338</v>
      </c>
      <c r="H21" s="172"/>
    </row>
    <row r="22" spans="1:8" ht="25.5" x14ac:dyDescent="0.2">
      <c r="A22" s="165" t="s">
        <v>528</v>
      </c>
      <c r="B22" s="166">
        <v>42333</v>
      </c>
      <c r="C22" s="173" t="s">
        <v>530</v>
      </c>
      <c r="D22" s="167"/>
      <c r="E22" s="168"/>
      <c r="F22" s="169" t="s">
        <v>499</v>
      </c>
      <c r="G22" s="170">
        <v>42338</v>
      </c>
      <c r="H22" s="172"/>
    </row>
    <row r="23" spans="1:8" x14ac:dyDescent="0.2">
      <c r="A23" s="165" t="s">
        <v>528</v>
      </c>
      <c r="B23" s="166">
        <v>42333</v>
      </c>
      <c r="C23" s="173" t="s">
        <v>532</v>
      </c>
      <c r="D23" s="167"/>
      <c r="E23" s="168"/>
      <c r="F23" s="169" t="s">
        <v>499</v>
      </c>
      <c r="G23" s="170">
        <v>42333</v>
      </c>
      <c r="H23" s="172"/>
    </row>
    <row r="24" spans="1:8" ht="25.5" x14ac:dyDescent="0.2">
      <c r="A24" s="165" t="s">
        <v>528</v>
      </c>
      <c r="B24" s="166">
        <v>42333</v>
      </c>
      <c r="C24" s="173" t="s">
        <v>533</v>
      </c>
      <c r="D24" s="167"/>
      <c r="E24" s="168"/>
      <c r="F24" s="169" t="s">
        <v>499</v>
      </c>
      <c r="G24" s="170">
        <v>42333</v>
      </c>
      <c r="H24" s="172"/>
    </row>
    <row r="25" spans="1:8" ht="25.5" x14ac:dyDescent="0.2">
      <c r="A25" s="165" t="s">
        <v>528</v>
      </c>
      <c r="B25" s="166">
        <v>42333</v>
      </c>
      <c r="C25" s="173" t="s">
        <v>534</v>
      </c>
      <c r="D25" s="167"/>
      <c r="E25" s="168"/>
      <c r="F25" s="169" t="s">
        <v>499</v>
      </c>
      <c r="G25" s="170">
        <v>42335</v>
      </c>
      <c r="H25" s="172"/>
    </row>
    <row r="26" spans="1:8" ht="25.5" x14ac:dyDescent="0.2">
      <c r="A26" s="165" t="s">
        <v>536</v>
      </c>
      <c r="B26" s="166">
        <v>42338</v>
      </c>
      <c r="C26" s="173" t="s">
        <v>537</v>
      </c>
      <c r="D26" s="167"/>
      <c r="E26" s="168"/>
      <c r="F26" s="169" t="s">
        <v>499</v>
      </c>
      <c r="G26" s="170">
        <v>42339</v>
      </c>
      <c r="H26" s="172" t="s">
        <v>538</v>
      </c>
    </row>
    <row r="27" spans="1:8" ht="25.5" x14ac:dyDescent="0.2">
      <c r="A27" s="165" t="s">
        <v>536</v>
      </c>
      <c r="B27" s="166">
        <v>42338</v>
      </c>
      <c r="C27" s="173" t="s">
        <v>539</v>
      </c>
      <c r="D27" s="167"/>
      <c r="E27" s="168"/>
      <c r="F27" s="169" t="s">
        <v>499</v>
      </c>
      <c r="G27" s="170">
        <v>42339</v>
      </c>
      <c r="H27" s="172" t="s">
        <v>538</v>
      </c>
    </row>
    <row r="28" spans="1:8" x14ac:dyDescent="0.2">
      <c r="A28" s="165" t="s">
        <v>536</v>
      </c>
      <c r="B28" s="166">
        <v>42338</v>
      </c>
      <c r="C28" s="173" t="s">
        <v>540</v>
      </c>
      <c r="D28" s="167"/>
      <c r="E28" s="168"/>
      <c r="F28" s="169" t="s">
        <v>499</v>
      </c>
      <c r="G28" s="170">
        <v>42340</v>
      </c>
      <c r="H28" s="172"/>
    </row>
    <row r="29" spans="1:8" ht="25.5" x14ac:dyDescent="0.2">
      <c r="A29" s="165" t="s">
        <v>536</v>
      </c>
      <c r="B29" s="166">
        <v>42340</v>
      </c>
      <c r="C29" s="173" t="s">
        <v>547</v>
      </c>
      <c r="D29" s="167"/>
      <c r="E29" s="168"/>
      <c r="F29" s="169" t="s">
        <v>499</v>
      </c>
      <c r="G29" s="170">
        <v>42340</v>
      </c>
      <c r="H29" s="172" t="s">
        <v>548</v>
      </c>
    </row>
    <row r="30" spans="1:8" x14ac:dyDescent="0.2">
      <c r="A30" s="165" t="s">
        <v>557</v>
      </c>
      <c r="B30" s="166">
        <v>42341</v>
      </c>
      <c r="C30" s="173" t="s">
        <v>558</v>
      </c>
      <c r="D30" s="167"/>
      <c r="E30" s="168"/>
      <c r="F30" s="169" t="s">
        <v>499</v>
      </c>
      <c r="G30" s="170">
        <v>42341</v>
      </c>
      <c r="H30" s="172" t="s">
        <v>559</v>
      </c>
    </row>
    <row r="31" spans="1:8" x14ac:dyDescent="0.2">
      <c r="A31" s="165" t="s">
        <v>557</v>
      </c>
      <c r="B31" s="166">
        <v>42341</v>
      </c>
      <c r="C31" s="173" t="s">
        <v>588</v>
      </c>
      <c r="D31" s="167"/>
      <c r="E31" s="168"/>
      <c r="F31" s="169" t="s">
        <v>499</v>
      </c>
      <c r="G31" s="170">
        <v>42341</v>
      </c>
      <c r="H31" s="172"/>
    </row>
    <row r="32" spans="1:8" ht="38.25" x14ac:dyDescent="0.2">
      <c r="A32" s="165" t="s">
        <v>557</v>
      </c>
      <c r="B32" s="166">
        <v>42341</v>
      </c>
      <c r="C32" s="173" t="s">
        <v>589</v>
      </c>
      <c r="D32" s="167"/>
      <c r="E32" s="168"/>
      <c r="F32" s="169" t="s">
        <v>499</v>
      </c>
      <c r="G32" s="170">
        <v>42345</v>
      </c>
      <c r="H32" s="172"/>
    </row>
    <row r="33" spans="1:8" x14ac:dyDescent="0.2">
      <c r="A33" s="165" t="s">
        <v>590</v>
      </c>
      <c r="B33" s="166">
        <v>42341</v>
      </c>
      <c r="C33" s="173" t="s">
        <v>591</v>
      </c>
      <c r="D33" s="167"/>
      <c r="E33" s="168"/>
      <c r="F33" s="169" t="s">
        <v>499</v>
      </c>
      <c r="G33" s="170">
        <v>42345</v>
      </c>
      <c r="H33" s="172" t="s">
        <v>592</v>
      </c>
    </row>
    <row r="34" spans="1:8" ht="25.5" x14ac:dyDescent="0.2">
      <c r="A34" s="165" t="s">
        <v>593</v>
      </c>
      <c r="B34" s="166">
        <v>42341</v>
      </c>
      <c r="C34" s="173" t="s">
        <v>594</v>
      </c>
      <c r="D34" s="167"/>
      <c r="E34" s="168"/>
      <c r="F34" s="169" t="s">
        <v>499</v>
      </c>
      <c r="G34" s="170">
        <v>42345</v>
      </c>
      <c r="H34" s="172"/>
    </row>
    <row r="35" spans="1:8" ht="25.5" x14ac:dyDescent="0.2">
      <c r="A35" s="165" t="s">
        <v>593</v>
      </c>
      <c r="B35" s="166">
        <v>42345</v>
      </c>
      <c r="C35" s="173" t="s">
        <v>595</v>
      </c>
      <c r="D35" s="167"/>
      <c r="E35" s="168"/>
      <c r="F35" s="169"/>
      <c r="G35" s="170"/>
      <c r="H35" s="172"/>
    </row>
    <row r="36" spans="1:8" x14ac:dyDescent="0.2">
      <c r="A36" s="165" t="s">
        <v>593</v>
      </c>
      <c r="B36" s="166">
        <v>42345</v>
      </c>
      <c r="C36" s="1" t="s">
        <v>596</v>
      </c>
      <c r="D36" s="167"/>
      <c r="E36" s="168"/>
      <c r="F36" s="169"/>
      <c r="G36" s="170"/>
      <c r="H36" s="172"/>
    </row>
    <row r="37" spans="1:8" x14ac:dyDescent="0.2">
      <c r="A37" s="165" t="s">
        <v>593</v>
      </c>
      <c r="B37" s="166">
        <v>42345</v>
      </c>
      <c r="C37" s="173" t="s">
        <v>597</v>
      </c>
      <c r="D37" s="167"/>
      <c r="E37" s="168"/>
      <c r="F37" s="169"/>
      <c r="G37" s="170"/>
      <c r="H37" s="172"/>
    </row>
    <row r="38" spans="1:8" ht="25.5" x14ac:dyDescent="0.2">
      <c r="A38" s="165" t="s">
        <v>593</v>
      </c>
      <c r="B38" s="166">
        <v>42345</v>
      </c>
      <c r="C38" s="173" t="s">
        <v>602</v>
      </c>
      <c r="D38" s="167"/>
      <c r="E38" s="168"/>
      <c r="F38" s="169"/>
      <c r="G38" s="170"/>
      <c r="H38" s="172"/>
    </row>
    <row r="39" spans="1:8" ht="25.5" x14ac:dyDescent="0.2">
      <c r="A39" s="165" t="s">
        <v>598</v>
      </c>
      <c r="B39" s="166">
        <v>42345</v>
      </c>
      <c r="C39" s="173" t="s">
        <v>599</v>
      </c>
      <c r="D39" s="167" t="s">
        <v>499</v>
      </c>
      <c r="E39" s="168"/>
      <c r="F39" s="169"/>
      <c r="G39" s="170"/>
      <c r="H39" s="172" t="s">
        <v>620</v>
      </c>
    </row>
    <row r="40" spans="1:8" x14ac:dyDescent="0.2">
      <c r="A40" s="165" t="s">
        <v>593</v>
      </c>
      <c r="B40" s="166">
        <v>42345</v>
      </c>
      <c r="C40" s="173" t="s">
        <v>600</v>
      </c>
      <c r="D40" s="167"/>
      <c r="E40" s="168"/>
      <c r="F40" s="169" t="s">
        <v>499</v>
      </c>
      <c r="G40" s="170">
        <v>42349</v>
      </c>
      <c r="H40" s="172" t="s">
        <v>601</v>
      </c>
    </row>
    <row r="41" spans="1:8" x14ac:dyDescent="0.2">
      <c r="A41" s="165"/>
      <c r="B41" s="166"/>
      <c r="C41" s="173"/>
      <c r="D41" s="167"/>
      <c r="E41" s="168"/>
      <c r="F41" s="169"/>
      <c r="G41" s="170"/>
      <c r="H41" s="172"/>
    </row>
    <row r="42" spans="1:8" x14ac:dyDescent="0.2">
      <c r="A42" s="165"/>
      <c r="B42" s="166"/>
      <c r="C42" s="173"/>
      <c r="D42" s="167"/>
      <c r="E42" s="168"/>
      <c r="F42" s="169"/>
      <c r="G42" s="170"/>
      <c r="H42" s="172"/>
    </row>
    <row r="43" spans="1:8" x14ac:dyDescent="0.2">
      <c r="A43" s="165"/>
      <c r="B43" s="166"/>
      <c r="C43" s="173"/>
      <c r="D43" s="167"/>
      <c r="E43" s="168"/>
      <c r="F43" s="169"/>
      <c r="G43" s="170"/>
      <c r="H43" s="172"/>
    </row>
    <row r="44" spans="1:8" x14ac:dyDescent="0.2">
      <c r="A44" s="165"/>
      <c r="B44" s="166"/>
      <c r="C44" s="173"/>
      <c r="D44" s="167"/>
      <c r="E44" s="168"/>
      <c r="F44" s="169"/>
      <c r="G44" s="170"/>
      <c r="H44" s="172"/>
    </row>
    <row r="45" spans="1:8" x14ac:dyDescent="0.2">
      <c r="A45" s="165"/>
      <c r="B45" s="166"/>
      <c r="C45" s="173"/>
      <c r="D45" s="167"/>
      <c r="E45" s="168"/>
      <c r="F45" s="169"/>
      <c r="G45" s="170"/>
      <c r="H45" s="172"/>
    </row>
    <row r="46" spans="1:8" x14ac:dyDescent="0.2">
      <c r="A46" s="165"/>
      <c r="B46" s="166"/>
      <c r="C46" s="173"/>
      <c r="D46" s="167"/>
      <c r="E46" s="168"/>
      <c r="F46" s="169"/>
      <c r="G46" s="170"/>
      <c r="H46" s="172"/>
    </row>
    <row r="47" spans="1:8" x14ac:dyDescent="0.2">
      <c r="A47" s="165"/>
      <c r="B47" s="166"/>
      <c r="C47" s="173"/>
      <c r="D47" s="167"/>
      <c r="E47" s="168"/>
      <c r="F47" s="169"/>
      <c r="G47" s="170"/>
      <c r="H47" s="172"/>
    </row>
    <row r="48" spans="1:8" x14ac:dyDescent="0.2">
      <c r="A48" s="165"/>
      <c r="B48" s="166"/>
      <c r="C48" s="173"/>
      <c r="D48" s="167"/>
      <c r="E48" s="168"/>
      <c r="F48" s="169"/>
      <c r="G48" s="170"/>
      <c r="H48" s="172"/>
    </row>
    <row r="49" spans="1:8" x14ac:dyDescent="0.2">
      <c r="A49" s="165"/>
      <c r="B49" s="166"/>
      <c r="C49" s="173"/>
      <c r="D49" s="167"/>
      <c r="E49" s="168"/>
      <c r="F49" s="169"/>
      <c r="G49" s="170"/>
      <c r="H49" s="172"/>
    </row>
  </sheetData>
  <conditionalFormatting sqref="A4:H30 A41:H49">
    <cfRule type="expression" dxfId="1668" priority="7">
      <formula>$E4="x"</formula>
    </cfRule>
    <cfRule type="expression" dxfId="1667" priority="8">
      <formula>$D4="x"</formula>
    </cfRule>
    <cfRule type="expression" dxfId="1666" priority="9">
      <formula>$F4="x"</formula>
    </cfRule>
  </conditionalFormatting>
  <conditionalFormatting sqref="A38:H40 A31:H35 A36:B37 D36:H37">
    <cfRule type="expression" dxfId="1665" priority="1">
      <formula>$E31="x"</formula>
    </cfRule>
    <cfRule type="expression" dxfId="1664" priority="2">
      <formula>$D31="x"</formula>
    </cfRule>
    <cfRule type="expression" dxfId="1663" priority="3">
      <formula>$F31="x"</formula>
    </cfRule>
  </conditionalFormatting>
  <conditionalFormatting sqref="C37">
    <cfRule type="expression" dxfId="1662" priority="4">
      <formula>$E36="x"</formula>
    </cfRule>
    <cfRule type="expression" dxfId="1661" priority="5">
      <formula>$D36="x"</formula>
    </cfRule>
    <cfRule type="expression" dxfId="1660" priority="6">
      <formula>$F36="x"</formula>
    </cfRule>
  </conditionalFormatting>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1EAF0-01A6-41A8-B643-2BD0C56A5040}">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ColWidth="11.42578125" defaultRowHeight="12.75" x14ac:dyDescent="0.2"/>
  <cols>
    <col min="1" max="1" width="12.42578125" style="136" customWidth="1"/>
    <col min="2" max="2" width="3.7109375" style="136" customWidth="1"/>
    <col min="3" max="3" width="2.85546875" style="136" customWidth="1"/>
    <col min="4" max="4" width="1.28515625" style="136" customWidth="1"/>
    <col min="5" max="44" width="3.28515625" style="136" customWidth="1"/>
    <col min="45" max="45" width="1.42578125" style="136" customWidth="1"/>
    <col min="46" max="46" width="4.5703125" style="136" customWidth="1"/>
    <col min="47" max="47" width="3.7109375" style="136" customWidth="1"/>
    <col min="48" max="48" width="7.28515625" style="136" customWidth="1"/>
    <col min="49" max="50" width="11.42578125" style="136"/>
    <col min="51" max="51" width="20.28515625" style="136" customWidth="1"/>
    <col min="52" max="53" width="10.140625" style="136" customWidth="1"/>
    <col min="54" max="54" width="9.5703125" style="136" customWidth="1"/>
    <col min="55" max="55" width="11.42578125" style="136"/>
    <col min="56" max="56" width="5.5703125" style="136" customWidth="1"/>
    <col min="57" max="57" width="4.5703125" style="136" customWidth="1"/>
    <col min="58" max="58" width="1.85546875" style="136" customWidth="1"/>
    <col min="59" max="59" width="5.7109375" style="136" customWidth="1"/>
    <col min="60" max="60" width="6.28515625" style="136" customWidth="1"/>
    <col min="61" max="61" width="5.85546875" style="136" customWidth="1"/>
    <col min="62" max="64" width="0" style="136" hidden="1" customWidth="1"/>
    <col min="65" max="16384" width="11.42578125" style="136"/>
  </cols>
  <sheetData>
    <row r="1" spans="1:64" ht="13.5" thickBot="1" x14ac:dyDescent="0.25">
      <c r="A1" s="153" t="s">
        <v>493</v>
      </c>
      <c r="C1" s="61"/>
      <c r="AW1" s="154"/>
    </row>
    <row r="2" spans="1:64" ht="13.5" thickTop="1" x14ac:dyDescent="0.2">
      <c r="B2" s="198">
        <v>4</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109"/>
      <c r="AW2" s="423"/>
      <c r="AX2" s="233"/>
      <c r="AY2" s="233"/>
      <c r="AZ2" s="233"/>
      <c r="BA2" s="233"/>
      <c r="BB2" s="364" t="str">
        <f>CONCATENATE(ROUND(SUM(I46:K49)*Z42/1000000,2)*AJ6,"m²")</f>
        <v>0m²</v>
      </c>
      <c r="BD2" s="232"/>
      <c r="BE2" s="233"/>
      <c r="BF2" s="233"/>
      <c r="BG2" s="233"/>
      <c r="BH2" s="233"/>
      <c r="BI2" s="234"/>
    </row>
    <row r="3" spans="1:64" ht="36.75" customHeight="1" x14ac:dyDescent="0.3">
      <c r="B3" s="197"/>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137"/>
      <c r="AR3" s="84"/>
      <c r="AS3" s="84"/>
      <c r="AT3" s="138" t="s">
        <v>706</v>
      </c>
      <c r="AU3" s="111"/>
      <c r="AW3" s="235"/>
      <c r="AX3" s="236" t="str">
        <f>'Sprachen &amp; Rückgabewerte(4)'!$H$2</f>
        <v>Sprache:</v>
      </c>
      <c r="AY3" s="61"/>
      <c r="AZ3" s="61"/>
      <c r="BA3" s="61"/>
      <c r="BB3" s="381" t="str">
        <f>IF(AJ6&gt;1,CONCATENATE(AH6," ",AJ6),"")</f>
        <v/>
      </c>
      <c r="BD3" s="235"/>
      <c r="BE3" s="415" t="str">
        <f>'Sprachen &amp; Rückgabewerte(4)'!H183</f>
        <v>Inch-Rechner</v>
      </c>
      <c r="BF3" s="415"/>
      <c r="BG3" s="61"/>
      <c r="BH3" s="61"/>
      <c r="BI3" s="237"/>
    </row>
    <row r="4" spans="1:64" ht="19.5" customHeight="1" x14ac:dyDescent="0.2">
      <c r="B4" s="107"/>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109"/>
      <c r="AW4" s="235"/>
      <c r="AX4" s="61"/>
      <c r="AY4" s="61"/>
      <c r="AZ4" s="61"/>
      <c r="BA4" s="61"/>
      <c r="BB4" s="237"/>
      <c r="BD4" s="235"/>
      <c r="BE4" s="150" t="str">
        <f>'Sprachen &amp; Rückgabewerte(4)'!H184</f>
        <v>Fuss:</v>
      </c>
      <c r="BF4" s="150"/>
      <c r="BG4" s="150" t="str">
        <f>'Sprachen &amp; Rückgabewerte(4)'!H185</f>
        <v>Zoll:</v>
      </c>
      <c r="BH4" s="61"/>
      <c r="BI4" s="237"/>
    </row>
    <row r="5" spans="1:64" x14ac:dyDescent="0.2">
      <c r="B5" s="60"/>
      <c r="C5" s="121"/>
      <c r="D5" s="122"/>
      <c r="E5" s="123" t="str">
        <f>'Sprachen &amp; Rückgabewerte(4)'!H4</f>
        <v>BESTELLUNG</v>
      </c>
      <c r="F5" s="122"/>
      <c r="G5" s="122"/>
      <c r="H5" s="122"/>
      <c r="I5" s="122"/>
      <c r="J5" s="122"/>
      <c r="K5" s="122"/>
      <c r="L5" s="122"/>
      <c r="M5" s="122"/>
      <c r="N5" s="122"/>
      <c r="O5" s="122"/>
      <c r="P5" s="122"/>
      <c r="Q5" s="122"/>
      <c r="R5" s="124"/>
      <c r="S5" s="669" t="str">
        <f>'Sprachen &amp; Rückgabewerte(4)'!$H$130</f>
        <v>Vertriebspartner:</v>
      </c>
      <c r="T5" s="670"/>
      <c r="U5" s="670"/>
      <c r="V5" s="670"/>
      <c r="W5" s="670"/>
      <c r="X5" s="671"/>
      <c r="Y5" s="672"/>
      <c r="Z5" s="673"/>
      <c r="AA5" s="673"/>
      <c r="AB5" s="673"/>
      <c r="AC5" s="673"/>
      <c r="AD5" s="673"/>
      <c r="AE5" s="673"/>
      <c r="AF5" s="674"/>
      <c r="AG5" s="139"/>
      <c r="AH5" s="125" t="str">
        <f>'Sprachen &amp; Rückgabewerte(4)'!H55</f>
        <v>Pos:</v>
      </c>
      <c r="AI5" s="140"/>
      <c r="AJ5" s="663"/>
      <c r="AK5" s="664"/>
      <c r="AL5" s="665"/>
      <c r="AM5" s="139"/>
      <c r="AN5" s="125" t="str">
        <f>'Sprachen &amp; Rückgabewerte(4)'!$H$10</f>
        <v>2-gleisig</v>
      </c>
      <c r="AO5" s="140"/>
      <c r="AP5" s="140"/>
      <c r="AQ5" s="140"/>
      <c r="AR5" s="140"/>
      <c r="AS5" s="140"/>
      <c r="AT5" s="183"/>
      <c r="AU5" s="110"/>
      <c r="AW5" s="235"/>
      <c r="AX5" s="61"/>
      <c r="AY5" s="61"/>
      <c r="AZ5" s="61"/>
      <c r="BA5" s="61"/>
      <c r="BB5" s="237"/>
      <c r="BD5" s="235"/>
      <c r="BE5" s="552"/>
      <c r="BF5" s="554" t="str">
        <f>"'"</f>
        <v>'</v>
      </c>
      <c r="BG5" s="555"/>
      <c r="BH5" s="416"/>
      <c r="BI5" s="237"/>
      <c r="BJ5" s="136">
        <f>BE5*304.8</f>
        <v>0</v>
      </c>
      <c r="BK5" s="136">
        <f>BG5*25.4</f>
        <v>0</v>
      </c>
      <c r="BL5" s="136">
        <f>IF(AND(BH5="",BH6=""),0,25.4*BH5/BH6)</f>
        <v>0</v>
      </c>
    </row>
    <row r="6" spans="1:64" ht="12" customHeight="1" x14ac:dyDescent="0.2">
      <c r="B6" s="60"/>
      <c r="C6" s="126"/>
      <c r="D6" s="127"/>
      <c r="E6" s="67"/>
      <c r="F6" s="127" t="str">
        <f>'Sprachen &amp; Rückgabewerte(4)'!$H$5</f>
        <v>Gemäss Zeichnung Nr.:</v>
      </c>
      <c r="G6" s="127"/>
      <c r="H6" s="127"/>
      <c r="I6" s="127"/>
      <c r="J6" s="127"/>
      <c r="K6" s="127"/>
      <c r="L6" s="141"/>
      <c r="M6" s="681"/>
      <c r="N6" s="682"/>
      <c r="O6" s="682"/>
      <c r="P6" s="682"/>
      <c r="Q6" s="683"/>
      <c r="R6" s="128"/>
      <c r="S6" s="129" t="str">
        <f>'Sprachen &amp; Rückgabewerte(4)'!$H$7</f>
        <v xml:space="preserve">Objekt: </v>
      </c>
      <c r="T6" s="127"/>
      <c r="U6" s="127"/>
      <c r="V6" s="127"/>
      <c r="W6" s="127"/>
      <c r="X6" s="90"/>
      <c r="Y6" s="666"/>
      <c r="Z6" s="667"/>
      <c r="AA6" s="667"/>
      <c r="AB6" s="667"/>
      <c r="AC6" s="667"/>
      <c r="AD6" s="667"/>
      <c r="AE6" s="667"/>
      <c r="AF6" s="668"/>
      <c r="AG6" s="128"/>
      <c r="AH6" s="129" t="str">
        <f>'Sprachen &amp; Rückgabewerte(4)'!H56</f>
        <v>Stück:</v>
      </c>
      <c r="AI6" s="127"/>
      <c r="AJ6" s="675"/>
      <c r="AK6" s="676"/>
      <c r="AL6" s="677"/>
      <c r="AM6" s="112"/>
      <c r="AN6" s="129" t="str">
        <f>IF($AT$5="",'Sprachen &amp; Rückgabewerte(4)'!$H$11,'Sprachen &amp; Rückgabewerte(4)'!$H$12)</f>
        <v>3-gleisig</v>
      </c>
      <c r="AO6" s="127"/>
      <c r="AP6" s="127"/>
      <c r="AQ6" s="127"/>
      <c r="AR6" s="127"/>
      <c r="AS6" s="127"/>
      <c r="AT6" s="128"/>
      <c r="AU6" s="110"/>
      <c r="AW6" s="235"/>
      <c r="AX6" s="61"/>
      <c r="AY6" s="61"/>
      <c r="AZ6" s="61"/>
      <c r="BA6" s="61"/>
      <c r="BB6" s="237"/>
      <c r="BD6" s="235"/>
      <c r="BE6" s="553"/>
      <c r="BF6" s="554"/>
      <c r="BG6" s="556"/>
      <c r="BH6" s="417"/>
      <c r="BI6" s="237"/>
    </row>
    <row r="7" spans="1:64" ht="12" customHeight="1" x14ac:dyDescent="0.2">
      <c r="B7" s="60"/>
      <c r="C7" s="126"/>
      <c r="D7" s="127"/>
      <c r="E7" s="67"/>
      <c r="F7" s="127" t="str">
        <f>'Sprachen &amp; Rückgabewerte(4)'!$H$6</f>
        <v>Gemäss Skizze: (Ansicht von Aussen)</v>
      </c>
      <c r="G7" s="127"/>
      <c r="H7" s="127"/>
      <c r="I7" s="127"/>
      <c r="J7" s="127"/>
      <c r="K7" s="127"/>
      <c r="L7" s="127"/>
      <c r="M7" s="127"/>
      <c r="N7" s="127"/>
      <c r="O7" s="127"/>
      <c r="P7" s="127"/>
      <c r="Q7" s="127"/>
      <c r="R7" s="128"/>
      <c r="S7" s="129" t="str">
        <f>'Sprachen &amp; Rückgabewerte(4)'!$H$8</f>
        <v>Bestelldatum:</v>
      </c>
      <c r="T7" s="127"/>
      <c r="U7" s="127"/>
      <c r="V7" s="127"/>
      <c r="W7" s="127"/>
      <c r="X7" s="90"/>
      <c r="Y7" s="678"/>
      <c r="Z7" s="679"/>
      <c r="AA7" s="679"/>
      <c r="AB7" s="679"/>
      <c r="AC7" s="679"/>
      <c r="AD7" s="679"/>
      <c r="AE7" s="679"/>
      <c r="AF7" s="680"/>
      <c r="AG7" s="142"/>
      <c r="AH7" s="129" t="str">
        <f>'Sprachen &amp; Rückgabewerte(4)'!H57</f>
        <v>Seite:</v>
      </c>
      <c r="AI7" s="143"/>
      <c r="AJ7" s="663"/>
      <c r="AK7" s="664"/>
      <c r="AL7" s="665"/>
      <c r="AM7" s="112"/>
      <c r="AN7" s="129"/>
      <c r="AO7" s="90"/>
      <c r="AP7" s="141"/>
      <c r="AQ7" s="141"/>
      <c r="AR7" s="141"/>
      <c r="AS7" s="141"/>
      <c r="AT7" s="128"/>
      <c r="AU7" s="110"/>
      <c r="AW7" s="235"/>
      <c r="AX7" s="441" t="str">
        <f>'Sprachen &amp; Rückgabewerte(4)'!H193</f>
        <v>Sonstiges:</v>
      </c>
      <c r="AY7" s="61"/>
      <c r="AZ7" s="61"/>
      <c r="BA7" s="61"/>
      <c r="BB7" s="237"/>
      <c r="BD7" s="235"/>
      <c r="BE7" s="61"/>
      <c r="BF7" s="61"/>
      <c r="BG7" s="61"/>
      <c r="BH7" s="61"/>
      <c r="BI7" s="237"/>
    </row>
    <row r="8" spans="1:64" ht="7.5" customHeight="1" thickBot="1" x14ac:dyDescent="0.25">
      <c r="B8" s="60"/>
      <c r="C8" s="130"/>
      <c r="D8" s="131"/>
      <c r="E8" s="131"/>
      <c r="F8" s="131"/>
      <c r="G8" s="131"/>
      <c r="H8" s="131"/>
      <c r="I8" s="131"/>
      <c r="J8" s="131"/>
      <c r="K8" s="131"/>
      <c r="L8" s="131"/>
      <c r="M8" s="131"/>
      <c r="N8" s="131"/>
      <c r="O8" s="131"/>
      <c r="P8" s="131"/>
      <c r="Q8" s="131"/>
      <c r="R8" s="132"/>
      <c r="S8" s="130"/>
      <c r="T8" s="131"/>
      <c r="U8" s="131"/>
      <c r="V8" s="131"/>
      <c r="W8" s="131"/>
      <c r="X8" s="131"/>
      <c r="Y8" s="131"/>
      <c r="Z8" s="131"/>
      <c r="AA8" s="131"/>
      <c r="AB8" s="131"/>
      <c r="AC8" s="131"/>
      <c r="AD8" s="131"/>
      <c r="AE8" s="131"/>
      <c r="AF8" s="131"/>
      <c r="AG8" s="132"/>
      <c r="AH8" s="130"/>
      <c r="AI8" s="131"/>
      <c r="AJ8" s="131"/>
      <c r="AK8" s="131"/>
      <c r="AL8" s="131"/>
      <c r="AM8" s="113"/>
      <c r="AN8" s="130"/>
      <c r="AO8" s="131"/>
      <c r="AP8" s="131"/>
      <c r="AQ8" s="131"/>
      <c r="AR8" s="131"/>
      <c r="AS8" s="131"/>
      <c r="AT8" s="132"/>
      <c r="AU8" s="110"/>
      <c r="AW8" s="235"/>
      <c r="AX8" s="442"/>
      <c r="AY8" s="61"/>
      <c r="AZ8" s="61"/>
      <c r="BA8" s="61"/>
      <c r="BB8" s="237"/>
      <c r="BD8" s="235"/>
      <c r="BE8" s="61"/>
      <c r="BF8" s="61"/>
      <c r="BG8" s="61"/>
      <c r="BH8" s="61"/>
      <c r="BI8" s="237"/>
    </row>
    <row r="9" spans="1:64" ht="15" customHeight="1" thickTop="1" x14ac:dyDescent="0.2">
      <c r="A9" s="645" t="str">
        <f>IF('Sprachen &amp; Rückgabewerte(4)'!L62=1,'Sprachen &amp; Rückgabewerte(4)'!$H$132,"")</f>
        <v/>
      </c>
      <c r="B9" s="220"/>
      <c r="C9" s="60"/>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3"/>
      <c r="AN9" s="61"/>
      <c r="AO9" s="61"/>
      <c r="AP9" s="61"/>
      <c r="AQ9" s="61"/>
      <c r="AR9" s="61"/>
      <c r="AS9" s="61"/>
      <c r="AT9" s="110"/>
      <c r="AU9" s="110"/>
      <c r="AW9" s="235"/>
      <c r="AX9" s="442" t="str">
        <f>'Sprachen &amp; Rückgabewerte(4)'!H194</f>
        <v>Sichtbare Rahmenprofile (aussen):</v>
      </c>
      <c r="AY9" s="61"/>
      <c r="AZ9" s="550"/>
      <c r="BA9" s="551"/>
      <c r="BB9" s="237"/>
      <c r="BD9" s="235"/>
      <c r="BE9" s="557">
        <f>ROUND(SUM(BJ5,BK5,BL5),1)</f>
        <v>0</v>
      </c>
      <c r="BF9" s="558"/>
      <c r="BG9" s="559"/>
      <c r="BH9" s="150" t="s">
        <v>176</v>
      </c>
      <c r="BI9" s="237"/>
    </row>
    <row r="10" spans="1:64" ht="15" customHeight="1" thickBot="1" x14ac:dyDescent="0.25">
      <c r="A10" s="646"/>
      <c r="B10" s="220"/>
      <c r="C10" s="60"/>
      <c r="D10" s="61"/>
      <c r="E10" s="61"/>
      <c r="F10" s="652"/>
      <c r="G10" s="653"/>
      <c r="H10" s="61"/>
      <c r="I10" s="61"/>
      <c r="J10" s="652"/>
      <c r="K10" s="653"/>
      <c r="L10" s="61"/>
      <c r="M10" s="61"/>
      <c r="N10" s="652"/>
      <c r="O10" s="653"/>
      <c r="P10" s="61"/>
      <c r="Q10" s="61"/>
      <c r="R10" s="652"/>
      <c r="S10" s="653"/>
      <c r="T10" s="61"/>
      <c r="U10" s="61"/>
      <c r="V10" s="652"/>
      <c r="W10" s="653"/>
      <c r="X10" s="61"/>
      <c r="Y10" s="61"/>
      <c r="Z10" s="652"/>
      <c r="AA10" s="653"/>
      <c r="AB10" s="61"/>
      <c r="AC10" s="61"/>
      <c r="AD10" s="652"/>
      <c r="AE10" s="653"/>
      <c r="AF10" s="61"/>
      <c r="AG10" s="61"/>
      <c r="AH10" s="652"/>
      <c r="AI10" s="653"/>
      <c r="AJ10" s="61"/>
      <c r="AK10" s="61"/>
      <c r="AL10" s="652"/>
      <c r="AM10" s="653"/>
      <c r="AN10" s="61"/>
      <c r="AO10" s="61"/>
      <c r="AP10" s="652"/>
      <c r="AQ10" s="653"/>
      <c r="AR10" s="61"/>
      <c r="AS10" s="61"/>
      <c r="AT10" s="110"/>
      <c r="AU10" s="110"/>
      <c r="AW10" s="235"/>
      <c r="AX10" s="442" t="str">
        <f>'Sprachen &amp; Rückgabewerte(4)'!H195</f>
        <v>Lieferung Glas und Rahmen:</v>
      </c>
      <c r="AY10" s="61"/>
      <c r="AZ10" s="550"/>
      <c r="BA10" s="551"/>
      <c r="BB10" s="237"/>
      <c r="BD10" s="251"/>
      <c r="BE10" s="241"/>
      <c r="BF10" s="241"/>
      <c r="BG10" s="241"/>
      <c r="BH10" s="241"/>
      <c r="BI10" s="243"/>
    </row>
    <row r="11" spans="1:64" ht="15" customHeight="1" thickTop="1" thickBot="1" x14ac:dyDescent="0.25">
      <c r="A11" s="647"/>
      <c r="B11" s="220"/>
      <c r="C11" s="231">
        <f>COUNTBLANK(E11:AO11)</f>
        <v>37</v>
      </c>
      <c r="D11" s="61"/>
      <c r="E11" s="67"/>
      <c r="F11" s="67"/>
      <c r="G11" s="67"/>
      <c r="H11" s="156"/>
      <c r="I11" s="156"/>
      <c r="J11" s="67"/>
      <c r="K11" s="67"/>
      <c r="L11" s="156"/>
      <c r="M11" s="156"/>
      <c r="N11" s="67"/>
      <c r="O11" s="67"/>
      <c r="P11" s="156"/>
      <c r="Q11" s="156"/>
      <c r="R11" s="67"/>
      <c r="S11" s="67"/>
      <c r="T11" s="156"/>
      <c r="U11" s="156"/>
      <c r="V11" s="67"/>
      <c r="W11" s="67"/>
      <c r="X11" s="156"/>
      <c r="Y11" s="156"/>
      <c r="Z11" s="67"/>
      <c r="AA11" s="67"/>
      <c r="AB11" s="156"/>
      <c r="AC11" s="156"/>
      <c r="AD11" s="67"/>
      <c r="AE11" s="67"/>
      <c r="AF11" s="156"/>
      <c r="AG11" s="156"/>
      <c r="AH11" s="67"/>
      <c r="AI11" s="67"/>
      <c r="AJ11" s="156"/>
      <c r="AK11" s="156"/>
      <c r="AL11" s="67"/>
      <c r="AM11" s="67"/>
      <c r="AN11" s="156"/>
      <c r="AO11" s="156"/>
      <c r="AP11" s="67"/>
      <c r="AQ11" s="67"/>
      <c r="AR11" s="67"/>
      <c r="AS11" s="61"/>
      <c r="AT11" s="110"/>
      <c r="AU11" s="110"/>
      <c r="AW11" s="235"/>
      <c r="AX11" s="61"/>
      <c r="AY11" s="61"/>
      <c r="AZ11" s="61"/>
      <c r="BA11" s="61"/>
      <c r="BB11" s="237"/>
    </row>
    <row r="12" spans="1:64" ht="13.5" customHeight="1" thickTop="1" x14ac:dyDescent="0.2">
      <c r="B12" s="60"/>
      <c r="C12" s="60"/>
      <c r="D12" s="61"/>
      <c r="E12" s="94"/>
      <c r="F12" s="82"/>
      <c r="G12" s="82"/>
      <c r="H12" s="83" t="str">
        <f>IF(F10&lt;&gt;"",IF(AND(F10&gt;0,F10&lt;&gt;"F"),CONCATENATE('Sprachen &amp; Rückgabewerte(4)'!$C$28," ",'Sprachen &amp; Rückgabewerte(4)'!$C$29," ",'Sprachen &amp; Rückgabewerte(4)'!$C$30),'Sprachen &amp; Rückgabewerte(4)'!$C$30),"")</f>
        <v/>
      </c>
      <c r="I12" s="94"/>
      <c r="J12" s="82"/>
      <c r="K12" s="82"/>
      <c r="L12" s="83" t="str">
        <f>IF(J10&lt;&gt;"",IF(AND(J10&gt;0,J10&lt;&gt;"F"),CONCATENATE('Sprachen &amp; Rückgabewerte(4)'!$C$28," ",'Sprachen &amp; Rückgabewerte(4)'!$C$29," ",'Sprachen &amp; Rückgabewerte(4)'!$C$30),'Sprachen &amp; Rückgabewerte(4)'!$C$30),"")</f>
        <v/>
      </c>
      <c r="M12" s="94"/>
      <c r="N12" s="82"/>
      <c r="O12" s="82"/>
      <c r="P12" s="83" t="str">
        <f>IF(N10&lt;&gt;"",IF(AND(N10&gt;0,N10&lt;&gt;"F"),CONCATENATE('Sprachen &amp; Rückgabewerte(4)'!$C$28," ",'Sprachen &amp; Rückgabewerte(4)'!$C$29," ",'Sprachen &amp; Rückgabewerte(4)'!$C$30),'Sprachen &amp; Rückgabewerte(4)'!$C$30),"")</f>
        <v/>
      </c>
      <c r="Q12" s="94"/>
      <c r="R12" s="82"/>
      <c r="S12" s="82"/>
      <c r="T12" s="83" t="str">
        <f>IF(R10&lt;&gt;"",IF(AND(R10&gt;0,R10&lt;&gt;"F"),CONCATENATE('Sprachen &amp; Rückgabewerte(4)'!$C$28," ",'Sprachen &amp; Rückgabewerte(4)'!$C$29," ",'Sprachen &amp; Rückgabewerte(4)'!$C$30),'Sprachen &amp; Rückgabewerte(4)'!$C$30),"")</f>
        <v/>
      </c>
      <c r="U12" s="94"/>
      <c r="V12" s="82"/>
      <c r="W12" s="82"/>
      <c r="X12" s="83" t="str">
        <f>IF(V10&lt;&gt;"",IF(AND(V10&gt;0,V10&lt;&gt;"F"),CONCATENATE('Sprachen &amp; Rückgabewerte(4)'!$C$28," ",'Sprachen &amp; Rückgabewerte(4)'!$C$29," ",'Sprachen &amp; Rückgabewerte(4)'!$C$30),'Sprachen &amp; Rückgabewerte(4)'!$C$30),"")</f>
        <v/>
      </c>
      <c r="Y12" s="94"/>
      <c r="Z12" s="82"/>
      <c r="AA12" s="82"/>
      <c r="AB12" s="83" t="str">
        <f>IF(Z10&lt;&gt;"",IF(AND(Z10&gt;0,Z10&lt;&gt;"F"),CONCATENATE('Sprachen &amp; Rückgabewerte(4)'!$C$28," ",'Sprachen &amp; Rückgabewerte(4)'!$C$29," ",'Sprachen &amp; Rückgabewerte(4)'!$C$30),'Sprachen &amp; Rückgabewerte(4)'!$C$30),"")</f>
        <v/>
      </c>
      <c r="AC12" s="94"/>
      <c r="AD12" s="82"/>
      <c r="AE12" s="82"/>
      <c r="AF12" s="83" t="str">
        <f>IF(AD10&lt;&gt;"",IF(AND(AD10&gt;0,AD10&lt;&gt;"F"),CONCATENATE('Sprachen &amp; Rückgabewerte(4)'!$C$28," ",'Sprachen &amp; Rückgabewerte(4)'!$C$29," ",'Sprachen &amp; Rückgabewerte(4)'!$C$30),'Sprachen &amp; Rückgabewerte(4)'!$C$30),"")</f>
        <v/>
      </c>
      <c r="AG12" s="94"/>
      <c r="AH12" s="82"/>
      <c r="AI12" s="82"/>
      <c r="AJ12" s="83" t="str">
        <f>IF(AH10&lt;&gt;"",IF(AND(AH10&gt;0,AH10&lt;&gt;"F"),CONCATENATE('Sprachen &amp; Rückgabewerte(4)'!$C$28," ",'Sprachen &amp; Rückgabewerte(4)'!$C$29," ",'Sprachen &amp; Rückgabewerte(4)'!$C$30),'Sprachen &amp; Rückgabewerte(4)'!$C$30),"")</f>
        <v/>
      </c>
      <c r="AK12" s="94"/>
      <c r="AL12" s="82"/>
      <c r="AM12" s="82"/>
      <c r="AN12" s="83" t="str">
        <f>IF(AL10&lt;&gt;"",IF(AND(AL10&gt;0,AL10&lt;&gt;"F"),CONCATENATE('Sprachen &amp; Rückgabewerte(4)'!$C$28," ",'Sprachen &amp; Rückgabewerte(4)'!$C$29," ",'Sprachen &amp; Rückgabewerte(4)'!$C$30),'Sprachen &amp; Rückgabewerte(4)'!$C$30),"")</f>
        <v/>
      </c>
      <c r="AO12" s="94"/>
      <c r="AP12" s="82"/>
      <c r="AQ12" s="82"/>
      <c r="AR12" s="83" t="str">
        <f>IF(AP10&lt;&gt;"",IF(AND(AP10&gt;0,AP10&lt;&gt;"F"),CONCATENATE('Sprachen &amp; Rückgabewerte(4)'!$C$28," ",'Sprachen &amp; Rückgabewerte(4)'!$C$29," ",'Sprachen &amp; Rückgabewerte(4)'!$C$30),'Sprachen &amp; Rückgabewerte(4)'!$C$30),"")</f>
        <v/>
      </c>
      <c r="AS12" s="144"/>
      <c r="AT12" s="110"/>
      <c r="AU12" s="110"/>
      <c r="AW12" s="235"/>
      <c r="AX12" s="238"/>
      <c r="AY12" s="61"/>
      <c r="AZ12" s="61"/>
      <c r="BA12" s="61"/>
      <c r="BB12" s="237"/>
    </row>
    <row r="13" spans="1:64" ht="13.5" customHeight="1" x14ac:dyDescent="0.2">
      <c r="B13" s="60"/>
      <c r="C13" s="60"/>
      <c r="D13" s="61"/>
      <c r="E13" s="648" t="str">
        <f>IF(AND('Sprachen &amp; Rückgabewerte(4)'!$I$30=TRUE,$F$10="R"),'Sprachen &amp; Rückgabewerte(4)'!H60,"")</f>
        <v/>
      </c>
      <c r="F13" s="61"/>
      <c r="G13" s="61"/>
      <c r="H13" s="650" t="str">
        <f>IF(AND('Sprachen &amp; Rückgabewerte(4)'!$I$31=TRUE,$F$10="L",$J$10=""),'Sprachen &amp; Rückgabewerte(4)'!$H$60,"")</f>
        <v/>
      </c>
      <c r="I13" s="60"/>
      <c r="J13" s="61"/>
      <c r="K13" s="61"/>
      <c r="L13" s="650" t="str">
        <f>IF(AND('Sprachen &amp; Rückgabewerte(4)'!$I$31=TRUE,$J$10="L",$N$10=""),'Sprachen &amp; Rückgabewerte(4)'!$H$60,"")</f>
        <v/>
      </c>
      <c r="M13" s="60"/>
      <c r="N13" s="61"/>
      <c r="O13" s="61"/>
      <c r="P13" s="650" t="str">
        <f>IF(AND('Sprachen &amp; Rückgabewerte(4)'!$I$31=TRUE,$N$10="L",$R$10=""),'Sprachen &amp; Rückgabewerte(4)'!$H$60,"")</f>
        <v/>
      </c>
      <c r="Q13" s="60"/>
      <c r="R13" s="61"/>
      <c r="S13" s="61"/>
      <c r="T13" s="650" t="str">
        <f>IF(AND('Sprachen &amp; Rückgabewerte(4)'!$I$31=TRUE,$R$10="L",$V$10=""),'Sprachen &amp; Rückgabewerte(4)'!$H$60,"")</f>
        <v/>
      </c>
      <c r="U13" s="60"/>
      <c r="V13" s="61"/>
      <c r="W13" s="61"/>
      <c r="X13" s="650" t="str">
        <f>IF(AND('Sprachen &amp; Rückgabewerte(4)'!$I$31=TRUE,$V$10="L",$Z$10=""),'Sprachen &amp; Rückgabewerte(4)'!$H$60,"")</f>
        <v/>
      </c>
      <c r="Y13" s="60"/>
      <c r="Z13" s="61"/>
      <c r="AA13" s="61"/>
      <c r="AB13" s="650" t="str">
        <f>IF(AND('Sprachen &amp; Rückgabewerte(4)'!$I$31=TRUE,$Z$10="L",$AD$10=""),'Sprachen &amp; Rückgabewerte(4)'!$H$60,"")</f>
        <v/>
      </c>
      <c r="AC13" s="60"/>
      <c r="AD13" s="61"/>
      <c r="AE13" s="61"/>
      <c r="AF13" s="650" t="str">
        <f>IF(AND('Sprachen &amp; Rückgabewerte(4)'!$I$31=TRUE,$AD$10="L",$AH$10=""),'Sprachen &amp; Rückgabewerte(4)'!$H$60,"")</f>
        <v/>
      </c>
      <c r="AG13" s="60"/>
      <c r="AH13" s="61"/>
      <c r="AI13" s="61"/>
      <c r="AJ13" s="650" t="str">
        <f>IF(AND('Sprachen &amp; Rückgabewerte(4)'!$I$31=TRUE,$AH$10="L",$AL$10=""),'Sprachen &amp; Rückgabewerte(4)'!$H$60,"")</f>
        <v/>
      </c>
      <c r="AK13" s="60"/>
      <c r="AL13" s="61"/>
      <c r="AM13" s="61"/>
      <c r="AN13" s="650" t="str">
        <f>IF(AND('Sprachen &amp; Rückgabewerte(4)'!$I$31=TRUE,$AL$10="L",$AP$10=""),'Sprachen &amp; Rückgabewerte(4)'!$H$60,"")</f>
        <v/>
      </c>
      <c r="AO13" s="60"/>
      <c r="AP13" s="61"/>
      <c r="AQ13" s="61"/>
      <c r="AR13" s="650" t="str">
        <f>IF(AND('Sprachen &amp; Rückgabewerte(4)'!$I$31=TRUE,$AP$10="L"),'Sprachen &amp; Rückgabewerte(4)'!$H$60,"")</f>
        <v/>
      </c>
      <c r="AS13" s="145"/>
      <c r="AT13" s="110"/>
      <c r="AU13" s="110"/>
      <c r="AW13" s="235"/>
      <c r="AX13" s="61"/>
      <c r="AY13" s="61"/>
      <c r="AZ13" s="61"/>
      <c r="BA13" s="61"/>
      <c r="BB13" s="237"/>
    </row>
    <row r="14" spans="1:64" ht="13.5" customHeight="1" x14ac:dyDescent="0.2">
      <c r="B14" s="60"/>
      <c r="C14" s="60"/>
      <c r="D14" s="61"/>
      <c r="E14" s="648"/>
      <c r="F14" s="660" t="str">
        <f>IF(F10='Sprachen &amp; Rückgabewerte(4)'!$B$9,'Sprachen &amp; Rückgabewerte(4)'!$C$9,IF(F10='Sprachen &amp; Rückgabewerte(4)'!$B$10,'Sprachen &amp; Rückgabewerte(4)'!$C$10,IF(F10='Sprachen &amp; Rückgabewerte(4)'!$B$11,'Sprachen &amp; Rückgabewerte(4)'!$C$11,IF(F10='Sprachen &amp; Rückgabewerte(4)'!$B$12,'Sprachen &amp; Rückgabewerte(4)'!$C$12,IF(F10='Sprachen &amp; Rückgabewerte(4)'!$B$13,'Sprachen &amp; Rückgabewerte(4)'!$C$13,IF(F10='Sprachen &amp; Rückgabewerte(4)'!$B$14,'Sprachen &amp; Rückgabewerte(4)'!$C$14,""))))))</f>
        <v/>
      </c>
      <c r="G14" s="660"/>
      <c r="H14" s="650"/>
      <c r="I14" s="60"/>
      <c r="J14" s="660" t="str">
        <f>IF(J10='Sprachen &amp; Rückgabewerte(4)'!$B$9,'Sprachen &amp; Rückgabewerte(4)'!$C$9,IF(J10='Sprachen &amp; Rückgabewerte(4)'!$B$10,'Sprachen &amp; Rückgabewerte(4)'!$C$10,IF(J10='Sprachen &amp; Rückgabewerte(4)'!$B$11,'Sprachen &amp; Rückgabewerte(4)'!$C$11,IF(J10='Sprachen &amp; Rückgabewerte(4)'!$B$12,'Sprachen &amp; Rückgabewerte(4)'!$C$12,IF(J10='Sprachen &amp; Rückgabewerte(4)'!$B$13,'Sprachen &amp; Rückgabewerte(4)'!$C$13,IF(J10='Sprachen &amp; Rückgabewerte(4)'!$B$14,'Sprachen &amp; Rückgabewerte(4)'!$C$14,""))))))</f>
        <v/>
      </c>
      <c r="K14" s="660"/>
      <c r="L14" s="650"/>
      <c r="M14" s="60"/>
      <c r="N14" s="660" t="str">
        <f>IF(N10='Sprachen &amp; Rückgabewerte(4)'!$B$9,'Sprachen &amp; Rückgabewerte(4)'!$C$9,IF(N10='Sprachen &amp; Rückgabewerte(4)'!$B$10,'Sprachen &amp; Rückgabewerte(4)'!$C$10,IF(N10='Sprachen &amp; Rückgabewerte(4)'!$B$11,'Sprachen &amp; Rückgabewerte(4)'!$C$11,IF(N10='Sprachen &amp; Rückgabewerte(4)'!$B$12,'Sprachen &amp; Rückgabewerte(4)'!$C$12,IF(N10='Sprachen &amp; Rückgabewerte(4)'!$B$13,'Sprachen &amp; Rückgabewerte(4)'!$C$13,IF(N10='Sprachen &amp; Rückgabewerte(4)'!$B$14,'Sprachen &amp; Rückgabewerte(4)'!$C$14,""))))))</f>
        <v/>
      </c>
      <c r="O14" s="660"/>
      <c r="P14" s="650"/>
      <c r="Q14" s="60"/>
      <c r="R14" s="660" t="str">
        <f>IF(R10='Sprachen &amp; Rückgabewerte(4)'!$B$9,'Sprachen &amp; Rückgabewerte(4)'!$C$9,IF(R10='Sprachen &amp; Rückgabewerte(4)'!$B$10,'Sprachen &amp; Rückgabewerte(4)'!$C$10,IF(R10='Sprachen &amp; Rückgabewerte(4)'!$B$11,'Sprachen &amp; Rückgabewerte(4)'!$C$11,IF(R10='Sprachen &amp; Rückgabewerte(4)'!$B$12,'Sprachen &amp; Rückgabewerte(4)'!$C$12,IF(R10='Sprachen &amp; Rückgabewerte(4)'!$B$13,'Sprachen &amp; Rückgabewerte(4)'!$C$13,IF(R10='Sprachen &amp; Rückgabewerte(4)'!$B$14,'Sprachen &amp; Rückgabewerte(4)'!$C$14,""))))))</f>
        <v/>
      </c>
      <c r="S14" s="660"/>
      <c r="T14" s="650"/>
      <c r="U14" s="60"/>
      <c r="V14" s="660" t="str">
        <f>IF(V10='Sprachen &amp; Rückgabewerte(4)'!$B$9,'Sprachen &amp; Rückgabewerte(4)'!$C$9,IF(V10='Sprachen &amp; Rückgabewerte(4)'!$B$10,'Sprachen &amp; Rückgabewerte(4)'!$C$10,IF(V10='Sprachen &amp; Rückgabewerte(4)'!$B$11,'Sprachen &amp; Rückgabewerte(4)'!$C$11,IF(V10='Sprachen &amp; Rückgabewerte(4)'!$B$12,'Sprachen &amp; Rückgabewerte(4)'!$C$12,IF(V10='Sprachen &amp; Rückgabewerte(4)'!$B$13,'Sprachen &amp; Rückgabewerte(4)'!$C$13,IF(V10='Sprachen &amp; Rückgabewerte(4)'!$B$14,'Sprachen &amp; Rückgabewerte(4)'!$C$14,""))))))</f>
        <v/>
      </c>
      <c r="W14" s="660"/>
      <c r="X14" s="650"/>
      <c r="Y14" s="60"/>
      <c r="Z14" s="660" t="str">
        <f>IF(Z10='Sprachen &amp; Rückgabewerte(4)'!$B$9,'Sprachen &amp; Rückgabewerte(4)'!$C$9,IF(Z10='Sprachen &amp; Rückgabewerte(4)'!$B$10,'Sprachen &amp; Rückgabewerte(4)'!$C$10,IF(Z10='Sprachen &amp; Rückgabewerte(4)'!$B$11,'Sprachen &amp; Rückgabewerte(4)'!$C$11,IF(Z10='Sprachen &amp; Rückgabewerte(4)'!$B$12,'Sprachen &amp; Rückgabewerte(4)'!$C$12,IF(Z10='Sprachen &amp; Rückgabewerte(4)'!$B$13,'Sprachen &amp; Rückgabewerte(4)'!$C$13,IF(Z10='Sprachen &amp; Rückgabewerte(4)'!$B$14,'Sprachen &amp; Rückgabewerte(4)'!$C$14,""))))))</f>
        <v/>
      </c>
      <c r="AA14" s="660"/>
      <c r="AB14" s="650"/>
      <c r="AC14" s="60"/>
      <c r="AD14" s="660" t="str">
        <f>IF(AD10='Sprachen &amp; Rückgabewerte(4)'!$B$9,'Sprachen &amp; Rückgabewerte(4)'!$C$9,IF(AD10='Sprachen &amp; Rückgabewerte(4)'!$B$10,'Sprachen &amp; Rückgabewerte(4)'!$C$10,IF(AD10='Sprachen &amp; Rückgabewerte(4)'!$B$11,'Sprachen &amp; Rückgabewerte(4)'!$C$11,IF(AD10='Sprachen &amp; Rückgabewerte(4)'!$B$12,'Sprachen &amp; Rückgabewerte(4)'!$C$12,IF(AD10='Sprachen &amp; Rückgabewerte(4)'!$B$13,'Sprachen &amp; Rückgabewerte(4)'!$C$13,IF(AD10='Sprachen &amp; Rückgabewerte(4)'!$B$14,'Sprachen &amp; Rückgabewerte(4)'!$C$14,""))))))</f>
        <v/>
      </c>
      <c r="AE14" s="660"/>
      <c r="AF14" s="650"/>
      <c r="AG14" s="60"/>
      <c r="AH14" s="660" t="str">
        <f>IF(AH10='Sprachen &amp; Rückgabewerte(4)'!$B$9,'Sprachen &amp; Rückgabewerte(4)'!$C$9,IF(AH10='Sprachen &amp; Rückgabewerte(4)'!$B$10,'Sprachen &amp; Rückgabewerte(4)'!$C$10,IF(AH10='Sprachen &amp; Rückgabewerte(4)'!$B$11,'Sprachen &amp; Rückgabewerte(4)'!$C$11,IF(AH10='Sprachen &amp; Rückgabewerte(4)'!$B$12,'Sprachen &amp; Rückgabewerte(4)'!$C$12,IF(AH10='Sprachen &amp; Rückgabewerte(4)'!$B$13,'Sprachen &amp; Rückgabewerte(4)'!$C$13,IF(AH10='Sprachen &amp; Rückgabewerte(4)'!$B$14,'Sprachen &amp; Rückgabewerte(4)'!$C$14,""))))))</f>
        <v/>
      </c>
      <c r="AI14" s="660"/>
      <c r="AJ14" s="650"/>
      <c r="AK14" s="60"/>
      <c r="AL14" s="660" t="str">
        <f>IF(AL10='Sprachen &amp; Rückgabewerte(4)'!$B$9,'Sprachen &amp; Rückgabewerte(4)'!$C$9,IF(AL10='Sprachen &amp; Rückgabewerte(4)'!$B$10,'Sprachen &amp; Rückgabewerte(4)'!$C$10,IF(AL10='Sprachen &amp; Rückgabewerte(4)'!$B$11,'Sprachen &amp; Rückgabewerte(4)'!$C$11,IF(AL10='Sprachen &amp; Rückgabewerte(4)'!$B$12,'Sprachen &amp; Rückgabewerte(4)'!$C$12,IF(AL10='Sprachen &amp; Rückgabewerte(4)'!$B$13,'Sprachen &amp; Rückgabewerte(4)'!$C$13,IF(AL10='Sprachen &amp; Rückgabewerte(4)'!$B$14,'Sprachen &amp; Rückgabewerte(4)'!$C$14,""))))))</f>
        <v/>
      </c>
      <c r="AM14" s="660"/>
      <c r="AN14" s="650"/>
      <c r="AO14" s="60"/>
      <c r="AP14" s="660" t="str">
        <f>IF(AP10='Sprachen &amp; Rückgabewerte(4)'!$B$9,'Sprachen &amp; Rückgabewerte(4)'!$C$9,IF(AP10='Sprachen &amp; Rückgabewerte(4)'!$B$10,'Sprachen &amp; Rückgabewerte(4)'!$C$10,IF(AP10='Sprachen &amp; Rückgabewerte(4)'!$B$11,'Sprachen &amp; Rückgabewerte(4)'!$C$11,IF(AP10='Sprachen &amp; Rückgabewerte(4)'!$B$12,'Sprachen &amp; Rückgabewerte(4)'!$C$12,IF(AP10='Sprachen &amp; Rückgabewerte(4)'!$B$13,'Sprachen &amp; Rückgabewerte(4)'!$C$13,IF(AP10='Sprachen &amp; Rückgabewerte(4)'!$B$14,'Sprachen &amp; Rückgabewerte(4)'!$C$14,""))))))</f>
        <v/>
      </c>
      <c r="AQ14" s="660"/>
      <c r="AR14" s="650"/>
      <c r="AS14" s="144"/>
      <c r="AT14" s="110"/>
      <c r="AU14" s="110"/>
      <c r="AW14" s="235"/>
      <c r="AX14" s="149" t="str">
        <f>'Sprachen &amp; Rückgabewerte(4)'!H131</f>
        <v>Bemerkungen:</v>
      </c>
      <c r="AY14" s="61"/>
      <c r="AZ14" s="61"/>
      <c r="BA14" s="61"/>
      <c r="BB14" s="237"/>
    </row>
    <row r="15" spans="1:64" ht="13.5" customHeight="1" x14ac:dyDescent="0.2">
      <c r="B15" s="60"/>
      <c r="C15" s="60"/>
      <c r="D15" s="61"/>
      <c r="E15" s="648"/>
      <c r="F15" s="660"/>
      <c r="G15" s="660"/>
      <c r="H15" s="650"/>
      <c r="I15" s="60"/>
      <c r="J15" s="660"/>
      <c r="K15" s="660"/>
      <c r="L15" s="650"/>
      <c r="M15" s="60"/>
      <c r="N15" s="660"/>
      <c r="O15" s="660"/>
      <c r="P15" s="650"/>
      <c r="Q15" s="60"/>
      <c r="R15" s="660"/>
      <c r="S15" s="660"/>
      <c r="T15" s="650"/>
      <c r="U15" s="60"/>
      <c r="V15" s="660"/>
      <c r="W15" s="660"/>
      <c r="X15" s="650"/>
      <c r="Y15" s="60"/>
      <c r="Z15" s="660"/>
      <c r="AA15" s="660"/>
      <c r="AB15" s="650"/>
      <c r="AC15" s="60"/>
      <c r="AD15" s="660"/>
      <c r="AE15" s="660"/>
      <c r="AF15" s="650"/>
      <c r="AG15" s="60"/>
      <c r="AH15" s="660"/>
      <c r="AI15" s="660"/>
      <c r="AJ15" s="650"/>
      <c r="AK15" s="60"/>
      <c r="AL15" s="660"/>
      <c r="AM15" s="660"/>
      <c r="AN15" s="650"/>
      <c r="AO15" s="60"/>
      <c r="AP15" s="660"/>
      <c r="AQ15" s="660"/>
      <c r="AR15" s="650"/>
      <c r="AS15" s="61"/>
      <c r="AT15" s="110"/>
      <c r="AU15" s="110"/>
      <c r="AW15" s="235"/>
      <c r="AX15" s="684" t="s">
        <v>480</v>
      </c>
      <c r="AY15" s="685"/>
      <c r="AZ15" s="685"/>
      <c r="BA15" s="686"/>
      <c r="BB15" s="237"/>
    </row>
    <row r="16" spans="1:64" ht="13.5" customHeight="1" x14ac:dyDescent="0.2">
      <c r="B16" s="60"/>
      <c r="C16" s="60"/>
      <c r="D16" s="61"/>
      <c r="E16" s="648"/>
      <c r="F16" s="654"/>
      <c r="G16" s="654"/>
      <c r="H16" s="650"/>
      <c r="I16" s="60"/>
      <c r="J16" s="654"/>
      <c r="K16" s="654"/>
      <c r="L16" s="650"/>
      <c r="M16" s="60"/>
      <c r="N16" s="654"/>
      <c r="O16" s="654"/>
      <c r="P16" s="650"/>
      <c r="Q16" s="60"/>
      <c r="R16" s="654"/>
      <c r="S16" s="654"/>
      <c r="T16" s="650"/>
      <c r="U16" s="60"/>
      <c r="V16" s="654"/>
      <c r="W16" s="654"/>
      <c r="X16" s="650"/>
      <c r="Y16" s="60"/>
      <c r="Z16" s="654"/>
      <c r="AA16" s="654"/>
      <c r="AB16" s="650"/>
      <c r="AC16" s="60"/>
      <c r="AD16" s="654"/>
      <c r="AE16" s="654"/>
      <c r="AF16" s="650"/>
      <c r="AG16" s="60"/>
      <c r="AH16" s="654"/>
      <c r="AI16" s="654"/>
      <c r="AJ16" s="650"/>
      <c r="AK16" s="60"/>
      <c r="AL16" s="654"/>
      <c r="AM16" s="654"/>
      <c r="AN16" s="650"/>
      <c r="AO16" s="60"/>
      <c r="AP16" s="654"/>
      <c r="AQ16" s="654"/>
      <c r="AR16" s="650"/>
      <c r="AS16" s="61"/>
      <c r="AT16" s="110"/>
      <c r="AU16" s="110"/>
      <c r="AW16" s="239"/>
      <c r="AX16" s="687"/>
      <c r="AY16" s="688"/>
      <c r="AZ16" s="688"/>
      <c r="BA16" s="689"/>
      <c r="BB16" s="237"/>
    </row>
    <row r="17" spans="1:54" ht="13.5" customHeight="1" x14ac:dyDescent="0.2">
      <c r="B17" s="60"/>
      <c r="C17" s="60"/>
      <c r="D17" s="61"/>
      <c r="E17" s="648"/>
      <c r="F17" s="654"/>
      <c r="G17" s="654"/>
      <c r="H17" s="650"/>
      <c r="I17" s="60"/>
      <c r="J17" s="654"/>
      <c r="K17" s="654"/>
      <c r="L17" s="650"/>
      <c r="M17" s="60"/>
      <c r="N17" s="654"/>
      <c r="O17" s="654"/>
      <c r="P17" s="650"/>
      <c r="Q17" s="60"/>
      <c r="R17" s="654"/>
      <c r="S17" s="654"/>
      <c r="T17" s="650"/>
      <c r="U17" s="60"/>
      <c r="V17" s="654"/>
      <c r="W17" s="654"/>
      <c r="X17" s="650"/>
      <c r="Y17" s="60"/>
      <c r="Z17" s="654"/>
      <c r="AA17" s="654"/>
      <c r="AB17" s="650"/>
      <c r="AC17" s="60"/>
      <c r="AD17" s="654"/>
      <c r="AE17" s="654"/>
      <c r="AF17" s="650"/>
      <c r="AG17" s="60"/>
      <c r="AH17" s="654"/>
      <c r="AI17" s="654"/>
      <c r="AJ17" s="650"/>
      <c r="AK17" s="60"/>
      <c r="AL17" s="654"/>
      <c r="AM17" s="654"/>
      <c r="AN17" s="650"/>
      <c r="AO17" s="60"/>
      <c r="AP17" s="654"/>
      <c r="AQ17" s="654"/>
      <c r="AR17" s="650"/>
      <c r="AS17" s="61"/>
      <c r="AT17" s="110"/>
      <c r="AU17" s="110"/>
      <c r="AW17" s="239"/>
      <c r="AX17" s="687"/>
      <c r="AY17" s="688"/>
      <c r="AZ17" s="688"/>
      <c r="BA17" s="689"/>
      <c r="BB17" s="237"/>
    </row>
    <row r="18" spans="1:54" ht="13.5" customHeight="1" x14ac:dyDescent="0.2">
      <c r="B18" s="60"/>
      <c r="C18" s="60"/>
      <c r="D18" s="61"/>
      <c r="E18" s="648"/>
      <c r="F18" s="445"/>
      <c r="G18" s="445"/>
      <c r="H18" s="650"/>
      <c r="I18" s="60"/>
      <c r="J18" s="445"/>
      <c r="K18" s="445"/>
      <c r="L18" s="650"/>
      <c r="M18" s="60"/>
      <c r="N18" s="445"/>
      <c r="O18" s="445"/>
      <c r="P18" s="650"/>
      <c r="Q18" s="60"/>
      <c r="R18" s="445"/>
      <c r="S18" s="445"/>
      <c r="T18" s="650"/>
      <c r="U18" s="60"/>
      <c r="V18" s="445"/>
      <c r="W18" s="445"/>
      <c r="X18" s="650"/>
      <c r="Y18" s="60"/>
      <c r="Z18" s="445"/>
      <c r="AA18" s="445"/>
      <c r="AB18" s="650"/>
      <c r="AC18" s="60"/>
      <c r="AD18" s="445"/>
      <c r="AE18" s="445"/>
      <c r="AF18" s="650"/>
      <c r="AG18" s="60"/>
      <c r="AH18" s="445"/>
      <c r="AI18" s="445"/>
      <c r="AJ18" s="650"/>
      <c r="AK18" s="60"/>
      <c r="AL18" s="445"/>
      <c r="AM18" s="445"/>
      <c r="AN18" s="650"/>
      <c r="AO18" s="60"/>
      <c r="AP18" s="445"/>
      <c r="AQ18" s="445"/>
      <c r="AR18" s="650"/>
      <c r="AS18" s="61"/>
      <c r="AT18" s="110"/>
      <c r="AU18" s="110"/>
      <c r="AW18" s="239"/>
      <c r="AX18" s="690"/>
      <c r="AY18" s="691"/>
      <c r="AZ18" s="691"/>
      <c r="BA18" s="692"/>
      <c r="BB18" s="237"/>
    </row>
    <row r="19" spans="1:54" ht="13.5" customHeight="1" x14ac:dyDescent="0.2">
      <c r="B19" s="60"/>
      <c r="C19" s="60"/>
      <c r="D19" s="61"/>
      <c r="E19" s="649"/>
      <c r="F19" s="84"/>
      <c r="G19" s="84"/>
      <c r="H19" s="651"/>
      <c r="I19" s="68"/>
      <c r="J19" s="84"/>
      <c r="K19" s="84"/>
      <c r="L19" s="651"/>
      <c r="M19" s="68"/>
      <c r="N19" s="84"/>
      <c r="O19" s="84"/>
      <c r="P19" s="651"/>
      <c r="Q19" s="68"/>
      <c r="R19" s="84"/>
      <c r="S19" s="84"/>
      <c r="T19" s="651"/>
      <c r="U19" s="68"/>
      <c r="V19" s="84"/>
      <c r="W19" s="84"/>
      <c r="X19" s="651"/>
      <c r="Y19" s="68"/>
      <c r="Z19" s="84"/>
      <c r="AA19" s="84"/>
      <c r="AB19" s="651"/>
      <c r="AC19" s="68"/>
      <c r="AD19" s="84"/>
      <c r="AE19" s="84"/>
      <c r="AF19" s="651"/>
      <c r="AG19" s="68"/>
      <c r="AH19" s="84"/>
      <c r="AI19" s="84"/>
      <c r="AJ19" s="651"/>
      <c r="AK19" s="68"/>
      <c r="AL19" s="84"/>
      <c r="AM19" s="84"/>
      <c r="AN19" s="651"/>
      <c r="AO19" s="68"/>
      <c r="AP19" s="84"/>
      <c r="AQ19" s="84"/>
      <c r="AR19" s="651"/>
      <c r="AS19" s="61"/>
      <c r="AT19" s="110"/>
      <c r="AU19" s="110"/>
      <c r="AW19" s="239"/>
      <c r="AX19" s="694" t="str">
        <f>IF('Sprachen &amp; Rückgabewerte(4)'!U83=FALSE,'Sprachen &amp; Rückgabewerte(4)'!H155,'Sprachen &amp; Rückgabewerte(4)'!H156)</f>
        <v>Bestellformular unvollständig!</v>
      </c>
      <c r="AY19" s="694"/>
      <c r="AZ19" s="694"/>
      <c r="BA19" s="694"/>
      <c r="BB19" s="237"/>
    </row>
    <row r="20" spans="1:54" ht="13.5" customHeight="1" thickBot="1" x14ac:dyDescent="0.25">
      <c r="B20" s="60"/>
      <c r="C20" s="60"/>
      <c r="D20" s="61"/>
      <c r="E20" s="61"/>
      <c r="F20" s="90" t="str">
        <f>'Sprachen &amp; Rückgabewerte(4)'!$H$124</f>
        <v>Ecke:</v>
      </c>
      <c r="G20" s="658"/>
      <c r="H20" s="658"/>
      <c r="I20" s="659"/>
      <c r="J20" s="659"/>
      <c r="K20" s="659"/>
      <c r="L20" s="659"/>
      <c r="M20" s="659"/>
      <c r="N20" s="659"/>
      <c r="O20" s="659"/>
      <c r="P20" s="659"/>
      <c r="Q20" s="659"/>
      <c r="R20" s="659"/>
      <c r="S20" s="659"/>
      <c r="T20" s="659"/>
      <c r="U20" s="659"/>
      <c r="V20" s="659"/>
      <c r="W20" s="659"/>
      <c r="X20" s="659"/>
      <c r="Y20" s="659"/>
      <c r="Z20" s="659"/>
      <c r="AA20" s="659"/>
      <c r="AB20" s="659"/>
      <c r="AC20" s="659"/>
      <c r="AD20" s="659"/>
      <c r="AE20" s="659"/>
      <c r="AF20" s="659"/>
      <c r="AG20" s="659"/>
      <c r="AH20" s="659"/>
      <c r="AI20" s="659"/>
      <c r="AJ20" s="659"/>
      <c r="AK20" s="659"/>
      <c r="AL20" s="659"/>
      <c r="AM20" s="659"/>
      <c r="AN20" s="659"/>
      <c r="AO20" s="658"/>
      <c r="AP20" s="658"/>
      <c r="AQ20" s="61"/>
      <c r="AR20" s="62"/>
      <c r="AS20" s="61"/>
      <c r="AT20" s="110"/>
      <c r="AU20" s="110"/>
      <c r="AW20" s="240"/>
      <c r="AX20" s="695"/>
      <c r="AY20" s="695"/>
      <c r="AZ20" s="695"/>
      <c r="BA20" s="695"/>
      <c r="BB20" s="243"/>
    </row>
    <row r="21" spans="1:54" ht="13.5" customHeight="1" thickTop="1" thickBot="1" x14ac:dyDescent="0.25">
      <c r="B21" s="60"/>
      <c r="C21" s="60"/>
      <c r="D21" s="61"/>
      <c r="E21" s="64"/>
      <c r="F21" s="90" t="str">
        <f>IF(OR(G20='Sprachen &amp; Rückgabewerte(4)'!$H$106,G20='Sprachen &amp; Rückgabewerte(4)'!$H$107,K20='Sprachen &amp; Rückgabewerte(4)'!$H$106,K20='Sprachen &amp; Rückgabewerte(4)'!$H$107,O20='Sprachen &amp; Rückgabewerte(4)'!$H$106,O20='Sprachen &amp; Rückgabewerte(4)'!$H$107,S20='Sprachen &amp; Rückgabewerte(4)'!$H$106,S20='Sprachen &amp; Rückgabewerte(4)'!$H$107,W20='Sprachen &amp; Rückgabewerte(4)'!$H$106,W20='Sprachen &amp; Rückgabewerte(4)'!$H$107,AA20='Sprachen &amp; Rückgabewerte(4)'!$H$106,AA20='Sprachen &amp; Rückgabewerte(4)'!$H$107,AE20='Sprachen &amp; Rückgabewerte(4)'!$H$106,AE20='Sprachen &amp; Rückgabewerte(4)'!$H$107,AI20='Sprachen &amp; Rückgabewerte(4)'!$H$106,AI20='Sprachen &amp; Rückgabewerte(4)'!$H$107,AM20='Sprachen &amp; Rückgabewerte(4)'!$H$106,AM20='Sprachen &amp; Rückgabewerte(4)'!$H$107),'Sprachen &amp; Rückgabewerte(4)'!$H$108,"")</f>
        <v/>
      </c>
      <c r="G21" s="65"/>
      <c r="H21" s="656">
        <v>85</v>
      </c>
      <c r="I21" s="656"/>
      <c r="J21" s="66"/>
      <c r="K21" s="66"/>
      <c r="L21" s="656"/>
      <c r="M21" s="656"/>
      <c r="N21" s="657"/>
      <c r="O21" s="657"/>
      <c r="P21" s="656"/>
      <c r="Q21" s="656"/>
      <c r="R21" s="693"/>
      <c r="S21" s="693"/>
      <c r="T21" s="656"/>
      <c r="U21" s="656"/>
      <c r="V21" s="657"/>
      <c r="W21" s="657"/>
      <c r="X21" s="656"/>
      <c r="Y21" s="656"/>
      <c r="Z21" s="657"/>
      <c r="AA21" s="657"/>
      <c r="AB21" s="656"/>
      <c r="AC21" s="656"/>
      <c r="AD21" s="657"/>
      <c r="AE21" s="657"/>
      <c r="AF21" s="656"/>
      <c r="AG21" s="656"/>
      <c r="AH21" s="657"/>
      <c r="AI21" s="657"/>
      <c r="AJ21" s="656"/>
      <c r="AK21" s="656"/>
      <c r="AL21" s="657"/>
      <c r="AM21" s="657"/>
      <c r="AN21" s="656"/>
      <c r="AO21" s="656"/>
      <c r="AP21" s="61"/>
      <c r="AQ21" s="61"/>
      <c r="AR21" s="62"/>
      <c r="AS21" s="61"/>
      <c r="AT21" s="110"/>
      <c r="AU21" s="110"/>
      <c r="AW21" s="146"/>
      <c r="AY21" s="184"/>
      <c r="AZ21" s="184"/>
      <c r="BA21" s="184"/>
    </row>
    <row r="22" spans="1:54" ht="9.75" customHeight="1" thickTop="1" x14ac:dyDescent="0.2">
      <c r="B22" s="60"/>
      <c r="C22" s="60"/>
      <c r="D22" s="61"/>
      <c r="E22" s="655"/>
      <c r="F22" s="655"/>
      <c r="G22" s="655"/>
      <c r="H22" s="655"/>
      <c r="I22" s="655"/>
      <c r="J22" s="655"/>
      <c r="K22" s="655"/>
      <c r="L22" s="655"/>
      <c r="M22" s="655"/>
      <c r="N22" s="655"/>
      <c r="O22" s="655"/>
      <c r="P22" s="655"/>
      <c r="Q22" s="655"/>
      <c r="R22" s="655"/>
      <c r="S22" s="655"/>
      <c r="T22" s="655"/>
      <c r="U22" s="655"/>
      <c r="V22" s="655"/>
      <c r="W22" s="655"/>
      <c r="X22" s="655"/>
      <c r="Y22" s="655"/>
      <c r="Z22" s="655"/>
      <c r="AA22" s="655"/>
      <c r="AB22" s="655"/>
      <c r="AC22" s="655"/>
      <c r="AD22" s="655"/>
      <c r="AE22" s="655"/>
      <c r="AF22" s="655"/>
      <c r="AG22" s="655"/>
      <c r="AH22" s="655"/>
      <c r="AI22" s="655"/>
      <c r="AJ22" s="655"/>
      <c r="AK22" s="655"/>
      <c r="AL22" s="655"/>
      <c r="AM22" s="655"/>
      <c r="AN22" s="655"/>
      <c r="AO22" s="655"/>
      <c r="AP22" s="655"/>
      <c r="AQ22" s="655"/>
      <c r="AR22" s="655"/>
      <c r="AS22" s="61"/>
      <c r="AT22" s="110"/>
      <c r="AU22" s="110"/>
      <c r="AW22" s="232"/>
      <c r="AX22" s="696" t="str">
        <f>'Sprachen &amp; Rückgabewerte(4)'!H157</f>
        <v>B2B-Login Projektnr:</v>
      </c>
      <c r="AY22" s="696"/>
      <c r="AZ22" s="696"/>
      <c r="BA22" s="696"/>
      <c r="BB22" s="234"/>
    </row>
    <row r="23" spans="1:54" ht="9.9499999999999993" customHeight="1" x14ac:dyDescent="0.2">
      <c r="B23" s="60"/>
      <c r="C23" s="60"/>
      <c r="D23" s="61"/>
      <c r="E23" s="571"/>
      <c r="F23" s="571"/>
      <c r="G23" s="571"/>
      <c r="H23" s="571"/>
      <c r="I23" s="571"/>
      <c r="J23" s="571"/>
      <c r="K23" s="571"/>
      <c r="L23" s="571"/>
      <c r="M23" s="571"/>
      <c r="N23" s="571"/>
      <c r="O23" s="571"/>
      <c r="P23" s="571"/>
      <c r="Q23" s="571"/>
      <c r="R23" s="571"/>
      <c r="S23" s="571"/>
      <c r="T23" s="571"/>
      <c r="U23" s="571"/>
      <c r="V23" s="571"/>
      <c r="W23" s="571"/>
      <c r="X23" s="571"/>
      <c r="Y23" s="571"/>
      <c r="Z23" s="571"/>
      <c r="AA23" s="571"/>
      <c r="AB23" s="571"/>
      <c r="AC23" s="571"/>
      <c r="AD23" s="571"/>
      <c r="AE23" s="571"/>
      <c r="AF23" s="571"/>
      <c r="AG23" s="571"/>
      <c r="AH23" s="571"/>
      <c r="AI23" s="571"/>
      <c r="AJ23" s="571"/>
      <c r="AK23" s="571"/>
      <c r="AL23" s="571"/>
      <c r="AM23" s="571"/>
      <c r="AN23" s="571"/>
      <c r="AO23" s="571"/>
      <c r="AP23" s="571"/>
      <c r="AQ23" s="571"/>
      <c r="AR23" s="571"/>
      <c r="AS23" s="67"/>
      <c r="AT23" s="110"/>
      <c r="AU23" s="110"/>
      <c r="AW23" s="235"/>
      <c r="AX23" s="697"/>
      <c r="AY23" s="697"/>
      <c r="AZ23" s="697"/>
      <c r="BA23" s="697"/>
      <c r="BB23" s="237"/>
    </row>
    <row r="24" spans="1:54" ht="9.9499999999999993" customHeight="1" x14ac:dyDescent="0.2">
      <c r="B24" s="60"/>
      <c r="C24" s="60"/>
      <c r="D24" s="61"/>
      <c r="E24" s="571"/>
      <c r="F24" s="571"/>
      <c r="G24" s="571"/>
      <c r="H24" s="571"/>
      <c r="I24" s="571"/>
      <c r="J24" s="571"/>
      <c r="K24" s="571"/>
      <c r="L24" s="571"/>
      <c r="M24" s="571"/>
      <c r="N24" s="571"/>
      <c r="O24" s="571"/>
      <c r="P24" s="571"/>
      <c r="Q24" s="571"/>
      <c r="R24" s="571"/>
      <c r="S24" s="571"/>
      <c r="T24" s="571"/>
      <c r="U24" s="571"/>
      <c r="V24" s="571"/>
      <c r="W24" s="571"/>
      <c r="X24" s="571"/>
      <c r="Y24" s="571"/>
      <c r="Z24" s="571"/>
      <c r="AA24" s="571"/>
      <c r="AB24" s="571"/>
      <c r="AC24" s="571"/>
      <c r="AD24" s="571"/>
      <c r="AE24" s="571"/>
      <c r="AF24" s="571"/>
      <c r="AG24" s="571"/>
      <c r="AH24" s="571"/>
      <c r="AI24" s="571"/>
      <c r="AJ24" s="571"/>
      <c r="AK24" s="571"/>
      <c r="AL24" s="571"/>
      <c r="AM24" s="571"/>
      <c r="AN24" s="571"/>
      <c r="AO24" s="571"/>
      <c r="AP24" s="571"/>
      <c r="AQ24" s="571"/>
      <c r="AR24" s="571"/>
      <c r="AS24" s="67"/>
      <c r="AT24" s="110"/>
      <c r="AU24" s="110"/>
      <c r="AW24" s="235"/>
      <c r="AX24" s="697"/>
      <c r="AY24" s="697"/>
      <c r="AZ24" s="697"/>
      <c r="BA24" s="697"/>
      <c r="BB24" s="237"/>
    </row>
    <row r="25" spans="1:54" ht="9.9499999999999993" customHeight="1" x14ac:dyDescent="0.2">
      <c r="B25" s="60"/>
      <c r="C25" s="60"/>
      <c r="D25" s="61"/>
      <c r="E25" s="571"/>
      <c r="F25" s="571"/>
      <c r="G25" s="571"/>
      <c r="H25" s="571"/>
      <c r="I25" s="571"/>
      <c r="J25" s="571"/>
      <c r="K25" s="571"/>
      <c r="L25" s="571"/>
      <c r="M25" s="571"/>
      <c r="N25" s="571"/>
      <c r="O25" s="571"/>
      <c r="P25" s="571"/>
      <c r="Q25" s="571"/>
      <c r="R25" s="571"/>
      <c r="S25" s="571"/>
      <c r="T25" s="571"/>
      <c r="U25" s="571"/>
      <c r="V25" s="571"/>
      <c r="W25" s="571"/>
      <c r="X25" s="571"/>
      <c r="Y25" s="571"/>
      <c r="Z25" s="571"/>
      <c r="AA25" s="571"/>
      <c r="AB25" s="571"/>
      <c r="AC25" s="571"/>
      <c r="AD25" s="571"/>
      <c r="AE25" s="571"/>
      <c r="AF25" s="571"/>
      <c r="AG25" s="571"/>
      <c r="AH25" s="571"/>
      <c r="AI25" s="571"/>
      <c r="AJ25" s="571"/>
      <c r="AK25" s="571"/>
      <c r="AL25" s="571"/>
      <c r="AM25" s="571"/>
      <c r="AN25" s="571"/>
      <c r="AO25" s="571"/>
      <c r="AP25" s="571"/>
      <c r="AQ25" s="571"/>
      <c r="AR25" s="571"/>
      <c r="AS25" s="67"/>
      <c r="AT25" s="110"/>
      <c r="AU25" s="110"/>
      <c r="AW25" s="235"/>
      <c r="AX25" s="565"/>
      <c r="AY25" s="566"/>
      <c r="AZ25" s="567"/>
      <c r="BA25" s="184"/>
      <c r="BB25" s="237"/>
    </row>
    <row r="26" spans="1:54" ht="9.9499999999999993" customHeight="1" x14ac:dyDescent="0.2">
      <c r="B26" s="60"/>
      <c r="C26" s="60"/>
      <c r="D26" s="61"/>
      <c r="E26" s="571"/>
      <c r="F26" s="571"/>
      <c r="G26" s="571"/>
      <c r="H26" s="571"/>
      <c r="I26" s="571"/>
      <c r="J26" s="571"/>
      <c r="K26" s="571"/>
      <c r="L26" s="571"/>
      <c r="M26" s="571"/>
      <c r="N26" s="571"/>
      <c r="O26" s="571"/>
      <c r="P26" s="571"/>
      <c r="Q26" s="571"/>
      <c r="R26" s="571"/>
      <c r="S26" s="571"/>
      <c r="T26" s="571"/>
      <c r="U26" s="571"/>
      <c r="V26" s="571"/>
      <c r="W26" s="571"/>
      <c r="X26" s="571"/>
      <c r="Y26" s="571"/>
      <c r="Z26" s="571"/>
      <c r="AA26" s="571"/>
      <c r="AB26" s="571"/>
      <c r="AC26" s="571"/>
      <c r="AD26" s="571"/>
      <c r="AE26" s="571"/>
      <c r="AF26" s="571"/>
      <c r="AG26" s="571"/>
      <c r="AH26" s="571"/>
      <c r="AI26" s="571"/>
      <c r="AJ26" s="571"/>
      <c r="AK26" s="571"/>
      <c r="AL26" s="571"/>
      <c r="AM26" s="571"/>
      <c r="AN26" s="571"/>
      <c r="AO26" s="571"/>
      <c r="AP26" s="571"/>
      <c r="AQ26" s="571"/>
      <c r="AR26" s="571"/>
      <c r="AS26" s="67"/>
      <c r="AT26" s="110"/>
      <c r="AU26" s="110"/>
      <c r="AW26" s="235"/>
      <c r="AX26" s="568"/>
      <c r="AY26" s="569"/>
      <c r="AZ26" s="570"/>
      <c r="BA26" s="184"/>
      <c r="BB26" s="237"/>
    </row>
    <row r="27" spans="1:54" ht="15.75" customHeight="1" thickBot="1" x14ac:dyDescent="0.25">
      <c r="B27" s="60"/>
      <c r="C27" s="60"/>
      <c r="D27" s="61"/>
      <c r="E27" s="91"/>
      <c r="F27" s="92"/>
      <c r="G27" s="92"/>
      <c r="H27" s="93"/>
      <c r="I27" s="91"/>
      <c r="J27" s="92"/>
      <c r="K27" s="92"/>
      <c r="L27" s="93"/>
      <c r="M27" s="91"/>
      <c r="N27" s="92"/>
      <c r="O27" s="92"/>
      <c r="P27" s="93"/>
      <c r="Q27" s="91"/>
      <c r="R27" s="92"/>
      <c r="S27" s="92"/>
      <c r="T27" s="93"/>
      <c r="U27" s="91"/>
      <c r="V27" s="92"/>
      <c r="W27" s="92"/>
      <c r="X27" s="93"/>
      <c r="Y27" s="91"/>
      <c r="Z27" s="92"/>
      <c r="AA27" s="92"/>
      <c r="AB27" s="93"/>
      <c r="AC27" s="91"/>
      <c r="AD27" s="92"/>
      <c r="AE27" s="92"/>
      <c r="AF27" s="93"/>
      <c r="AG27" s="91"/>
      <c r="AH27" s="92"/>
      <c r="AI27" s="92"/>
      <c r="AJ27" s="93"/>
      <c r="AK27" s="91"/>
      <c r="AL27" s="92"/>
      <c r="AM27" s="92"/>
      <c r="AN27" s="93"/>
      <c r="AO27" s="91"/>
      <c r="AP27" s="92"/>
      <c r="AQ27" s="92"/>
      <c r="AR27" s="93"/>
      <c r="AS27" s="67"/>
      <c r="AT27" s="110"/>
      <c r="AU27" s="110"/>
      <c r="AW27" s="235"/>
      <c r="AX27" s="311"/>
      <c r="AY27" s="184"/>
      <c r="AZ27" s="184"/>
      <c r="BA27" s="184"/>
      <c r="BB27" s="237"/>
    </row>
    <row r="28" spans="1:54" ht="18" customHeight="1" thickBot="1" x14ac:dyDescent="0.25">
      <c r="A28" s="151" t="str">
        <f>IF('Sprachen &amp; Rückgabewerte(4)'!$I$13=TRUE,'Sprachen &amp; Rückgabewerte(4)'!$H$58,"")</f>
        <v/>
      </c>
      <c r="B28" s="220"/>
      <c r="C28" s="60"/>
      <c r="D28" s="84"/>
      <c r="E28" s="572"/>
      <c r="F28" s="573"/>
      <c r="G28" s="573"/>
      <c r="H28" s="574"/>
      <c r="I28" s="572"/>
      <c r="J28" s="573"/>
      <c r="K28" s="573"/>
      <c r="L28" s="574"/>
      <c r="M28" s="572"/>
      <c r="N28" s="573"/>
      <c r="O28" s="573"/>
      <c r="P28" s="574"/>
      <c r="Q28" s="572"/>
      <c r="R28" s="573"/>
      <c r="S28" s="573"/>
      <c r="T28" s="574"/>
      <c r="U28" s="572"/>
      <c r="V28" s="573"/>
      <c r="W28" s="573"/>
      <c r="X28" s="574"/>
      <c r="Y28" s="572"/>
      <c r="Z28" s="573"/>
      <c r="AA28" s="573"/>
      <c r="AB28" s="574"/>
      <c r="AC28" s="572"/>
      <c r="AD28" s="573"/>
      <c r="AE28" s="573"/>
      <c r="AF28" s="574"/>
      <c r="AG28" s="572"/>
      <c r="AH28" s="573"/>
      <c r="AI28" s="573"/>
      <c r="AJ28" s="574"/>
      <c r="AK28" s="572"/>
      <c r="AL28" s="573"/>
      <c r="AM28" s="573"/>
      <c r="AN28" s="574"/>
      <c r="AO28" s="572"/>
      <c r="AP28" s="573"/>
      <c r="AQ28" s="573"/>
      <c r="AR28" s="574"/>
      <c r="AS28" s="68"/>
      <c r="AT28" s="110"/>
      <c r="AU28" s="110"/>
      <c r="AW28" s="251"/>
      <c r="AX28" s="241"/>
      <c r="AY28" s="242"/>
      <c r="AZ28" s="242"/>
      <c r="BA28" s="242"/>
      <c r="BB28" s="243"/>
    </row>
    <row r="29" spans="1:54" ht="7.5" customHeight="1" x14ac:dyDescent="0.2">
      <c r="B29" s="60"/>
      <c r="C29" s="60"/>
      <c r="D29" s="61"/>
      <c r="E29" s="69"/>
      <c r="F29" s="70"/>
      <c r="G29" s="70"/>
      <c r="H29" s="71"/>
      <c r="I29" s="70"/>
      <c r="J29" s="70"/>
      <c r="K29" s="70"/>
      <c r="L29" s="71"/>
      <c r="M29" s="70"/>
      <c r="N29" s="70"/>
      <c r="O29" s="70"/>
      <c r="P29" s="71"/>
      <c r="Q29" s="70"/>
      <c r="R29" s="70"/>
      <c r="S29" s="70"/>
      <c r="T29" s="71"/>
      <c r="U29" s="70"/>
      <c r="V29" s="70"/>
      <c r="W29" s="70"/>
      <c r="X29" s="71"/>
      <c r="Y29" s="70"/>
      <c r="Z29" s="70"/>
      <c r="AA29" s="70"/>
      <c r="AB29" s="71"/>
      <c r="AC29" s="70"/>
      <c r="AD29" s="70"/>
      <c r="AE29" s="70"/>
      <c r="AF29" s="71"/>
      <c r="AG29" s="70"/>
      <c r="AH29" s="70"/>
      <c r="AI29" s="70"/>
      <c r="AJ29" s="71"/>
      <c r="AK29" s="69"/>
      <c r="AL29" s="70"/>
      <c r="AM29" s="70"/>
      <c r="AN29" s="71"/>
      <c r="AO29" s="69"/>
      <c r="AP29" s="70"/>
      <c r="AQ29" s="70"/>
      <c r="AR29" s="71"/>
      <c r="AS29" s="61"/>
      <c r="AT29" s="110"/>
      <c r="AU29" s="110"/>
      <c r="AY29" s="184"/>
      <c r="AZ29" s="184"/>
      <c r="BA29" s="184"/>
    </row>
    <row r="30" spans="1:54" ht="10.5" customHeight="1" x14ac:dyDescent="0.2">
      <c r="B30" s="60"/>
      <c r="C30" s="68"/>
      <c r="D30" s="84"/>
      <c r="E30" s="444"/>
      <c r="F30" s="444"/>
      <c r="G30" s="444"/>
      <c r="H30" s="444"/>
      <c r="I30" s="444"/>
      <c r="J30" s="444"/>
      <c r="K30" s="444"/>
      <c r="L30" s="444"/>
      <c r="M30" s="444"/>
      <c r="N30" s="444"/>
      <c r="O30" s="444"/>
      <c r="P30" s="444"/>
      <c r="Q30" s="444"/>
      <c r="R30" s="444"/>
      <c r="S30" s="444"/>
      <c r="T30" s="444"/>
      <c r="U30" s="444"/>
      <c r="V30" s="444"/>
      <c r="W30" s="444"/>
      <c r="X30" s="444"/>
      <c r="Y30" s="444"/>
      <c r="Z30" s="444"/>
      <c r="AA30" s="444"/>
      <c r="AB30" s="444"/>
      <c r="AC30" s="444"/>
      <c r="AD30" s="444"/>
      <c r="AE30" s="444"/>
      <c r="AF30" s="444"/>
      <c r="AG30" s="444"/>
      <c r="AH30" s="444"/>
      <c r="AI30" s="444"/>
      <c r="AJ30" s="444"/>
      <c r="AK30" s="444"/>
      <c r="AL30" s="444"/>
      <c r="AM30" s="444"/>
      <c r="AN30" s="444"/>
      <c r="AO30" s="444"/>
      <c r="AP30" s="444"/>
      <c r="AQ30" s="444"/>
      <c r="AR30" s="444"/>
      <c r="AS30" s="84"/>
      <c r="AT30" s="111"/>
      <c r="AU30" s="110"/>
      <c r="AW30" s="588" t="str">
        <f>IF('Sprachen &amp; Rückgabewerte(4)'!$I$19=TRUE,'Sprachen &amp; Rückgabewerte(4)'!$H$137,"")</f>
        <v/>
      </c>
      <c r="AX30" s="589"/>
      <c r="AY30" s="589"/>
      <c r="AZ30" s="589"/>
      <c r="BA30" s="590"/>
    </row>
    <row r="31" spans="1:54" ht="11.25" customHeight="1" x14ac:dyDescent="0.2">
      <c r="B31" s="60"/>
      <c r="C31" s="61"/>
      <c r="D31" s="61"/>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61"/>
      <c r="AL31" s="61"/>
      <c r="AM31" s="63"/>
      <c r="AN31" s="61"/>
      <c r="AO31" s="61"/>
      <c r="AP31" s="61"/>
      <c r="AQ31" s="61"/>
      <c r="AR31" s="61"/>
      <c r="AS31" s="61"/>
      <c r="AT31" s="61"/>
      <c r="AU31" s="110"/>
      <c r="AW31" s="591"/>
      <c r="AX31" s="592"/>
      <c r="AY31" s="592"/>
      <c r="AZ31" s="592"/>
      <c r="BA31" s="593"/>
    </row>
    <row r="32" spans="1:54" ht="12.75" customHeight="1" x14ac:dyDescent="0.2">
      <c r="B32" s="60"/>
      <c r="C32" s="107"/>
      <c r="D32" s="82"/>
      <c r="E32" s="82"/>
      <c r="F32" s="82"/>
      <c r="G32" s="82"/>
      <c r="H32" s="82"/>
      <c r="I32" s="82"/>
      <c r="J32" s="82"/>
      <c r="K32" s="82"/>
      <c r="L32" s="82"/>
      <c r="M32" s="82"/>
      <c r="N32" s="82"/>
      <c r="O32" s="82"/>
      <c r="P32" s="82"/>
      <c r="Q32" s="82"/>
      <c r="R32" s="82"/>
      <c r="S32" s="82"/>
      <c r="T32" s="82"/>
      <c r="U32" s="82"/>
      <c r="V32" s="82"/>
      <c r="W32" s="82"/>
      <c r="X32" s="82"/>
      <c r="Y32" s="82"/>
      <c r="Z32" s="82"/>
      <c r="AA32" s="82"/>
      <c r="AB32" s="109"/>
      <c r="AC32" s="61"/>
      <c r="AD32" s="107"/>
      <c r="AE32" s="116" t="str">
        <f>'Sprachen &amp; Rückgabewerte(4)'!$H$134</f>
        <v>Features</v>
      </c>
      <c r="AF32" s="116"/>
      <c r="AG32" s="82"/>
      <c r="AH32" s="82"/>
      <c r="AI32" s="82"/>
      <c r="AJ32" s="82"/>
      <c r="AK32" s="82"/>
      <c r="AL32" s="82"/>
      <c r="AM32" s="133"/>
      <c r="AN32" s="82"/>
      <c r="AO32" s="82"/>
      <c r="AP32" s="82"/>
      <c r="AQ32" s="82"/>
      <c r="AR32" s="82"/>
      <c r="AS32" s="82"/>
      <c r="AT32" s="109"/>
      <c r="AU32" s="199"/>
      <c r="AV32" s="109"/>
      <c r="AW32" s="591"/>
      <c r="AX32" s="592"/>
      <c r="AY32" s="592"/>
      <c r="AZ32" s="592"/>
      <c r="BA32" s="593"/>
    </row>
    <row r="33" spans="2:53" ht="12.75" customHeight="1" x14ac:dyDescent="0.2">
      <c r="B33" s="60"/>
      <c r="C33" s="60"/>
      <c r="D33" s="72"/>
      <c r="E33" s="443"/>
      <c r="F33" s="442" t="str">
        <f>'Sprachen &amp; Rückgabewerte(4)'!$H$13</f>
        <v>Teilung Achsmasse</v>
      </c>
      <c r="G33" s="72"/>
      <c r="H33" s="72"/>
      <c r="I33" s="72"/>
      <c r="J33" s="72"/>
      <c r="K33" s="72"/>
      <c r="L33" s="72"/>
      <c r="M33" s="72"/>
      <c r="N33" s="72"/>
      <c r="O33" s="72"/>
      <c r="P33" s="72"/>
      <c r="Q33" s="72"/>
      <c r="R33" s="72"/>
      <c r="S33" s="72"/>
      <c r="T33" s="72"/>
      <c r="U33" s="72"/>
      <c r="V33" s="72"/>
      <c r="W33" s="72"/>
      <c r="X33" s="72"/>
      <c r="Y33" s="72"/>
      <c r="Z33" s="72"/>
      <c r="AA33" s="72"/>
      <c r="AB33" s="118"/>
      <c r="AC33" s="72"/>
      <c r="AD33" s="117"/>
      <c r="AE33" s="72"/>
      <c r="AF33" s="72" t="str">
        <f>'Sprachen &amp; Rückgabewerte(4)'!$H$15</f>
        <v>Standard</v>
      </c>
      <c r="AH33" s="72"/>
      <c r="AI33" s="72"/>
      <c r="AJ33" s="72"/>
      <c r="AK33" s="72"/>
      <c r="AL33" s="72"/>
      <c r="AM33" s="72"/>
      <c r="AN33" s="443"/>
      <c r="AO33" s="72" t="str">
        <f>'Sprachen &amp; Rückgabewerte(4)'!$H$25</f>
        <v>Pool</v>
      </c>
      <c r="AQ33" s="72"/>
      <c r="AR33" s="72"/>
      <c r="AS33" s="442"/>
      <c r="AT33" s="110"/>
      <c r="AU33" s="110"/>
      <c r="AW33" s="185" t="str">
        <f>IF(AND(F$10&gt;0,'Sprachen &amp; Rückgabewerte(4)'!$I$19=TRUE),CONCATENATE("Pos. ",'Pos. 4'!$B$2,".1"),"")</f>
        <v/>
      </c>
      <c r="AX33" s="734"/>
      <c r="AY33" s="735"/>
      <c r="AZ33" s="184"/>
      <c r="BA33" s="186"/>
    </row>
    <row r="34" spans="2:53" ht="12.75" customHeight="1" x14ac:dyDescent="0.2">
      <c r="B34" s="60"/>
      <c r="C34" s="60"/>
      <c r="D34" s="72"/>
      <c r="E34" s="443"/>
      <c r="F34" s="73" t="str">
        <f>'Sprachen &amp; Rückgabewerte(4)'!$H$14</f>
        <v>alle Gläser gleiche Breite (Empfehlung)</v>
      </c>
      <c r="G34" s="72"/>
      <c r="H34" s="72"/>
      <c r="I34" s="72"/>
      <c r="J34" s="72"/>
      <c r="K34" s="72"/>
      <c r="L34" s="72"/>
      <c r="M34" s="72"/>
      <c r="N34" s="72"/>
      <c r="O34" s="72"/>
      <c r="P34" s="72"/>
      <c r="Q34" s="72"/>
      <c r="R34" s="72"/>
      <c r="S34" s="72"/>
      <c r="T34" s="72"/>
      <c r="U34" s="72"/>
      <c r="V34" s="72"/>
      <c r="W34" s="72"/>
      <c r="X34" s="72"/>
      <c r="Y34" s="72"/>
      <c r="Z34" s="72"/>
      <c r="AA34" s="72"/>
      <c r="AB34" s="118"/>
      <c r="AC34" s="72"/>
      <c r="AD34" s="117"/>
      <c r="AE34" s="72"/>
      <c r="AF34" s="72" t="str">
        <f>'Sprachen &amp; Rückgabewerte(4)'!$H$16</f>
        <v>Einbruchschutz RC2</v>
      </c>
      <c r="AH34" s="72"/>
      <c r="AI34" s="72"/>
      <c r="AJ34" s="72"/>
      <c r="AK34" s="72"/>
      <c r="AL34" s="72"/>
      <c r="AM34" s="72"/>
      <c r="AN34" s="443"/>
      <c r="AO34" s="72" t="str">
        <f>'Sprachen &amp; Rückgabewerte(4)'!H125</f>
        <v>NFRC (USA)</v>
      </c>
      <c r="AQ34" s="72"/>
      <c r="AR34" s="72"/>
      <c r="AS34" s="442"/>
      <c r="AT34" s="110"/>
      <c r="AU34" s="110"/>
      <c r="AW34" s="185" t="str">
        <f>IF(AND(J10&gt;0,'Sprachen &amp; Rückgabewerte(4)'!$I$19=TRUE),CONCATENATE("Pos. ",'Pos. 4'!$B$2,".2"),"")</f>
        <v/>
      </c>
      <c r="AX34" s="734"/>
      <c r="AY34" s="735"/>
      <c r="AZ34" s="184"/>
      <c r="BA34" s="186"/>
    </row>
    <row r="35" spans="2:53" ht="12.75" customHeight="1" x14ac:dyDescent="0.2">
      <c r="B35" s="60"/>
      <c r="C35" s="60"/>
      <c r="D35" s="72"/>
      <c r="E35" s="72"/>
      <c r="F35" s="72"/>
      <c r="G35" s="72"/>
      <c r="H35" s="72"/>
      <c r="I35" s="72"/>
      <c r="J35" s="72"/>
      <c r="K35" s="72"/>
      <c r="L35" s="72"/>
      <c r="M35" s="72"/>
      <c r="N35" s="72"/>
      <c r="O35" s="72"/>
      <c r="P35" s="72"/>
      <c r="Q35" s="72"/>
      <c r="R35" s="72"/>
      <c r="S35" s="72"/>
      <c r="T35" s="72"/>
      <c r="U35" s="72"/>
      <c r="V35" s="72"/>
      <c r="W35" s="72"/>
      <c r="X35" s="72"/>
      <c r="Y35" s="72"/>
      <c r="Z35" s="72"/>
      <c r="AA35" s="72"/>
      <c r="AB35" s="118"/>
      <c r="AC35" s="72"/>
      <c r="AD35" s="117"/>
      <c r="AE35" s="72"/>
      <c r="AF35" s="72" t="str">
        <f>'Sprachen &amp; Rückgabewerte(4)'!$H$17</f>
        <v>Positionsüberwachung (P)</v>
      </c>
      <c r="AH35" s="72"/>
      <c r="AI35" s="72"/>
      <c r="AJ35" s="72"/>
      <c r="AK35" s="72"/>
      <c r="AL35" s="72"/>
      <c r="AM35" s="72"/>
      <c r="AN35" s="443"/>
      <c r="AO35" s="72" t="str">
        <f>'Sprachen &amp; Rückgabewerte(4)'!H26</f>
        <v>Schallschutz</v>
      </c>
      <c r="AQ35" s="72"/>
      <c r="AR35" s="72"/>
      <c r="AS35" s="74"/>
      <c r="AT35" s="110"/>
      <c r="AU35" s="110"/>
      <c r="AW35" s="185" t="str">
        <f>IF(AND(N10&gt;0,'Sprachen &amp; Rückgabewerte(4)'!$I$19=TRUE),CONCATENATE("Pos. ",'Pos. 4'!$B$2,".3"),"")</f>
        <v/>
      </c>
      <c r="AX35" s="734"/>
      <c r="AY35" s="735"/>
      <c r="AZ35" s="184"/>
      <c r="BA35" s="186"/>
    </row>
    <row r="36" spans="2:53" ht="12.75" customHeight="1" x14ac:dyDescent="0.2">
      <c r="B36" s="60"/>
      <c r="C36" s="60"/>
      <c r="D36" s="72"/>
      <c r="E36" s="72"/>
      <c r="F36" s="72"/>
      <c r="G36" s="72"/>
      <c r="H36" s="72"/>
      <c r="I36" s="72"/>
      <c r="J36" s="72"/>
      <c r="K36" s="72"/>
      <c r="L36" s="72"/>
      <c r="M36" s="72"/>
      <c r="N36" s="72"/>
      <c r="O36" s="72"/>
      <c r="P36" s="72"/>
      <c r="Q36" s="72"/>
      <c r="R36" s="72"/>
      <c r="S36" s="72"/>
      <c r="T36" s="72"/>
      <c r="U36" s="72"/>
      <c r="V36" s="72"/>
      <c r="W36" s="72"/>
      <c r="X36" s="72"/>
      <c r="Y36" s="72"/>
      <c r="Z36" s="72"/>
      <c r="AA36" s="72"/>
      <c r="AB36" s="118"/>
      <c r="AC36" s="72"/>
      <c r="AD36" s="117"/>
      <c r="AE36" s="72"/>
      <c r="AF36" s="72" t="str">
        <f>'Sprachen &amp; Rückgabewerte(4)'!$H$18</f>
        <v xml:space="preserve">Riegelüberwachung (R) </v>
      </c>
      <c r="AH36" s="72"/>
      <c r="AI36" s="72"/>
      <c r="AJ36" s="72"/>
      <c r="AK36" s="72"/>
      <c r="AL36" s="72"/>
      <c r="AM36" s="72"/>
      <c r="AN36" s="443"/>
      <c r="AO36" s="72" t="str">
        <f>'Sprachen &amp; Rückgabewerte(4)'!H27</f>
        <v>MINERGIE Modul</v>
      </c>
      <c r="AP36" s="72"/>
      <c r="AQ36" s="72"/>
      <c r="AR36" s="72"/>
      <c r="AS36" s="74"/>
      <c r="AT36" s="110"/>
      <c r="AU36" s="110"/>
      <c r="AW36" s="185" t="str">
        <f>IF(AND(R10&gt;0,'Sprachen &amp; Rückgabewerte(4)'!$I$19=TRUE),CONCATENATE("Pos. ",'Pos. 4'!$B$2,".4"),"")</f>
        <v/>
      </c>
      <c r="AX36" s="734"/>
      <c r="AY36" s="735"/>
      <c r="AZ36" s="184"/>
      <c r="BA36" s="186"/>
    </row>
    <row r="37" spans="2:53" ht="12.75" customHeight="1" x14ac:dyDescent="0.2">
      <c r="B37" s="60"/>
      <c r="C37" s="60"/>
      <c r="D37" s="72"/>
      <c r="E37" s="72"/>
      <c r="F37" s="72"/>
      <c r="G37" s="72"/>
      <c r="H37" s="72"/>
      <c r="I37" s="72"/>
      <c r="J37" s="72"/>
      <c r="K37" s="72"/>
      <c r="L37" s="72"/>
      <c r="M37" s="72"/>
      <c r="N37" s="72"/>
      <c r="O37" s="72"/>
      <c r="P37" s="72"/>
      <c r="Q37" s="72"/>
      <c r="R37" s="72"/>
      <c r="S37" s="72"/>
      <c r="T37" s="72"/>
      <c r="U37" s="72"/>
      <c r="V37" s="72"/>
      <c r="W37" s="72"/>
      <c r="X37" s="72"/>
      <c r="Y37" s="72"/>
      <c r="Z37" s="72"/>
      <c r="AA37" s="72"/>
      <c r="AB37" s="118"/>
      <c r="AC37" s="72"/>
      <c r="AD37" s="117"/>
      <c r="AE37" s="72"/>
      <c r="AF37" s="72" t="str">
        <f>'Sprachen &amp; Rückgabewerte(4)'!$H$19</f>
        <v>Glasbruchüberwachung (G)</v>
      </c>
      <c r="AH37" s="72"/>
      <c r="AI37" s="72"/>
      <c r="AJ37" s="72"/>
      <c r="AK37" s="72"/>
      <c r="AL37" s="72"/>
      <c r="AM37" s="72"/>
      <c r="AN37" s="443"/>
      <c r="AO37" s="72" t="str">
        <f>'Sprachen &amp; Rückgabewerte(4)'!H28</f>
        <v>MINERGIE-P Modul</v>
      </c>
      <c r="AP37" s="72"/>
      <c r="AQ37" s="72"/>
      <c r="AR37" s="72"/>
      <c r="AS37" s="74"/>
      <c r="AT37" s="110"/>
      <c r="AU37" s="110"/>
      <c r="AW37" s="185" t="str">
        <f>IF(AND(V10&gt;0,'Sprachen &amp; Rückgabewerte(4)'!$I$19=TRUE),CONCATENATE("Pos. ",'Pos. 4'!$B$2,".5"),"")</f>
        <v/>
      </c>
      <c r="AX37" s="734"/>
      <c r="AY37" s="735"/>
      <c r="AZ37" s="184"/>
      <c r="BA37" s="186"/>
    </row>
    <row r="38" spans="2:53" ht="12.75" customHeight="1" x14ac:dyDescent="0.2">
      <c r="B38" s="60"/>
      <c r="C38" s="60"/>
      <c r="D38" s="72"/>
      <c r="E38" s="72"/>
      <c r="F38" s="72"/>
      <c r="G38" s="72"/>
      <c r="H38" s="72"/>
      <c r="I38" s="72"/>
      <c r="J38" s="72"/>
      <c r="K38" s="72"/>
      <c r="L38" s="72"/>
      <c r="M38" s="72"/>
      <c r="N38" s="72"/>
      <c r="O38" s="72"/>
      <c r="P38" s="72"/>
      <c r="Q38" s="72"/>
      <c r="R38" s="72"/>
      <c r="S38" s="72"/>
      <c r="T38" s="72"/>
      <c r="U38" s="72"/>
      <c r="V38" s="72"/>
      <c r="W38" s="72"/>
      <c r="X38" s="72"/>
      <c r="Y38" s="72"/>
      <c r="Z38" s="72"/>
      <c r="AA38" s="72"/>
      <c r="AB38" s="118"/>
      <c r="AC38" s="72"/>
      <c r="AD38" s="117"/>
      <c r="AE38" s="72"/>
      <c r="AF38" s="662" t="str">
        <f>'Sprachen &amp; Rückgabewerte(4)'!$H$20</f>
        <v>Elektrischer Antrieb, Anzahl</v>
      </c>
      <c r="AG38" s="662"/>
      <c r="AH38" s="662"/>
      <c r="AI38" s="662"/>
      <c r="AJ38" s="662"/>
      <c r="AK38" s="662"/>
      <c r="AL38" s="662"/>
      <c r="AM38" s="661">
        <f>IF('Sprachen &amp; Rückgabewerte(4)'!I20=FALSE,0,COUNTIF(F13:AQ19,"E"))</f>
        <v>0</v>
      </c>
      <c r="AN38" s="661"/>
      <c r="AO38" s="72" t="str">
        <f>'Sprachen &amp; Rückgabewerte(4)'!$H$21</f>
        <v>Stk.</v>
      </c>
      <c r="AQ38" s="72"/>
      <c r="AR38" s="72"/>
      <c r="AS38" s="442"/>
      <c r="AT38" s="110"/>
      <c r="AU38" s="110"/>
      <c r="AW38" s="185" t="str">
        <f>IF(AND(Z10&gt;0,'Sprachen &amp; Rückgabewerte(4)'!$I$19=TRUE),CONCATENATE("Pos. ",'Pos. 4'!$B$2,".6"),"")</f>
        <v/>
      </c>
      <c r="AX38" s="734"/>
      <c r="AY38" s="735"/>
      <c r="AZ38" s="61"/>
      <c r="BA38" s="110"/>
    </row>
    <row r="39" spans="2:53" ht="12.75" customHeight="1" x14ac:dyDescent="0.2">
      <c r="B39" s="60"/>
      <c r="C39" s="60"/>
      <c r="D39" s="72"/>
      <c r="E39" s="72"/>
      <c r="F39" s="72"/>
      <c r="G39" s="72"/>
      <c r="H39" s="72"/>
      <c r="I39" s="72"/>
      <c r="J39" s="72"/>
      <c r="K39" s="72"/>
      <c r="L39" s="72"/>
      <c r="M39" s="72"/>
      <c r="N39" s="72"/>
      <c r="O39" s="72"/>
      <c r="P39" s="72"/>
      <c r="Q39" s="72"/>
      <c r="R39" s="72"/>
      <c r="S39" s="72"/>
      <c r="T39" s="72"/>
      <c r="U39" s="72"/>
      <c r="V39" s="72"/>
      <c r="W39" s="72"/>
      <c r="X39" s="72"/>
      <c r="Y39" s="72"/>
      <c r="Z39" s="72"/>
      <c r="AA39" s="72"/>
      <c r="AB39" s="118"/>
      <c r="AC39" s="72"/>
      <c r="AD39" s="117"/>
      <c r="AE39" s="72"/>
      <c r="AF39" s="72" t="str">
        <f>'Sprachen &amp; Rückgabewerte(4)'!$H$22</f>
        <v>geforderte Klassen:</v>
      </c>
      <c r="AH39" s="72"/>
      <c r="AI39" s="72"/>
      <c r="AJ39" s="72"/>
      <c r="AK39" s="72"/>
      <c r="AL39" s="639"/>
      <c r="AM39" s="640"/>
      <c r="AN39" s="640"/>
      <c r="AO39" s="640"/>
      <c r="AP39" s="640"/>
      <c r="AQ39" s="640"/>
      <c r="AR39" s="640"/>
      <c r="AS39" s="641"/>
      <c r="AT39" s="110"/>
      <c r="AU39" s="110"/>
      <c r="AW39" s="185" t="str">
        <f>IF(AND(AD10&gt;0,'Sprachen &amp; Rückgabewerte(4)'!$I$19=TRUE),CONCATENATE("Pos. ",'Pos. 4'!$B$2,".7"),"")</f>
        <v/>
      </c>
      <c r="AX39" s="734"/>
      <c r="AY39" s="735"/>
      <c r="AZ39" s="61"/>
      <c r="BA39" s="110"/>
    </row>
    <row r="40" spans="2:53" ht="12.75" customHeight="1" x14ac:dyDescent="0.2">
      <c r="B40" s="60"/>
      <c r="C40" s="60"/>
      <c r="D40" s="72"/>
      <c r="E40" s="445"/>
      <c r="F40" s="73" t="str">
        <f>'Sprachen &amp; Rückgabewerte(4)'!H30</f>
        <v>nach rechts</v>
      </c>
      <c r="G40" s="72"/>
      <c r="H40" s="72"/>
      <c r="I40" s="72"/>
      <c r="J40" s="72"/>
      <c r="K40" s="72"/>
      <c r="L40" s="72"/>
      <c r="M40" s="72"/>
      <c r="N40" s="75" t="str">
        <f>'Sprachen &amp; Rückgabewerte(4)'!H31</f>
        <v>nach links</v>
      </c>
      <c r="O40" s="445"/>
      <c r="P40" s="75"/>
      <c r="Q40" s="443"/>
      <c r="R40" s="72"/>
      <c r="S40" s="72"/>
      <c r="T40" s="72"/>
      <c r="U40" s="72"/>
      <c r="V40" s="72"/>
      <c r="W40" s="72"/>
      <c r="X40" s="72"/>
      <c r="Y40" s="72"/>
      <c r="Z40" s="632" t="s">
        <v>176</v>
      </c>
      <c r="AA40" s="72"/>
      <c r="AB40" s="118"/>
      <c r="AC40" s="72"/>
      <c r="AD40" s="119"/>
      <c r="AE40" s="120"/>
      <c r="AF40" s="120" t="str">
        <f>'Sprachen &amp; Rückgabewerte(4)'!H29</f>
        <v>Sky-Frame Gun</v>
      </c>
      <c r="AG40" s="316"/>
      <c r="AH40" s="316"/>
      <c r="AI40" s="316"/>
      <c r="AJ40" s="316"/>
      <c r="AK40" s="316"/>
      <c r="AL40" s="316"/>
      <c r="AM40" s="316"/>
      <c r="AN40" s="316"/>
      <c r="AO40" s="316"/>
      <c r="AP40" s="316"/>
      <c r="AQ40" s="316"/>
      <c r="AR40" s="316"/>
      <c r="AS40" s="120"/>
      <c r="AT40" s="111"/>
      <c r="AU40" s="110"/>
      <c r="AW40" s="185" t="str">
        <f>IF(AND(AH10&gt;0,'Sprachen &amp; Rückgabewerte(4)'!$I$19=TRUE),CONCATENATE("Pos. ",'Pos. 4'!$B$2,".8"),"")</f>
        <v/>
      </c>
      <c r="AX40" s="734"/>
      <c r="AY40" s="735"/>
      <c r="AZ40" s="61"/>
      <c r="BA40" s="110"/>
    </row>
    <row r="41" spans="2:53" ht="12.75" customHeight="1" x14ac:dyDescent="0.2">
      <c r="B41" s="60"/>
      <c r="C41" s="60"/>
      <c r="D41" s="72"/>
      <c r="E41" s="445"/>
      <c r="F41" s="73"/>
      <c r="G41" s="72"/>
      <c r="H41" s="72"/>
      <c r="I41" s="72"/>
      <c r="J41" s="72"/>
      <c r="K41" s="72"/>
      <c r="L41" s="72"/>
      <c r="M41" s="72"/>
      <c r="N41" s="75"/>
      <c r="O41" s="445"/>
      <c r="P41" s="75"/>
      <c r="Q41" s="443"/>
      <c r="R41" s="72"/>
      <c r="S41" s="72"/>
      <c r="T41" s="72"/>
      <c r="U41" s="72"/>
      <c r="V41" s="72"/>
      <c r="W41" s="72"/>
      <c r="X41" s="72"/>
      <c r="Y41" s="72"/>
      <c r="Z41" s="633"/>
      <c r="AA41" s="72"/>
      <c r="AB41" s="118"/>
      <c r="AC41" s="72"/>
      <c r="AD41" s="72"/>
      <c r="AE41" s="72"/>
      <c r="AF41" s="72"/>
      <c r="AG41" s="76"/>
      <c r="AH41" s="76"/>
      <c r="AI41" s="76"/>
      <c r="AJ41" s="76"/>
      <c r="AK41" s="76"/>
      <c r="AL41" s="76"/>
      <c r="AM41" s="76"/>
      <c r="AN41" s="76"/>
      <c r="AO41" s="76"/>
      <c r="AP41" s="76"/>
      <c r="AQ41" s="76"/>
      <c r="AR41" s="76"/>
      <c r="AS41" s="72"/>
      <c r="AT41" s="61"/>
      <c r="AU41" s="110"/>
      <c r="AW41" s="185" t="str">
        <f>IF(AND(AL10&gt;0,'Sprachen &amp; Rückgabewerte(4)'!$I$19=TRUE),CONCATENATE("Pos. ",'Pos. 4'!$B$2,".9"),"")</f>
        <v/>
      </c>
      <c r="AX41" s="734"/>
      <c r="AY41" s="735"/>
      <c r="AZ41" s="61"/>
      <c r="BA41" s="110"/>
    </row>
    <row r="42" spans="2:53" ht="12.75" customHeight="1" x14ac:dyDescent="0.2">
      <c r="B42" s="60"/>
      <c r="C42" s="60"/>
      <c r="D42" s="72"/>
      <c r="E42" s="72"/>
      <c r="F42" s="72"/>
      <c r="G42" s="72"/>
      <c r="H42" s="72"/>
      <c r="I42" s="72"/>
      <c r="J42" s="72"/>
      <c r="K42" s="72"/>
      <c r="L42" s="72"/>
      <c r="M42" s="72"/>
      <c r="N42" s="72"/>
      <c r="O42" s="72"/>
      <c r="P42" s="72"/>
      <c r="Q42" s="72"/>
      <c r="R42" s="72"/>
      <c r="S42" s="72"/>
      <c r="T42" s="72"/>
      <c r="U42" s="72"/>
      <c r="V42" s="72"/>
      <c r="W42" s="72"/>
      <c r="X42" s="72"/>
      <c r="Y42" s="72"/>
      <c r="Z42" s="636"/>
      <c r="AA42" s="72"/>
      <c r="AB42" s="118"/>
      <c r="AC42" s="77"/>
      <c r="AD42" s="114"/>
      <c r="AE42" s="116" t="str">
        <f>'Sprachen &amp; Rückgabewerte(4)'!$H$35</f>
        <v>Oberfläche:</v>
      </c>
      <c r="AF42" s="116"/>
      <c r="AG42" s="115"/>
      <c r="AH42" s="115"/>
      <c r="AI42" s="115"/>
      <c r="AJ42" s="115"/>
      <c r="AK42" s="115"/>
      <c r="AL42" s="115"/>
      <c r="AM42" s="134"/>
      <c r="AN42" s="115"/>
      <c r="AO42" s="115"/>
      <c r="AP42" s="115"/>
      <c r="AQ42" s="115"/>
      <c r="AR42" s="115"/>
      <c r="AS42" s="115"/>
      <c r="AT42" s="109"/>
      <c r="AU42" s="110"/>
      <c r="AW42" s="185" t="str">
        <f>IF(AND(AP10&gt;0,'Sprachen &amp; Rückgabewerte(4)'!$I$19=TRUE),CONCATENATE("Pos. ",'Pos. 4'!$B$2,".10"),"")</f>
        <v/>
      </c>
      <c r="AX42" s="734"/>
      <c r="AY42" s="735"/>
      <c r="AZ42" s="61"/>
      <c r="BA42" s="110"/>
    </row>
    <row r="43" spans="2:53" ht="12.75" customHeight="1" x14ac:dyDescent="0.2">
      <c r="B43" s="60"/>
      <c r="C43" s="60"/>
      <c r="D43" s="72"/>
      <c r="E43" s="72"/>
      <c r="F43" s="72"/>
      <c r="G43" s="72"/>
      <c r="H43" s="72"/>
      <c r="I43" s="72"/>
      <c r="J43" s="72"/>
      <c r="K43" s="72"/>
      <c r="L43" s="72"/>
      <c r="M43" s="72"/>
      <c r="N43" s="72"/>
      <c r="O43" s="72"/>
      <c r="P43" s="72"/>
      <c r="Q43" s="72"/>
      <c r="R43" s="72"/>
      <c r="S43" s="72"/>
      <c r="T43" s="72"/>
      <c r="U43" s="72"/>
      <c r="V43" s="72"/>
      <c r="W43" s="72"/>
      <c r="X43" s="72"/>
      <c r="Y43" s="72"/>
      <c r="Z43" s="637"/>
      <c r="AA43" s="72"/>
      <c r="AB43" s="118"/>
      <c r="AC43" s="77"/>
      <c r="AD43" s="117"/>
      <c r="AE43" s="72"/>
      <c r="AF43" s="174" t="str">
        <f>'Sprachen &amp; Rückgabewerte(4)'!H36</f>
        <v>eloxiert (Qualanod):</v>
      </c>
      <c r="AG43" s="72"/>
      <c r="AH43" s="72"/>
      <c r="AI43" s="72"/>
      <c r="AJ43" s="72"/>
      <c r="AK43" s="72"/>
      <c r="AL43" s="72"/>
      <c r="AM43" s="604"/>
      <c r="AN43" s="604"/>
      <c r="AO43" s="604"/>
      <c r="AP43" s="604"/>
      <c r="AQ43" s="604"/>
      <c r="AR43" s="604"/>
      <c r="AS43" s="604"/>
      <c r="AT43" s="110"/>
      <c r="AU43" s="110"/>
      <c r="AW43" s="200">
        <f>COUNTBLANK(AW33:AW42)</f>
        <v>10</v>
      </c>
      <c r="AX43" s="201">
        <f>COUNTBLANK(AX33:AX42)</f>
        <v>10</v>
      </c>
      <c r="AY43" s="201">
        <f>AW43-AX43</f>
        <v>0</v>
      </c>
      <c r="AZ43" s="84"/>
      <c r="BA43" s="111"/>
    </row>
    <row r="44" spans="2:53" ht="12.75" customHeight="1" x14ac:dyDescent="0.2">
      <c r="B44" s="60"/>
      <c r="C44" s="60"/>
      <c r="D44" s="72"/>
      <c r="E44" s="72"/>
      <c r="F44" s="72"/>
      <c r="G44" s="72"/>
      <c r="H44" s="72"/>
      <c r="I44" s="72"/>
      <c r="J44" s="72"/>
      <c r="K44" s="72"/>
      <c r="L44" s="72"/>
      <c r="M44" s="72"/>
      <c r="N44" s="72"/>
      <c r="O44" s="72"/>
      <c r="P44" s="722" t="str">
        <f>'Sprachen &amp; Rückgabewerte(4)'!$H$33</f>
        <v>Griffhöhe:</v>
      </c>
      <c r="Q44" s="722"/>
      <c r="R44" s="722"/>
      <c r="S44" s="722"/>
      <c r="T44" s="72"/>
      <c r="U44" s="72"/>
      <c r="V44" s="72"/>
      <c r="W44" s="72"/>
      <c r="X44" s="72"/>
      <c r="Y44" s="72"/>
      <c r="Z44" s="637"/>
      <c r="AA44" s="72"/>
      <c r="AB44" s="118"/>
      <c r="AC44" s="77"/>
      <c r="AD44" s="117"/>
      <c r="AE44" s="72"/>
      <c r="AF44" s="443"/>
      <c r="AG44" s="73"/>
      <c r="AH44" s="72"/>
      <c r="AI44" s="72"/>
      <c r="AJ44" s="72"/>
      <c r="AK44" s="72"/>
      <c r="AL44" s="72"/>
      <c r="AM44" s="442"/>
      <c r="AN44" s="443"/>
      <c r="AO44" s="613"/>
      <c r="AP44" s="613"/>
      <c r="AQ44" s="613"/>
      <c r="AR44" s="613"/>
      <c r="AS44" s="613"/>
      <c r="AT44" s="110"/>
      <c r="AU44" s="110"/>
    </row>
    <row r="45" spans="2:53" ht="12.75" customHeight="1" x14ac:dyDescent="0.2">
      <c r="B45" s="60"/>
      <c r="C45" s="60"/>
      <c r="D45" s="72"/>
      <c r="E45" s="72"/>
      <c r="F45" s="72"/>
      <c r="G45" s="72"/>
      <c r="H45" s="72"/>
      <c r="I45" s="72"/>
      <c r="J45" s="72"/>
      <c r="K45" s="72"/>
      <c r="L45" s="72"/>
      <c r="M45" s="72"/>
      <c r="N45" s="72"/>
      <c r="O45" s="72"/>
      <c r="P45" s="722"/>
      <c r="Q45" s="722"/>
      <c r="R45" s="722"/>
      <c r="S45" s="722"/>
      <c r="T45" s="598"/>
      <c r="U45" s="599"/>
      <c r="V45" s="73" t="s">
        <v>176</v>
      </c>
      <c r="W45" s="72"/>
      <c r="X45" s="72"/>
      <c r="Y45" s="72"/>
      <c r="Z45" s="638"/>
      <c r="AA45" s="72"/>
      <c r="AB45" s="118"/>
      <c r="AC45" s="77"/>
      <c r="AD45" s="117"/>
      <c r="AE45" s="72"/>
      <c r="AF45" s="442" t="str">
        <f>'Sprachen &amp; Rückgabewerte(4)'!$H$39</f>
        <v>pulverbeschichtet:</v>
      </c>
      <c r="AG45" s="147"/>
      <c r="AH45" s="147"/>
      <c r="AI45" s="147"/>
      <c r="AJ45" s="147"/>
      <c r="AK45" s="147"/>
      <c r="AL45" s="147"/>
      <c r="AM45" s="629"/>
      <c r="AN45" s="630"/>
      <c r="AO45" s="630"/>
      <c r="AP45" s="630"/>
      <c r="AQ45" s="630"/>
      <c r="AR45" s="630"/>
      <c r="AS45" s="631"/>
      <c r="AT45" s="110"/>
      <c r="AU45" s="199"/>
      <c r="AV45" s="109"/>
      <c r="AW45" s="107"/>
      <c r="AX45" s="109"/>
    </row>
    <row r="46" spans="2:53" ht="12.75" customHeight="1" x14ac:dyDescent="0.2">
      <c r="B46" s="60"/>
      <c r="C46" s="60"/>
      <c r="D46" s="72"/>
      <c r="E46" s="72"/>
      <c r="F46" s="72"/>
      <c r="G46" s="72"/>
      <c r="H46" s="72"/>
      <c r="I46" s="716"/>
      <c r="J46" s="716"/>
      <c r="K46" s="716"/>
      <c r="L46" s="157" t="s">
        <v>190</v>
      </c>
      <c r="M46" s="72"/>
      <c r="N46" s="72"/>
      <c r="O46" s="72"/>
      <c r="P46" s="72"/>
      <c r="Q46" s="72"/>
      <c r="R46" s="72"/>
      <c r="S46" s="72"/>
      <c r="T46" s="72"/>
      <c r="U46" s="72"/>
      <c r="V46" s="72"/>
      <c r="W46" s="72"/>
      <c r="X46" s="72"/>
      <c r="Y46" s="72"/>
      <c r="Z46" s="634" t="str">
        <f>'Sprachen &amp; Rückgabewerte(4)'!$H$34</f>
        <v xml:space="preserve">Höhe = </v>
      </c>
      <c r="AA46" s="72"/>
      <c r="AB46" s="118"/>
      <c r="AC46" s="77"/>
      <c r="AD46" s="117"/>
      <c r="AE46" s="72"/>
      <c r="AF46" s="442" t="str">
        <f>'Sprachen &amp; Rückgabewerte(4)'!$H$40</f>
        <v>Vorbehandlung:</v>
      </c>
      <c r="AG46" s="72"/>
      <c r="AH46" s="72"/>
      <c r="AI46" s="72"/>
      <c r="AJ46" s="72"/>
      <c r="AK46" s="72"/>
      <c r="AL46" s="72"/>
      <c r="AM46" s="642"/>
      <c r="AN46" s="643"/>
      <c r="AO46" s="643"/>
      <c r="AP46" s="643"/>
      <c r="AQ46" s="643"/>
      <c r="AR46" s="643"/>
      <c r="AS46" s="644"/>
      <c r="AT46" s="110"/>
      <c r="AU46" s="110"/>
      <c r="AW46" s="229" t="str">
        <f>'Sprachen &amp; Rückgabewerte(4)'!$H$150</f>
        <v>Farbe Panele:</v>
      </c>
      <c r="AX46" s="110"/>
    </row>
    <row r="47" spans="2:53" ht="12.75" customHeight="1" x14ac:dyDescent="0.2">
      <c r="B47" s="60"/>
      <c r="C47" s="60"/>
      <c r="D47" s="72"/>
      <c r="E47" s="72"/>
      <c r="F47" s="72"/>
      <c r="G47" s="72"/>
      <c r="H47" s="72"/>
      <c r="I47" s="716"/>
      <c r="J47" s="716"/>
      <c r="K47" s="716"/>
      <c r="L47" s="157" t="s">
        <v>190</v>
      </c>
      <c r="M47" s="72"/>
      <c r="N47" s="72"/>
      <c r="O47" s="445"/>
      <c r="P47" s="72"/>
      <c r="Q47" s="72"/>
      <c r="R47" s="72"/>
      <c r="S47" s="72"/>
      <c r="T47" s="72"/>
      <c r="U47" s="72"/>
      <c r="V47" s="72"/>
      <c r="W47" s="72"/>
      <c r="X47" s="72"/>
      <c r="Y47" s="72"/>
      <c r="Z47" s="635"/>
      <c r="AA47" s="445"/>
      <c r="AB47" s="118"/>
      <c r="AC47" s="78"/>
      <c r="AD47" s="117"/>
      <c r="AE47" s="72"/>
      <c r="AF47" s="442" t="str">
        <f>'Sprachen &amp; Rückgabewerte(4)'!H176</f>
        <v>Pulverlack Klasse:</v>
      </c>
      <c r="AG47" s="72"/>
      <c r="AH47" s="72"/>
      <c r="AI47" s="72"/>
      <c r="AJ47" s="72"/>
      <c r="AK47" s="72"/>
      <c r="AL47" s="72"/>
      <c r="AM47" s="619"/>
      <c r="AN47" s="620"/>
      <c r="AO47" s="620"/>
      <c r="AP47" s="620"/>
      <c r="AQ47" s="620"/>
      <c r="AR47" s="620"/>
      <c r="AS47" s="621"/>
      <c r="AT47" s="110"/>
      <c r="AU47" s="110"/>
      <c r="AW47" s="60"/>
      <c r="AX47" s="110"/>
    </row>
    <row r="48" spans="2:53" ht="12.75" customHeight="1" x14ac:dyDescent="0.2">
      <c r="B48" s="60"/>
      <c r="C48" s="60"/>
      <c r="D48" s="72"/>
      <c r="E48" s="72"/>
      <c r="F48" s="72"/>
      <c r="G48" s="72"/>
      <c r="H48" s="72"/>
      <c r="I48" s="721"/>
      <c r="J48" s="721"/>
      <c r="K48" s="721"/>
      <c r="L48" s="157" t="s">
        <v>190</v>
      </c>
      <c r="M48" s="72"/>
      <c r="N48" s="72"/>
      <c r="O48" s="445"/>
      <c r="P48" s="72"/>
      <c r="Q48" s="72"/>
      <c r="R48" s="72"/>
      <c r="S48" s="72"/>
      <c r="T48" s="72"/>
      <c r="U48" s="72"/>
      <c r="V48" s="72"/>
      <c r="W48" s="72"/>
      <c r="X48" s="72"/>
      <c r="Y48" s="72"/>
      <c r="Z48" s="635"/>
      <c r="AA48" s="445"/>
      <c r="AB48" s="118"/>
      <c r="AC48" s="78"/>
      <c r="AD48" s="117"/>
      <c r="AE48" s="72"/>
      <c r="AF48" s="627" t="str">
        <f>'Sprachen &amp; Rückgabewerte(4)'!$H$91</f>
        <v>Farbe Laufschiene + Schraubenarretierungen:</v>
      </c>
      <c r="AG48" s="627"/>
      <c r="AH48" s="627"/>
      <c r="AI48" s="627"/>
      <c r="AJ48" s="627"/>
      <c r="AK48" s="627"/>
      <c r="AL48" s="627"/>
      <c r="AM48" s="61"/>
      <c r="AN48" s="61"/>
      <c r="AO48" s="442"/>
      <c r="AP48" s="72"/>
      <c r="AQ48" s="72"/>
      <c r="AR48" s="72"/>
      <c r="AS48" s="72"/>
      <c r="AT48" s="110"/>
      <c r="AU48" s="110"/>
      <c r="AW48" s="586"/>
      <c r="AX48" s="587"/>
    </row>
    <row r="49" spans="2:50" ht="12.75" customHeight="1" x14ac:dyDescent="0.2">
      <c r="B49" s="60"/>
      <c r="C49" s="60"/>
      <c r="D49" s="72"/>
      <c r="E49" s="72"/>
      <c r="F49" s="72"/>
      <c r="G49" s="72"/>
      <c r="H49" s="75" t="str">
        <f>'Sprachen &amp; Rückgabewerte(4)'!$H$32</f>
        <v>Breite =</v>
      </c>
      <c r="I49" s="718"/>
      <c r="J49" s="719"/>
      <c r="K49" s="720"/>
      <c r="L49" s="73" t="s">
        <v>176</v>
      </c>
      <c r="M49" s="72"/>
      <c r="N49" s="72"/>
      <c r="O49" s="445"/>
      <c r="P49" s="72"/>
      <c r="Q49" s="72"/>
      <c r="R49" s="72"/>
      <c r="S49" s="72"/>
      <c r="T49" s="72"/>
      <c r="U49" s="72"/>
      <c r="V49" s="72"/>
      <c r="W49" s="72"/>
      <c r="X49" s="72"/>
      <c r="Y49" s="72"/>
      <c r="Z49" s="635"/>
      <c r="AA49" s="445"/>
      <c r="AB49" s="118"/>
      <c r="AC49" s="78"/>
      <c r="AD49" s="117"/>
      <c r="AE49" s="72"/>
      <c r="AF49" s="627"/>
      <c r="AG49" s="627"/>
      <c r="AH49" s="627"/>
      <c r="AI49" s="627"/>
      <c r="AJ49" s="627"/>
      <c r="AK49" s="627"/>
      <c r="AL49" s="627"/>
      <c r="AM49" s="723"/>
      <c r="AN49" s="724"/>
      <c r="AO49" s="724"/>
      <c r="AP49" s="725"/>
      <c r="AQ49" s="72"/>
      <c r="AR49" s="72"/>
      <c r="AS49" s="72"/>
      <c r="AT49" s="110"/>
      <c r="AU49" s="110"/>
      <c r="AW49" s="68"/>
      <c r="AX49" s="111"/>
    </row>
    <row r="50" spans="2:50" ht="12.75" customHeight="1" x14ac:dyDescent="0.2">
      <c r="B50" s="60"/>
      <c r="C50" s="60"/>
      <c r="D50" s="72"/>
      <c r="E50" s="72"/>
      <c r="F50" s="72"/>
      <c r="G50" s="72"/>
      <c r="H50" s="61"/>
      <c r="I50" s="61"/>
      <c r="J50" s="61"/>
      <c r="K50" s="61"/>
      <c r="L50" s="61"/>
      <c r="M50" s="72"/>
      <c r="N50" s="72"/>
      <c r="O50" s="72"/>
      <c r="P50" s="72"/>
      <c r="Q50" s="72"/>
      <c r="R50" s="72"/>
      <c r="S50" s="72"/>
      <c r="T50" s="72"/>
      <c r="U50" s="72"/>
      <c r="V50" s="72"/>
      <c r="W50" s="72"/>
      <c r="X50" s="72"/>
      <c r="Y50" s="72"/>
      <c r="Z50" s="635"/>
      <c r="AA50" s="72"/>
      <c r="AB50" s="118"/>
      <c r="AC50" s="78"/>
      <c r="AD50" s="119"/>
      <c r="AE50" s="120"/>
      <c r="AF50" s="628"/>
      <c r="AG50" s="628"/>
      <c r="AH50" s="628"/>
      <c r="AI50" s="628"/>
      <c r="AJ50" s="628"/>
      <c r="AK50" s="628"/>
      <c r="AL50" s="628"/>
      <c r="AM50" s="135"/>
      <c r="AN50" s="120"/>
      <c r="AO50" s="120"/>
      <c r="AP50" s="120"/>
      <c r="AQ50" s="120"/>
      <c r="AR50" s="120"/>
      <c r="AS50" s="120"/>
      <c r="AT50" s="111"/>
      <c r="AU50" s="110"/>
    </row>
    <row r="51" spans="2:50" ht="12.75" customHeight="1" x14ac:dyDescent="0.2">
      <c r="B51" s="60"/>
      <c r="C51" s="60"/>
      <c r="D51" s="72"/>
      <c r="E51" s="72"/>
      <c r="F51" s="72"/>
      <c r="G51" s="72"/>
      <c r="H51" s="61"/>
      <c r="I51" s="61"/>
      <c r="J51" s="61"/>
      <c r="K51" s="61"/>
      <c r="L51" s="61"/>
      <c r="M51" s="72"/>
      <c r="N51" s="72"/>
      <c r="O51" s="72"/>
      <c r="P51" s="72"/>
      <c r="Q51" s="72"/>
      <c r="R51" s="72"/>
      <c r="S51" s="72"/>
      <c r="T51" s="72"/>
      <c r="U51" s="72"/>
      <c r="V51" s="72"/>
      <c r="W51" s="72"/>
      <c r="X51" s="72"/>
      <c r="Y51" s="72"/>
      <c r="Z51" s="635"/>
      <c r="AA51" s="72"/>
      <c r="AB51" s="118"/>
      <c r="AC51" s="78"/>
      <c r="AD51" s="72"/>
      <c r="AE51" s="72"/>
      <c r="AF51" s="72"/>
      <c r="AG51" s="72"/>
      <c r="AH51" s="72"/>
      <c r="AI51" s="72"/>
      <c r="AJ51" s="72"/>
      <c r="AK51" s="72"/>
      <c r="AL51" s="72"/>
      <c r="AM51" s="442"/>
      <c r="AN51" s="72"/>
      <c r="AO51" s="72"/>
      <c r="AP51" s="72"/>
      <c r="AQ51" s="72"/>
      <c r="AR51" s="72"/>
      <c r="AS51" s="72"/>
      <c r="AT51" s="61"/>
      <c r="AU51" s="110"/>
    </row>
    <row r="52" spans="2:50" ht="12.75" customHeight="1" x14ac:dyDescent="0.2">
      <c r="B52" s="60"/>
      <c r="C52" s="60"/>
      <c r="D52" s="72"/>
      <c r="E52" s="72"/>
      <c r="F52" s="72"/>
      <c r="G52" s="72"/>
      <c r="H52" s="72"/>
      <c r="I52" s="75"/>
      <c r="J52" s="72"/>
      <c r="K52" s="72"/>
      <c r="L52" s="73"/>
      <c r="M52" s="72"/>
      <c r="N52" s="72"/>
      <c r="O52" s="72"/>
      <c r="P52" s="72"/>
      <c r="Q52" s="72"/>
      <c r="R52" s="72"/>
      <c r="S52" s="72"/>
      <c r="T52" s="72"/>
      <c r="U52" s="72"/>
      <c r="V52" s="72"/>
      <c r="W52" s="72"/>
      <c r="X52" s="72"/>
      <c r="Y52" s="72"/>
      <c r="Z52" s="635"/>
      <c r="AA52" s="72"/>
      <c r="AB52" s="118"/>
      <c r="AC52" s="78"/>
      <c r="AD52" s="114"/>
      <c r="AE52" s="116" t="str">
        <f>'Sprachen &amp; Rückgabewerte(4)'!$H$42</f>
        <v>Glas-Typ: SG = "Sky-Glass"</v>
      </c>
      <c r="AF52" s="116"/>
      <c r="AG52" s="115"/>
      <c r="AH52" s="115"/>
      <c r="AI52" s="115"/>
      <c r="AJ52" s="115"/>
      <c r="AK52" s="115"/>
      <c r="AL52" s="115"/>
      <c r="AM52" s="134"/>
      <c r="AN52" s="115"/>
      <c r="AO52" s="115"/>
      <c r="AP52" s="115"/>
      <c r="AQ52" s="115"/>
      <c r="AR52" s="115"/>
      <c r="AS52" s="115"/>
      <c r="AT52" s="324"/>
      <c r="AU52" s="110"/>
    </row>
    <row r="53" spans="2:50" ht="12.75" customHeight="1" x14ac:dyDescent="0.2">
      <c r="B53" s="60"/>
      <c r="C53" s="60"/>
      <c r="D53" s="72"/>
      <c r="E53" s="72"/>
      <c r="F53" s="72"/>
      <c r="G53" s="72"/>
      <c r="H53" s="61"/>
      <c r="I53" s="61"/>
      <c r="J53" s="61"/>
      <c r="K53" s="61"/>
      <c r="L53" s="72"/>
      <c r="M53" s="73"/>
      <c r="N53" s="72"/>
      <c r="O53" s="72"/>
      <c r="P53" s="72"/>
      <c r="Q53" s="72"/>
      <c r="R53" s="72"/>
      <c r="S53" s="72"/>
      <c r="T53" s="72"/>
      <c r="U53" s="72"/>
      <c r="V53" s="72"/>
      <c r="W53" s="72"/>
      <c r="X53" s="72"/>
      <c r="Y53" s="72"/>
      <c r="Z53" s="635"/>
      <c r="AA53" s="72"/>
      <c r="AB53" s="118"/>
      <c r="AC53" s="78"/>
      <c r="AD53" s="117"/>
      <c r="AE53" s="610"/>
      <c r="AF53" s="611"/>
      <c r="AG53" s="612"/>
      <c r="AH53" s="72" t="str">
        <f>'Sprachen &amp; Rückgabewerte(4)'!$AJ$1</f>
        <v>Ug=</v>
      </c>
      <c r="AI53" s="626">
        <f>LOOKUP($AE$53,'Sprachen &amp; Rückgabewerte(4)'!$AI$3:$AI$45,'Sprachen &amp; Rückgabewerte(4)'!AJ3:AJ45)</f>
        <v>0</v>
      </c>
      <c r="AJ53" s="626"/>
      <c r="AK53" s="726" t="str">
        <f>'Sprachen &amp; Rückgabewerte(4)'!$AK$1</f>
        <v>Lt=</v>
      </c>
      <c r="AL53" s="726"/>
      <c r="AM53" s="625">
        <f>LOOKUP(AE53,'Sprachen &amp; Rückgabewerte(4)'!AI3:AI45,'Sprachen &amp; Rückgabewerte(4)'!AK3:AK45)</f>
        <v>0</v>
      </c>
      <c r="AN53" s="625"/>
      <c r="AO53" s="203" t="str">
        <f>'Sprachen &amp; Rückgabewerte(4)'!$AL$1</f>
        <v>g=</v>
      </c>
      <c r="AP53" s="625">
        <f>LOOKUP(AE53,'Sprachen &amp; Rückgabewerte(4)'!AI3:AI45,'Sprachen &amp; Rückgabewerte(4)'!AL3:AL45)</f>
        <v>0</v>
      </c>
      <c r="AQ53" s="625"/>
      <c r="AR53" s="72"/>
      <c r="AS53" s="72"/>
      <c r="AT53" s="110"/>
      <c r="AU53" s="110"/>
    </row>
    <row r="54" spans="2:50" ht="12.75" customHeight="1" x14ac:dyDescent="0.2">
      <c r="B54" s="60"/>
      <c r="C54" s="60"/>
      <c r="D54" s="72"/>
      <c r="E54" s="72"/>
      <c r="F54" s="72"/>
      <c r="G54" s="72"/>
      <c r="H54" s="72"/>
      <c r="I54" s="72"/>
      <c r="J54" s="72"/>
      <c r="K54" s="72"/>
      <c r="L54" s="72"/>
      <c r="M54" s="72"/>
      <c r="N54" s="72"/>
      <c r="O54" s="72"/>
      <c r="P54" s="72"/>
      <c r="Q54" s="72"/>
      <c r="R54" s="72"/>
      <c r="S54" s="72"/>
      <c r="T54" s="72"/>
      <c r="U54" s="72"/>
      <c r="V54" s="72"/>
      <c r="W54" s="72"/>
      <c r="X54" s="72"/>
      <c r="Y54" s="72"/>
      <c r="Z54" s="635"/>
      <c r="AA54" s="72"/>
      <c r="AB54" s="118"/>
      <c r="AC54" s="72"/>
      <c r="AD54" s="117"/>
      <c r="AE54" s="72"/>
      <c r="AF54" s="72"/>
      <c r="AG54" s="72"/>
      <c r="AH54" s="73" t="str">
        <f>IF(AT52=1,'Sprachen &amp; Rückgabewerte(4)'!H158,LOOKUP(AE53,'Sprachen &amp; Rückgabewerte(4)'!AI3:AI45,'Sprachen &amp; Rückgabewerte(4)'!AM3:AM45))</f>
        <v>Glastyp wählen</v>
      </c>
      <c r="AI54" s="72"/>
      <c r="AJ54" s="72"/>
      <c r="AK54" s="72"/>
      <c r="AL54" s="72"/>
      <c r="AM54" s="442"/>
      <c r="AN54" s="79"/>
      <c r="AO54" s="79"/>
      <c r="AP54" s="72"/>
      <c r="AQ54" s="72"/>
      <c r="AR54" s="72"/>
      <c r="AS54" s="72"/>
      <c r="AT54" s="110"/>
      <c r="AU54" s="110"/>
    </row>
    <row r="55" spans="2:50" ht="12.75" customHeight="1" x14ac:dyDescent="0.2">
      <c r="B55" s="60"/>
      <c r="C55" s="60"/>
      <c r="D55" s="72"/>
      <c r="E55" s="72"/>
      <c r="F55" s="72"/>
      <c r="G55" s="72"/>
      <c r="H55" s="72"/>
      <c r="I55" s="72"/>
      <c r="J55" s="72"/>
      <c r="K55" s="72"/>
      <c r="L55" s="72"/>
      <c r="M55" s="72"/>
      <c r="N55" s="72"/>
      <c r="O55" s="72"/>
      <c r="P55" s="72"/>
      <c r="Q55" s="72"/>
      <c r="R55" s="72"/>
      <c r="S55" s="72"/>
      <c r="T55" s="72"/>
      <c r="U55" s="72"/>
      <c r="V55" s="72"/>
      <c r="W55" s="72"/>
      <c r="X55" s="72"/>
      <c r="Y55" s="72"/>
      <c r="Z55" s="72"/>
      <c r="AA55" s="72"/>
      <c r="AB55" s="118"/>
      <c r="AC55" s="72"/>
      <c r="AD55" s="117"/>
      <c r="AE55" s="662" t="str">
        <f>'Sprachen &amp; Rückgabewerte(4)'!$H$94</f>
        <v>Druckausgleichsventile :</v>
      </c>
      <c r="AF55" s="662"/>
      <c r="AG55" s="662"/>
      <c r="AH55" s="662"/>
      <c r="AI55" s="662"/>
      <c r="AJ55" s="662"/>
      <c r="AK55" s="662"/>
      <c r="AL55" s="662"/>
      <c r="AM55" s="662"/>
      <c r="AN55" s="717"/>
      <c r="AO55" s="560"/>
      <c r="AP55" s="562"/>
      <c r="AQ55" s="72"/>
      <c r="AR55" s="80" t="s">
        <v>347</v>
      </c>
      <c r="AS55" s="72"/>
      <c r="AT55" s="110"/>
      <c r="AU55" s="110"/>
    </row>
    <row r="56" spans="2:50" ht="12.75" customHeight="1" x14ac:dyDescent="0.2">
      <c r="B56" s="60"/>
      <c r="C56" s="60"/>
      <c r="D56" s="72"/>
      <c r="E56" s="72"/>
      <c r="F56" s="72"/>
      <c r="G56" s="72"/>
      <c r="H56" s="72"/>
      <c r="I56" s="72"/>
      <c r="J56" s="72"/>
      <c r="K56" s="72"/>
      <c r="L56" s="72"/>
      <c r="M56" s="72"/>
      <c r="N56" s="72"/>
      <c r="O56" s="72"/>
      <c r="P56" s="72"/>
      <c r="Q56" s="72"/>
      <c r="R56" s="72"/>
      <c r="S56" s="72"/>
      <c r="T56" s="72"/>
      <c r="U56" s="72"/>
      <c r="V56" s="72"/>
      <c r="W56" s="72"/>
      <c r="X56" s="72"/>
      <c r="Y56" s="72"/>
      <c r="Z56" s="72"/>
      <c r="AA56" s="72"/>
      <c r="AB56" s="118"/>
      <c r="AC56" s="72"/>
      <c r="AD56" s="117"/>
      <c r="AE56" s="72"/>
      <c r="AF56" s="127" t="str">
        <f>'Sprachen &amp; Rückgabewerte(4)'!$H$43</f>
        <v>Swisspacer-U schwarz</v>
      </c>
      <c r="AG56" s="72"/>
      <c r="AH56" s="72"/>
      <c r="AI56" s="72"/>
      <c r="AJ56" s="72"/>
      <c r="AK56" s="72"/>
      <c r="AL56" s="72"/>
      <c r="AM56" s="72"/>
      <c r="AN56" s="127" t="str">
        <f>'Sprachen &amp; Rückgabewerte(4)'!$H$44</f>
        <v>Swisspacer-U grau</v>
      </c>
      <c r="AQ56" s="72"/>
      <c r="AS56" s="80"/>
      <c r="AT56" s="110"/>
      <c r="AU56" s="110"/>
    </row>
    <row r="57" spans="2:50" ht="12.75" customHeight="1" x14ac:dyDescent="0.2">
      <c r="B57" s="60"/>
      <c r="C57" s="60"/>
      <c r="D57" s="72"/>
      <c r="E57" s="72"/>
      <c r="F57" s="72"/>
      <c r="G57" s="72"/>
      <c r="H57" s="72"/>
      <c r="I57" s="72"/>
      <c r="J57" s="72"/>
      <c r="K57" s="72"/>
      <c r="L57" s="72"/>
      <c r="M57" s="72"/>
      <c r="N57" s="72"/>
      <c r="O57" s="72"/>
      <c r="P57" s="72"/>
      <c r="Q57" s="72"/>
      <c r="R57" s="72"/>
      <c r="S57" s="72"/>
      <c r="T57" s="72"/>
      <c r="U57" s="72"/>
      <c r="V57" s="72"/>
      <c r="W57" s="72"/>
      <c r="X57" s="72"/>
      <c r="Y57" s="72"/>
      <c r="Z57" s="72"/>
      <c r="AA57" s="72"/>
      <c r="AB57" s="118"/>
      <c r="AC57" s="72"/>
      <c r="AD57" s="117"/>
      <c r="AE57" s="72"/>
      <c r="AF57" s="127" t="str">
        <f>'Sprachen &amp; Rückgabewerte(4)'!$H$45</f>
        <v>Speziell:</v>
      </c>
      <c r="AG57" s="72"/>
      <c r="AH57" s="72"/>
      <c r="AI57" s="622"/>
      <c r="AJ57" s="623"/>
      <c r="AK57" s="623"/>
      <c r="AL57" s="623"/>
      <c r="AM57" s="623"/>
      <c r="AN57" s="623"/>
      <c r="AO57" s="623"/>
      <c r="AP57" s="623"/>
      <c r="AQ57" s="623"/>
      <c r="AR57" s="623"/>
      <c r="AS57" s="624"/>
      <c r="AT57" s="110"/>
      <c r="AU57" s="110"/>
    </row>
    <row r="58" spans="2:50" ht="12.75" customHeight="1" x14ac:dyDescent="0.2">
      <c r="B58" s="60"/>
      <c r="C58" s="60"/>
      <c r="D58" s="72"/>
      <c r="E58" s="72"/>
      <c r="F58" s="72"/>
      <c r="G58" s="72"/>
      <c r="H58" s="72"/>
      <c r="I58" s="75"/>
      <c r="J58" s="73"/>
      <c r="K58" s="73"/>
      <c r="L58" s="73"/>
      <c r="M58" s="73"/>
      <c r="N58" s="73"/>
      <c r="O58" s="72"/>
      <c r="P58" s="72"/>
      <c r="Q58" s="72"/>
      <c r="R58" s="72"/>
      <c r="S58" s="72"/>
      <c r="T58" s="72"/>
      <c r="U58" s="72"/>
      <c r="V58" s="72"/>
      <c r="W58" s="72"/>
      <c r="X58" s="72"/>
      <c r="Y58" s="72"/>
      <c r="Z58" s="72"/>
      <c r="AA58" s="72"/>
      <c r="AB58" s="118"/>
      <c r="AC58" s="72"/>
      <c r="AD58" s="119"/>
      <c r="AE58" s="120"/>
      <c r="AF58" s="120"/>
      <c r="AG58" s="120"/>
      <c r="AH58" s="120"/>
      <c r="AI58" s="148"/>
      <c r="AJ58" s="148"/>
      <c r="AK58" s="148"/>
      <c r="AL58" s="148"/>
      <c r="AM58" s="148"/>
      <c r="AN58" s="148"/>
      <c r="AO58" s="148"/>
      <c r="AP58" s="148"/>
      <c r="AQ58" s="148"/>
      <c r="AR58" s="148"/>
      <c r="AS58" s="148"/>
      <c r="AT58" s="111"/>
      <c r="AU58" s="110"/>
    </row>
    <row r="59" spans="2:50" ht="12.75" customHeight="1" x14ac:dyDescent="0.2">
      <c r="B59" s="60"/>
      <c r="C59" s="60"/>
      <c r="D59" s="72"/>
      <c r="E59" s="72"/>
      <c r="F59" s="72"/>
      <c r="G59" s="72"/>
      <c r="H59" s="72"/>
      <c r="I59" s="75"/>
      <c r="J59" s="73"/>
      <c r="K59" s="73"/>
      <c r="L59" s="73"/>
      <c r="M59" s="73"/>
      <c r="N59" s="73"/>
      <c r="O59" s="72"/>
      <c r="P59" s="72"/>
      <c r="Q59" s="600" t="str">
        <f>IF('Sprachen &amp; Rückgabewerte(4)'!C54=TRUE,'Sprachen &amp; Rückgabewerte(4)'!H160,"")</f>
        <v/>
      </c>
      <c r="R59" s="600"/>
      <c r="S59" s="600"/>
      <c r="T59" s="600"/>
      <c r="U59" s="600"/>
      <c r="V59" s="600"/>
      <c r="W59" s="600"/>
      <c r="X59" s="600"/>
      <c r="Y59" s="600"/>
      <c r="Z59" s="600"/>
      <c r="AA59" s="600"/>
      <c r="AB59" s="601"/>
      <c r="AC59" s="72"/>
      <c r="AD59" s="72"/>
      <c r="AE59" s="72"/>
      <c r="AF59" s="72"/>
      <c r="AG59" s="72"/>
      <c r="AH59" s="72"/>
      <c r="AI59" s="79"/>
      <c r="AJ59" s="79"/>
      <c r="AK59" s="79"/>
      <c r="AL59" s="79"/>
      <c r="AM59" s="79"/>
      <c r="AN59" s="79"/>
      <c r="AO59" s="79"/>
      <c r="AP59" s="79"/>
      <c r="AQ59" s="79"/>
      <c r="AR59" s="79"/>
      <c r="AS59" s="79"/>
      <c r="AT59" s="61"/>
      <c r="AU59" s="110"/>
    </row>
    <row r="60" spans="2:50" ht="12.75" customHeight="1" x14ac:dyDescent="0.2">
      <c r="B60" s="60"/>
      <c r="C60" s="68"/>
      <c r="D60" s="120"/>
      <c r="E60" s="120"/>
      <c r="F60" s="177" t="str">
        <f>'Sprachen &amp; Rückgabewerte(4)'!$H$110</f>
        <v>KABA (22)</v>
      </c>
      <c r="G60" s="120"/>
      <c r="H60" s="120"/>
      <c r="I60" s="120"/>
      <c r="J60" s="120"/>
      <c r="K60" s="120"/>
      <c r="L60" s="177" t="str">
        <f>'Sprachen &amp; Rückgabewerte(4)'!$H$111</f>
        <v>PZ / Euro (17)</v>
      </c>
      <c r="M60" s="120"/>
      <c r="N60" s="120"/>
      <c r="O60" s="120"/>
      <c r="P60" s="120"/>
      <c r="Q60" s="602"/>
      <c r="R60" s="602"/>
      <c r="S60" s="602"/>
      <c r="T60" s="602"/>
      <c r="U60" s="602"/>
      <c r="V60" s="602"/>
      <c r="W60" s="602"/>
      <c r="X60" s="602"/>
      <c r="Y60" s="602"/>
      <c r="Z60" s="602"/>
      <c r="AA60" s="602"/>
      <c r="AB60" s="603"/>
      <c r="AC60" s="72"/>
      <c r="AD60" s="114"/>
      <c r="AE60" s="116" t="str">
        <f>'Sprachen &amp; Rückgabewerte(4)'!$H$64</f>
        <v>Verschlussgriffe:</v>
      </c>
      <c r="AF60" s="116"/>
      <c r="AG60" s="115"/>
      <c r="AH60" s="115"/>
      <c r="AI60" s="115"/>
      <c r="AJ60" s="115"/>
      <c r="AK60" s="115"/>
      <c r="AL60" s="115"/>
      <c r="AM60" s="134"/>
      <c r="AN60" s="115"/>
      <c r="AO60" s="115"/>
      <c r="AP60" s="115"/>
      <c r="AQ60" s="115"/>
      <c r="AR60" s="115"/>
      <c r="AS60" s="115"/>
      <c r="AT60" s="109"/>
      <c r="AU60" s="110"/>
    </row>
    <row r="61" spans="2:50" ht="12.75" customHeight="1" x14ac:dyDescent="0.2">
      <c r="B61" s="60"/>
      <c r="C61" s="61"/>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117"/>
      <c r="AE61" s="72"/>
      <c r="AF61" s="81"/>
      <c r="AG61" s="72"/>
      <c r="AH61" s="72"/>
      <c r="AI61" s="72"/>
      <c r="AJ61" s="72"/>
      <c r="AK61" s="72"/>
      <c r="AL61" s="72"/>
      <c r="AM61" s="442"/>
      <c r="AN61" s="72"/>
      <c r="AO61" s="72"/>
      <c r="AP61" s="72"/>
      <c r="AQ61" s="72"/>
      <c r="AR61" s="72"/>
      <c r="AS61" s="72"/>
      <c r="AT61" s="110"/>
      <c r="AU61" s="110"/>
    </row>
    <row r="62" spans="2:50" ht="12.75" customHeight="1" x14ac:dyDescent="0.2">
      <c r="B62" s="60"/>
      <c r="C62" s="107"/>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408"/>
      <c r="AC62" s="72"/>
      <c r="AD62" s="117"/>
      <c r="AE62" s="72"/>
      <c r="AF62" s="81"/>
      <c r="AG62" s="72"/>
      <c r="AH62" s="72"/>
      <c r="AI62" s="72"/>
      <c r="AJ62" s="72"/>
      <c r="AK62" s="72"/>
      <c r="AL62" s="72"/>
      <c r="AM62" s="442"/>
      <c r="AN62" s="72"/>
      <c r="AO62" s="72"/>
      <c r="AP62" s="72"/>
      <c r="AQ62" s="72"/>
      <c r="AR62" s="72"/>
      <c r="AS62" s="72"/>
      <c r="AT62" s="110"/>
      <c r="AU62" s="110"/>
    </row>
    <row r="63" spans="2:50" ht="12.75" customHeight="1" x14ac:dyDescent="0.2">
      <c r="B63" s="60"/>
      <c r="C63" s="60"/>
      <c r="D63" s="72"/>
      <c r="E63" s="72"/>
      <c r="F63" s="61"/>
      <c r="G63" s="72"/>
      <c r="H63" s="72"/>
      <c r="I63" s="72"/>
      <c r="J63" s="72"/>
      <c r="K63" s="72"/>
      <c r="L63" s="61"/>
      <c r="M63" s="72"/>
      <c r="N63" s="72"/>
      <c r="O63" s="72"/>
      <c r="P63" s="72"/>
      <c r="Q63" s="72"/>
      <c r="R63" s="72"/>
      <c r="S63" s="72"/>
      <c r="T63" s="72"/>
      <c r="U63" s="72"/>
      <c r="V63" s="72"/>
      <c r="W63" s="72"/>
      <c r="X63" s="72"/>
      <c r="Y63" s="72"/>
      <c r="Z63" s="72"/>
      <c r="AA63" s="72"/>
      <c r="AB63" s="118"/>
      <c r="AC63" s="72"/>
      <c r="AD63" s="117"/>
      <c r="AE63" s="72"/>
      <c r="AF63" s="72"/>
      <c r="AG63" s="72"/>
      <c r="AH63" s="72"/>
      <c r="AI63" s="72"/>
      <c r="AJ63" s="72"/>
      <c r="AK63" s="72"/>
      <c r="AL63" s="72"/>
      <c r="AM63" s="442"/>
      <c r="AN63" s="72"/>
      <c r="AO63" s="72"/>
      <c r="AP63" s="72"/>
      <c r="AQ63" s="72"/>
      <c r="AR63" s="72"/>
      <c r="AS63" s="72"/>
      <c r="AT63" s="110"/>
      <c r="AU63" s="110"/>
    </row>
    <row r="64" spans="2:50" ht="12.75" customHeight="1" x14ac:dyDescent="0.2">
      <c r="B64" s="60"/>
      <c r="C64" s="60"/>
      <c r="D64" s="72"/>
      <c r="E64" s="73"/>
      <c r="F64" s="73"/>
      <c r="G64" s="72"/>
      <c r="H64" s="72"/>
      <c r="I64" s="72"/>
      <c r="J64" s="72"/>
      <c r="K64" s="72"/>
      <c r="L64" s="73"/>
      <c r="M64" s="72"/>
      <c r="N64" s="72"/>
      <c r="O64" s="72"/>
      <c r="P64" s="72"/>
      <c r="Q64" s="72"/>
      <c r="R64" s="72"/>
      <c r="S64" s="72"/>
      <c r="T64" s="72"/>
      <c r="U64" s="72"/>
      <c r="V64" s="72"/>
      <c r="W64" s="72"/>
      <c r="X64" s="72"/>
      <c r="Y64" s="72"/>
      <c r="Z64" s="72"/>
      <c r="AA64" s="72"/>
      <c r="AB64" s="118"/>
      <c r="AC64" s="72"/>
      <c r="AD64" s="117"/>
      <c r="AE64" s="72"/>
      <c r="AF64" s="72"/>
      <c r="AG64" s="72"/>
      <c r="AH64" s="72"/>
      <c r="AI64" s="72"/>
      <c r="AJ64" s="72"/>
      <c r="AK64" s="72"/>
      <c r="AL64" s="72"/>
      <c r="AM64" s="442"/>
      <c r="AN64" s="72"/>
      <c r="AO64" s="72"/>
      <c r="AP64" s="72"/>
      <c r="AQ64" s="72"/>
      <c r="AR64" s="72"/>
      <c r="AS64" s="72"/>
      <c r="AT64" s="110"/>
      <c r="AU64" s="110"/>
    </row>
    <row r="65" spans="2:50" ht="12.75" customHeight="1" x14ac:dyDescent="0.2">
      <c r="B65" s="60"/>
      <c r="C65" s="60"/>
      <c r="D65" s="72"/>
      <c r="E65" s="72"/>
      <c r="F65" s="72"/>
      <c r="G65" s="72"/>
      <c r="H65" s="72"/>
      <c r="I65" s="72"/>
      <c r="J65" s="72"/>
      <c r="K65" s="72"/>
      <c r="L65" s="72"/>
      <c r="M65" s="72"/>
      <c r="N65" s="72"/>
      <c r="O65" s="72"/>
      <c r="P65" s="72"/>
      <c r="Q65" s="72"/>
      <c r="R65" s="72"/>
      <c r="S65" s="72"/>
      <c r="T65" s="72"/>
      <c r="U65" s="72"/>
      <c r="V65" s="72"/>
      <c r="W65" s="72"/>
      <c r="X65" s="72"/>
      <c r="Y65" s="72"/>
      <c r="Z65" s="72"/>
      <c r="AA65" s="72"/>
      <c r="AB65" s="118"/>
      <c r="AC65" s="72"/>
      <c r="AD65" s="117"/>
      <c r="AE65" s="72"/>
      <c r="AF65" s="72"/>
      <c r="AG65" s="72"/>
      <c r="AH65" s="72"/>
      <c r="AI65" s="72"/>
      <c r="AJ65" s="72"/>
      <c r="AK65" s="72"/>
      <c r="AL65" s="72"/>
      <c r="AM65" s="72"/>
      <c r="AN65" s="72"/>
      <c r="AO65" s="72"/>
      <c r="AP65" s="72"/>
      <c r="AQ65" s="72"/>
      <c r="AR65" s="72"/>
      <c r="AS65" s="72"/>
      <c r="AT65" s="110"/>
      <c r="AU65" s="110"/>
    </row>
    <row r="66" spans="2:50" ht="12.75" customHeight="1" x14ac:dyDescent="0.2">
      <c r="B66" s="60"/>
      <c r="C66" s="60"/>
      <c r="D66" s="72"/>
      <c r="E66" s="72"/>
      <c r="F66" s="72"/>
      <c r="G66" s="72"/>
      <c r="H66" s="72"/>
      <c r="I66" s="72"/>
      <c r="J66" s="72"/>
      <c r="K66" s="72"/>
      <c r="L66" s="72"/>
      <c r="M66" s="72"/>
      <c r="N66" s="72"/>
      <c r="O66" s="72"/>
      <c r="P66" s="72"/>
      <c r="Q66" s="72"/>
      <c r="R66" s="72"/>
      <c r="S66" s="72"/>
      <c r="T66" s="72"/>
      <c r="U66" s="72"/>
      <c r="V66" s="72"/>
      <c r="W66" s="72"/>
      <c r="X66" s="72"/>
      <c r="Y66" s="72"/>
      <c r="Z66" s="72"/>
      <c r="AA66" s="72"/>
      <c r="AB66" s="118"/>
      <c r="AC66" s="72"/>
      <c r="AD66" s="117"/>
      <c r="AE66" s="72"/>
      <c r="AF66" s="72"/>
      <c r="AG66" s="72"/>
      <c r="AH66" s="72"/>
      <c r="AI66" s="72"/>
      <c r="AJ66" s="72"/>
      <c r="AK66" s="72"/>
      <c r="AL66" s="72"/>
      <c r="AM66" s="72"/>
      <c r="AN66" s="72"/>
      <c r="AO66" s="72"/>
      <c r="AP66" s="72"/>
      <c r="AQ66" s="72"/>
      <c r="AR66" s="72"/>
      <c r="AS66" s="72"/>
      <c r="AT66" s="110"/>
      <c r="AU66" s="110"/>
    </row>
    <row r="67" spans="2:50" ht="12.75" customHeight="1" x14ac:dyDescent="0.2">
      <c r="B67" s="60"/>
      <c r="C67" s="60"/>
      <c r="D67" s="72"/>
      <c r="E67" s="72"/>
      <c r="F67" s="72"/>
      <c r="G67" s="72"/>
      <c r="H67" s="72"/>
      <c r="I67" s="72"/>
      <c r="J67" s="72"/>
      <c r="K67" s="72"/>
      <c r="L67" s="72"/>
      <c r="M67" s="72"/>
      <c r="N67" s="72"/>
      <c r="O67" s="72"/>
      <c r="P67" s="72"/>
      <c r="Q67" s="72"/>
      <c r="R67" s="72"/>
      <c r="S67" s="72"/>
      <c r="T67" s="72"/>
      <c r="U67" s="72"/>
      <c r="V67" s="72"/>
      <c r="W67" s="72"/>
      <c r="X67" s="72"/>
      <c r="Y67" s="72"/>
      <c r="Z67" s="72"/>
      <c r="AA67" s="72"/>
      <c r="AB67" s="118"/>
      <c r="AC67" s="72"/>
      <c r="AD67" s="117"/>
      <c r="AE67" s="72"/>
      <c r="AF67" s="72"/>
      <c r="AG67" s="72"/>
      <c r="AH67" s="72"/>
      <c r="AI67" s="72"/>
      <c r="AJ67" s="72"/>
      <c r="AK67" s="72"/>
      <c r="AL67" s="72"/>
      <c r="AM67" s="72"/>
      <c r="AN67" s="72"/>
      <c r="AO67" s="72"/>
      <c r="AP67" s="72"/>
      <c r="AQ67" s="72"/>
      <c r="AR67" s="72"/>
      <c r="AS67" s="72"/>
      <c r="AT67" s="110"/>
      <c r="AU67" s="110"/>
    </row>
    <row r="68" spans="2:50" ht="12.75" customHeight="1" x14ac:dyDescent="0.2">
      <c r="B68" s="60"/>
      <c r="C68" s="60"/>
      <c r="D68" s="72"/>
      <c r="E68" s="72"/>
      <c r="F68" s="72"/>
      <c r="G68" s="72"/>
      <c r="H68" s="72"/>
      <c r="I68" s="72"/>
      <c r="J68" s="72"/>
      <c r="K68" s="72"/>
      <c r="L68" s="72"/>
      <c r="M68" s="72"/>
      <c r="N68" s="72"/>
      <c r="O68" s="72"/>
      <c r="P68" s="72"/>
      <c r="Q68" s="72"/>
      <c r="R68" s="72"/>
      <c r="S68" s="72"/>
      <c r="T68" s="72"/>
      <c r="U68" s="72"/>
      <c r="V68" s="72"/>
      <c r="W68" s="72"/>
      <c r="X68" s="72"/>
      <c r="Y68" s="72"/>
      <c r="Z68" s="72"/>
      <c r="AA68" s="72"/>
      <c r="AB68" s="118"/>
      <c r="AC68" s="72"/>
      <c r="AD68" s="117"/>
      <c r="AE68" s="72"/>
      <c r="AF68" s="72"/>
      <c r="AG68" s="72"/>
      <c r="AH68" s="72"/>
      <c r="AI68" s="72"/>
      <c r="AJ68" s="72"/>
      <c r="AK68" s="72"/>
      <c r="AL68" s="72"/>
      <c r="AM68" s="72"/>
      <c r="AN68" s="72"/>
      <c r="AO68" s="72"/>
      <c r="AP68" s="72"/>
      <c r="AQ68" s="72"/>
      <c r="AR68" s="72"/>
      <c r="AS68" s="72"/>
      <c r="AT68" s="110"/>
      <c r="AU68" s="110"/>
    </row>
    <row r="69" spans="2:50" ht="12.75" customHeight="1" x14ac:dyDescent="0.2">
      <c r="B69" s="60"/>
      <c r="C69" s="60"/>
      <c r="D69" s="72"/>
      <c r="E69" s="72"/>
      <c r="F69" s="72"/>
      <c r="G69" s="72"/>
      <c r="H69" s="72"/>
      <c r="I69" s="72"/>
      <c r="J69" s="72"/>
      <c r="K69" s="72"/>
      <c r="L69" s="72"/>
      <c r="M69" s="72"/>
      <c r="N69" s="72"/>
      <c r="O69" s="72"/>
      <c r="P69" s="72"/>
      <c r="Q69" s="72"/>
      <c r="R69" s="72"/>
      <c r="S69" s="72"/>
      <c r="T69" s="72"/>
      <c r="U69" s="72"/>
      <c r="V69" s="72"/>
      <c r="W69" s="72"/>
      <c r="X69" s="72"/>
      <c r="Y69" s="72"/>
      <c r="Z69" s="72"/>
      <c r="AA69" s="72"/>
      <c r="AB69" s="118"/>
      <c r="AC69" s="72"/>
      <c r="AD69" s="117"/>
      <c r="AE69" s="72"/>
      <c r="AF69" s="72"/>
      <c r="AG69" s="72"/>
      <c r="AH69" s="72"/>
      <c r="AI69" s="72"/>
      <c r="AJ69" s="72"/>
      <c r="AK69" s="72"/>
      <c r="AL69" s="72"/>
      <c r="AM69" s="72"/>
      <c r="AN69" s="72"/>
      <c r="AO69" s="72"/>
      <c r="AP69" s="72"/>
      <c r="AQ69" s="72"/>
      <c r="AR69" s="72"/>
      <c r="AS69" s="72"/>
      <c r="AT69" s="110"/>
      <c r="AU69" s="110"/>
    </row>
    <row r="70" spans="2:50" ht="12.75" customHeight="1" x14ac:dyDescent="0.2">
      <c r="B70" s="60"/>
      <c r="C70" s="60"/>
      <c r="D70" s="72"/>
      <c r="E70" s="72"/>
      <c r="F70" s="72"/>
      <c r="G70" s="72"/>
      <c r="H70" s="72"/>
      <c r="I70" s="72"/>
      <c r="J70" s="72"/>
      <c r="K70" s="72"/>
      <c r="L70" s="72"/>
      <c r="M70" s="72"/>
      <c r="N70" s="72"/>
      <c r="O70" s="72"/>
      <c r="P70" s="72"/>
      <c r="Q70" s="72"/>
      <c r="R70" s="72"/>
      <c r="S70" s="72"/>
      <c r="T70" s="72"/>
      <c r="U70" s="72"/>
      <c r="V70" s="72"/>
      <c r="W70" s="72"/>
      <c r="X70" s="72"/>
      <c r="Y70" s="72"/>
      <c r="Z70" s="72"/>
      <c r="AA70" s="72"/>
      <c r="AB70" s="118"/>
      <c r="AC70" s="72"/>
      <c r="AD70" s="117"/>
      <c r="AE70" s="575"/>
      <c r="AF70" s="576"/>
      <c r="AG70" s="576"/>
      <c r="AH70" s="576"/>
      <c r="AI70" s="576"/>
      <c r="AJ70" s="576"/>
      <c r="AK70" s="576"/>
      <c r="AL70" s="577"/>
      <c r="AM70" s="72"/>
      <c r="AN70" s="616"/>
      <c r="AO70" s="617"/>
      <c r="AP70" s="617"/>
      <c r="AQ70" s="617"/>
      <c r="AR70" s="617"/>
      <c r="AS70" s="618"/>
      <c r="AT70" s="110"/>
      <c r="AU70" s="110"/>
    </row>
    <row r="71" spans="2:50" ht="12.75" customHeight="1" x14ac:dyDescent="0.2">
      <c r="B71" s="60"/>
      <c r="C71" s="60"/>
      <c r="D71" s="72"/>
      <c r="E71" s="72"/>
      <c r="F71" s="73" t="str">
        <f>'Sprachen &amp; Rückgabewerte(4)'!$B$41</f>
        <v>320101/320101</v>
      </c>
      <c r="G71" s="72"/>
      <c r="H71" s="72"/>
      <c r="I71" s="72"/>
      <c r="J71" s="72"/>
      <c r="K71" s="72"/>
      <c r="L71" s="73" t="str">
        <f>'Sprachen &amp; Rückgabewerte(4)'!$B$42</f>
        <v>320401/320401</v>
      </c>
      <c r="M71" s="61"/>
      <c r="N71" s="72"/>
      <c r="O71" s="72"/>
      <c r="P71" s="72"/>
      <c r="Q71" s="72"/>
      <c r="R71" s="73" t="str">
        <f>'Sprachen &amp; Rückgabewerte(4)'!$B$43</f>
        <v>360001/360001</v>
      </c>
      <c r="S71" s="72"/>
      <c r="T71" s="72"/>
      <c r="U71" s="72"/>
      <c r="V71" s="72"/>
      <c r="W71" s="72"/>
      <c r="X71" s="73" t="str">
        <f>'Sprachen &amp; Rückgabewerte(4)'!$B$44</f>
        <v>321101/321101</v>
      </c>
      <c r="Y71" s="61"/>
      <c r="Z71" s="72"/>
      <c r="AA71" s="72"/>
      <c r="AB71" s="118"/>
      <c r="AC71" s="72"/>
      <c r="AD71" s="119"/>
      <c r="AE71" s="120"/>
      <c r="AF71" s="120"/>
      <c r="AG71" s="120"/>
      <c r="AH71" s="120"/>
      <c r="AI71" s="120"/>
      <c r="AJ71" s="120"/>
      <c r="AK71" s="120"/>
      <c r="AL71" s="120"/>
      <c r="AM71" s="120"/>
      <c r="AN71" s="120"/>
      <c r="AO71" s="120"/>
      <c r="AP71" s="120"/>
      <c r="AQ71" s="120"/>
      <c r="AR71" s="120"/>
      <c r="AS71" s="120"/>
      <c r="AT71" s="111"/>
      <c r="AU71" s="110"/>
    </row>
    <row r="72" spans="2:50" ht="12.75" customHeight="1" x14ac:dyDescent="0.2">
      <c r="B72" s="60"/>
      <c r="C72" s="60"/>
      <c r="D72" s="72"/>
      <c r="E72" s="72"/>
      <c r="F72" s="699"/>
      <c r="G72" s="700"/>
      <c r="H72" s="700"/>
      <c r="I72" s="701"/>
      <c r="J72" s="72"/>
      <c r="K72" s="72"/>
      <c r="L72" s="699"/>
      <c r="M72" s="700"/>
      <c r="N72" s="700"/>
      <c r="O72" s="701"/>
      <c r="P72" s="72"/>
      <c r="Q72" s="72"/>
      <c r="R72" s="72"/>
      <c r="S72" s="424"/>
      <c r="T72" s="424"/>
      <c r="U72" s="424"/>
      <c r="V72" s="72"/>
      <c r="W72" s="72"/>
      <c r="X72" s="699"/>
      <c r="Y72" s="700"/>
      <c r="Z72" s="700"/>
      <c r="AA72" s="701"/>
      <c r="AB72" s="118"/>
      <c r="AC72" s="72"/>
      <c r="AD72" s="72"/>
      <c r="AE72" s="72"/>
      <c r="AF72" s="72"/>
      <c r="AG72" s="72"/>
      <c r="AH72" s="72"/>
      <c r="AI72" s="72"/>
      <c r="AJ72" s="72"/>
      <c r="AK72" s="72"/>
      <c r="AL72" s="72"/>
      <c r="AM72" s="72"/>
      <c r="AN72" s="72"/>
      <c r="AO72" s="72"/>
      <c r="AP72" s="72"/>
      <c r="AQ72" s="72"/>
      <c r="AR72" s="72"/>
      <c r="AS72" s="72"/>
      <c r="AT72" s="61"/>
      <c r="AU72" s="110"/>
    </row>
    <row r="73" spans="2:50" ht="12.75" customHeight="1" x14ac:dyDescent="0.2">
      <c r="B73" s="60"/>
      <c r="C73" s="60"/>
      <c r="D73" s="72"/>
      <c r="E73" s="72"/>
      <c r="F73" s="72"/>
      <c r="G73" s="72"/>
      <c r="H73" s="72"/>
      <c r="I73" s="72"/>
      <c r="J73" s="72"/>
      <c r="K73" s="72"/>
      <c r="L73" s="72"/>
      <c r="M73" s="72"/>
      <c r="N73" s="72"/>
      <c r="O73" s="72"/>
      <c r="P73" s="72"/>
      <c r="Q73" s="72"/>
      <c r="R73" s="72"/>
      <c r="S73" s="72"/>
      <c r="T73" s="72"/>
      <c r="U73" s="72"/>
      <c r="V73" s="72"/>
      <c r="W73" s="72"/>
      <c r="X73" s="72"/>
      <c r="Y73" s="72"/>
      <c r="Z73" s="72"/>
      <c r="AA73" s="72"/>
      <c r="AB73" s="407"/>
      <c r="AC73" s="72"/>
      <c r="AD73" s="114"/>
      <c r="AE73" s="116" t="str">
        <f>'Sprachen &amp; Rückgabewerte(4)'!$H$70</f>
        <v>Befestigung:</v>
      </c>
      <c r="AF73" s="116"/>
      <c r="AG73" s="115"/>
      <c r="AH73" s="115"/>
      <c r="AI73" s="115"/>
      <c r="AJ73" s="115"/>
      <c r="AK73" s="115"/>
      <c r="AL73" s="115"/>
      <c r="AM73" s="115"/>
      <c r="AN73" s="115"/>
      <c r="AO73" s="115"/>
      <c r="AP73" s="115"/>
      <c r="AQ73" s="115"/>
      <c r="AR73" s="115"/>
      <c r="AS73" s="115"/>
      <c r="AT73" s="109"/>
      <c r="AU73" s="110"/>
    </row>
    <row r="74" spans="2:50" ht="12.75" customHeight="1" x14ac:dyDescent="0.2">
      <c r="B74" s="60"/>
      <c r="C74" s="60"/>
      <c r="D74" s="72"/>
      <c r="E74" s="72"/>
      <c r="F74" s="72"/>
      <c r="G74" s="72"/>
      <c r="H74" s="72"/>
      <c r="I74" s="72"/>
      <c r="J74" s="72"/>
      <c r="K74" s="72"/>
      <c r="L74" s="72"/>
      <c r="M74" s="72"/>
      <c r="N74" s="72"/>
      <c r="O74" s="72"/>
      <c r="P74" s="72"/>
      <c r="Q74" s="72"/>
      <c r="R74" s="72"/>
      <c r="S74" s="72"/>
      <c r="T74" s="72"/>
      <c r="U74" s="72"/>
      <c r="V74" s="72"/>
      <c r="W74" s="72"/>
      <c r="X74" s="72"/>
      <c r="Y74" s="72"/>
      <c r="Z74" s="72"/>
      <c r="AA74" s="72"/>
      <c r="AB74" s="118"/>
      <c r="AC74" s="72"/>
      <c r="AD74" s="117"/>
      <c r="AE74" s="72"/>
      <c r="AF74" s="72" t="str">
        <f>'Sprachen &amp; Rückgabewerte(4)'!$H$71</f>
        <v>Universalschrauben (A2):</v>
      </c>
      <c r="AG74" s="72"/>
      <c r="AH74" s="72"/>
      <c r="AI74" s="72"/>
      <c r="AJ74" s="72"/>
      <c r="AK74" s="72"/>
      <c r="AL74" s="72"/>
      <c r="AM74" s="72" t="str">
        <f>'Sprachen &amp; Rückgabewerte(4)'!H72</f>
        <v>L=52mm</v>
      </c>
      <c r="AN74" s="382"/>
      <c r="AO74" s="382"/>
      <c r="AP74" s="384"/>
      <c r="AQ74" s="72" t="str">
        <f>'Sprachen &amp; Rückgabewerte(4)'!$H$180</f>
        <v>VE</v>
      </c>
      <c r="AR74" s="72"/>
      <c r="AS74" s="72"/>
      <c r="AT74" s="110"/>
      <c r="AU74" s="110"/>
    </row>
    <row r="75" spans="2:50" ht="12.75" customHeight="1" thickBot="1" x14ac:dyDescent="0.25">
      <c r="B75" s="60"/>
      <c r="C75" s="60"/>
      <c r="D75" s="72"/>
      <c r="E75" s="72"/>
      <c r="F75" s="72"/>
      <c r="G75" s="72"/>
      <c r="H75" s="72"/>
      <c r="I75" s="72"/>
      <c r="J75" s="72"/>
      <c r="K75" s="72"/>
      <c r="L75" s="72"/>
      <c r="M75" s="72"/>
      <c r="N75" s="72"/>
      <c r="O75" s="72"/>
      <c r="P75" s="72"/>
      <c r="Q75" s="72"/>
      <c r="R75" s="72"/>
      <c r="S75" s="72"/>
      <c r="T75" s="72"/>
      <c r="U75" s="72"/>
      <c r="V75" s="72"/>
      <c r="W75" s="72"/>
      <c r="X75" s="72"/>
      <c r="Y75" s="72"/>
      <c r="Z75" s="72"/>
      <c r="AA75" s="72"/>
      <c r="AB75" s="118"/>
      <c r="AC75" s="72"/>
      <c r="AD75" s="117"/>
      <c r="AE75" s="72"/>
      <c r="AF75" s="72"/>
      <c r="AG75" s="79" t="str">
        <f>'Sprachen &amp; Rückgabewerte(4)'!H75</f>
        <v>(VE à 100 Stk.)</v>
      </c>
      <c r="AH75" s="72"/>
      <c r="AI75" s="72"/>
      <c r="AJ75" s="72"/>
      <c r="AK75" s="72"/>
      <c r="AL75" s="72"/>
      <c r="AM75" s="72" t="str">
        <f>'Sprachen &amp; Rückgabewerte(4)'!H73</f>
        <v>L=82mm</v>
      </c>
      <c r="AN75" s="383"/>
      <c r="AO75" s="382"/>
      <c r="AP75" s="384"/>
      <c r="AQ75" s="72" t="str">
        <f>'Sprachen &amp; Rückgabewerte(4)'!$H$180</f>
        <v>VE</v>
      </c>
      <c r="AR75" s="72"/>
      <c r="AS75" s="72"/>
      <c r="AT75" s="110"/>
      <c r="AU75" s="110"/>
    </row>
    <row r="76" spans="2:50" ht="12.75" customHeight="1" x14ac:dyDescent="0.2">
      <c r="B76" s="60"/>
      <c r="C76" s="60"/>
      <c r="D76" s="72"/>
      <c r="E76" s="72"/>
      <c r="F76" s="72"/>
      <c r="G76" s="72"/>
      <c r="H76" s="72"/>
      <c r="I76" s="72"/>
      <c r="J76" s="72"/>
      <c r="K76" s="72"/>
      <c r="L76" s="72"/>
      <c r="M76" s="72"/>
      <c r="N76" s="72"/>
      <c r="O76" s="72"/>
      <c r="P76" s="72"/>
      <c r="Q76" s="72"/>
      <c r="R76" s="72"/>
      <c r="S76" s="72"/>
      <c r="T76" s="72"/>
      <c r="U76" s="72"/>
      <c r="V76" s="72"/>
      <c r="W76" s="72"/>
      <c r="X76" s="72"/>
      <c r="Y76" s="72"/>
      <c r="Z76" s="72"/>
      <c r="AA76" s="72"/>
      <c r="AB76" s="118"/>
      <c r="AC76" s="72"/>
      <c r="AD76" s="117"/>
      <c r="AE76" s="72"/>
      <c r="AF76" s="72"/>
      <c r="AG76" s="72"/>
      <c r="AH76" s="72"/>
      <c r="AI76" s="72"/>
      <c r="AJ76" s="72"/>
      <c r="AK76" s="72"/>
      <c r="AL76" s="72"/>
      <c r="AM76" s="72" t="str">
        <f>'Sprachen &amp; Rückgabewerte(4)'!H74</f>
        <v>L=112mm</v>
      </c>
      <c r="AN76" s="383"/>
      <c r="AO76" s="382"/>
      <c r="AP76" s="384"/>
      <c r="AQ76" s="72" t="str">
        <f>'Sprachen &amp; Rückgabewerte(4)'!$H$180</f>
        <v>VE</v>
      </c>
      <c r="AR76" s="72"/>
      <c r="AS76" s="72"/>
      <c r="AT76" s="110"/>
      <c r="AU76" s="110"/>
      <c r="AW76" s="320"/>
      <c r="AX76" s="320"/>
    </row>
    <row r="77" spans="2:50" ht="12.75" customHeight="1" x14ac:dyDescent="0.2">
      <c r="B77" s="60"/>
      <c r="C77" s="60"/>
      <c r="D77" s="72"/>
      <c r="E77" s="72"/>
      <c r="F77" s="72"/>
      <c r="G77" s="72"/>
      <c r="H77" s="72"/>
      <c r="I77" s="72"/>
      <c r="J77" s="72"/>
      <c r="K77" s="72"/>
      <c r="L77" s="72"/>
      <c r="M77" s="72"/>
      <c r="N77" s="72"/>
      <c r="O77" s="72"/>
      <c r="P77" s="72"/>
      <c r="Q77" s="72"/>
      <c r="R77" s="72"/>
      <c r="S77" s="72"/>
      <c r="T77" s="72"/>
      <c r="U77" s="72"/>
      <c r="V77" s="72"/>
      <c r="W77" s="72"/>
      <c r="X77" s="72"/>
      <c r="Y77" s="72"/>
      <c r="Z77" s="72"/>
      <c r="AA77" s="72"/>
      <c r="AB77" s="118"/>
      <c r="AC77" s="72"/>
      <c r="AD77" s="117"/>
      <c r="AE77" s="81" t="str">
        <f>'Sprachen &amp; Rückgabewerte(4)'!$H$76</f>
        <v>Sockelbefestigung:</v>
      </c>
      <c r="AF77" s="81"/>
      <c r="AG77" s="72"/>
      <c r="AH77" s="72"/>
      <c r="AI77" s="72"/>
      <c r="AJ77" s="72"/>
      <c r="AK77" s="72"/>
      <c r="AL77" s="72"/>
      <c r="AM77" s="72"/>
      <c r="AN77" s="72"/>
      <c r="AO77" s="72"/>
      <c r="AP77" s="72"/>
      <c r="AQ77" s="72"/>
      <c r="AR77" s="72"/>
      <c r="AS77" s="72"/>
      <c r="AT77" s="110"/>
      <c r="AU77" s="110"/>
      <c r="AW77" s="321"/>
      <c r="AX77" s="321"/>
    </row>
    <row r="78" spans="2:50" ht="12.75" customHeight="1" x14ac:dyDescent="0.2">
      <c r="B78" s="60"/>
      <c r="C78" s="60"/>
      <c r="D78" s="72"/>
      <c r="E78" s="72"/>
      <c r="F78" s="72"/>
      <c r="G78" s="72"/>
      <c r="H78" s="72"/>
      <c r="I78" s="72"/>
      <c r="J78" s="72"/>
      <c r="K78" s="72"/>
      <c r="L78" s="72"/>
      <c r="M78" s="72"/>
      <c r="N78" s="72"/>
      <c r="O78" s="72"/>
      <c r="P78" s="72"/>
      <c r="Q78" s="72"/>
      <c r="R78" s="72"/>
      <c r="S78" s="72"/>
      <c r="T78" s="72"/>
      <c r="U78" s="72"/>
      <c r="V78" s="72"/>
      <c r="W78" s="72"/>
      <c r="X78" s="72"/>
      <c r="Y78" s="72"/>
      <c r="Z78" s="72"/>
      <c r="AA78" s="72"/>
      <c r="AB78" s="118"/>
      <c r="AC78" s="72"/>
      <c r="AD78" s="117"/>
      <c r="AE78" s="72" t="str">
        <f>'Sprachen &amp; Rückgabewerte(4)'!$H$77</f>
        <v>Verstellschrauben M10 x</v>
      </c>
      <c r="AF78" s="72"/>
      <c r="AG78" s="72"/>
      <c r="AH78" s="72"/>
      <c r="AI78" s="72"/>
      <c r="AJ78" s="72"/>
      <c r="AK78" s="72"/>
      <c r="AL78" s="72"/>
      <c r="AM78" s="72"/>
      <c r="AN78" s="606"/>
      <c r="AO78" s="606"/>
      <c r="AP78" s="606"/>
      <c r="AQ78" s="72"/>
      <c r="AR78" s="72"/>
      <c r="AS78" s="72"/>
      <c r="AT78" s="110"/>
      <c r="AU78" s="110"/>
      <c r="AW78" s="321"/>
      <c r="AX78" s="321"/>
    </row>
    <row r="79" spans="2:50" ht="12.75" customHeight="1" x14ac:dyDescent="0.2">
      <c r="B79" s="60"/>
      <c r="C79" s="60"/>
      <c r="D79" s="72"/>
      <c r="E79" s="72"/>
      <c r="F79" s="72"/>
      <c r="G79" s="72"/>
      <c r="H79" s="72"/>
      <c r="I79" s="72"/>
      <c r="J79" s="72"/>
      <c r="K79" s="72"/>
      <c r="L79" s="72"/>
      <c r="M79" s="72"/>
      <c r="N79" s="72"/>
      <c r="O79" s="72"/>
      <c r="P79" s="72"/>
      <c r="Q79" s="72"/>
      <c r="R79" s="72"/>
      <c r="S79" s="72"/>
      <c r="T79" s="72"/>
      <c r="U79" s="72"/>
      <c r="V79" s="72"/>
      <c r="W79" s="72"/>
      <c r="X79" s="72"/>
      <c r="Y79" s="72"/>
      <c r="Z79" s="72"/>
      <c r="AA79" s="72"/>
      <c r="AB79" s="118"/>
      <c r="AC79" s="72"/>
      <c r="AD79" s="117"/>
      <c r="AE79" s="72" t="str">
        <f>'Sprachen &amp; Rückgabewerte(4)'!$H$52</f>
        <v>Standardgrundplatten:</v>
      </c>
      <c r="AF79" s="72"/>
      <c r="AG79" s="72"/>
      <c r="AH79" s="72"/>
      <c r="AI79" s="72"/>
      <c r="AJ79" s="72"/>
      <c r="AK79" s="72"/>
      <c r="AL79" s="72"/>
      <c r="AM79" s="72"/>
      <c r="AN79" s="606"/>
      <c r="AO79" s="606"/>
      <c r="AP79" s="606"/>
      <c r="AQ79" s="72"/>
      <c r="AR79" s="72"/>
      <c r="AS79" s="72"/>
      <c r="AT79" s="110"/>
      <c r="AU79" s="110"/>
      <c r="AW79" s="321"/>
      <c r="AX79" s="321"/>
    </row>
    <row r="80" spans="2:50" ht="12" customHeight="1" thickBot="1" x14ac:dyDescent="0.25">
      <c r="B80" s="60"/>
      <c r="C80" s="60"/>
      <c r="D80" s="72"/>
      <c r="E80" s="72"/>
      <c r="F80" s="72"/>
      <c r="G80" s="72"/>
      <c r="H80" s="72"/>
      <c r="I80" s="72"/>
      <c r="J80" s="72"/>
      <c r="K80" s="72"/>
      <c r="L80" s="72"/>
      <c r="M80" s="72"/>
      <c r="N80" s="72"/>
      <c r="O80" s="72"/>
      <c r="P80" s="72"/>
      <c r="Q80" s="72"/>
      <c r="R80" s="72"/>
      <c r="S80" s="72"/>
      <c r="T80" s="72"/>
      <c r="U80" s="72"/>
      <c r="V80" s="72"/>
      <c r="W80" s="72"/>
      <c r="X80" s="72"/>
      <c r="Y80" s="72"/>
      <c r="Z80" s="72"/>
      <c r="AA80" s="72"/>
      <c r="AB80" s="118"/>
      <c r="AC80" s="72"/>
      <c r="AD80" s="117"/>
      <c r="AE80" s="182" t="str">
        <f>'Sprachen &amp; Rückgabewerte(4)'!$H$84</f>
        <v>Rahmenzusammenbau:</v>
      </c>
      <c r="AF80" s="72"/>
      <c r="AG80" s="72"/>
      <c r="AH80" s="72"/>
      <c r="AI80" s="72"/>
      <c r="AJ80" s="72"/>
      <c r="AK80" s="72"/>
      <c r="AL80" s="72"/>
      <c r="AM80" s="72"/>
      <c r="AN80" s="607"/>
      <c r="AO80" s="608"/>
      <c r="AP80" s="608"/>
      <c r="AQ80" s="608"/>
      <c r="AR80" s="608"/>
      <c r="AS80" s="609"/>
      <c r="AT80" s="110"/>
      <c r="AU80" s="319"/>
      <c r="AV80" s="84"/>
      <c r="AW80" s="322"/>
      <c r="AX80" s="322"/>
    </row>
    <row r="81" spans="2:50" ht="12.75" customHeight="1" x14ac:dyDescent="0.2">
      <c r="B81" s="60"/>
      <c r="C81" s="60"/>
      <c r="D81" s="72"/>
      <c r="E81" s="72"/>
      <c r="F81" s="72"/>
      <c r="G81" s="72"/>
      <c r="H81" s="72"/>
      <c r="I81" s="72"/>
      <c r="J81" s="72"/>
      <c r="K81" s="72"/>
      <c r="L81" s="72"/>
      <c r="M81" s="72"/>
      <c r="N81" s="72"/>
      <c r="O81" s="72"/>
      <c r="P81" s="72"/>
      <c r="Q81" s="72"/>
      <c r="R81" s="72"/>
      <c r="S81" s="72"/>
      <c r="T81" s="72"/>
      <c r="U81" s="72"/>
      <c r="V81" s="72"/>
      <c r="W81" s="72"/>
      <c r="X81" s="72"/>
      <c r="Y81" s="72"/>
      <c r="Z81" s="72"/>
      <c r="AA81" s="72"/>
      <c r="AB81" s="118"/>
      <c r="AC81" s="72"/>
      <c r="AD81" s="119"/>
      <c r="AE81" s="120"/>
      <c r="AF81" s="120"/>
      <c r="AG81" s="120"/>
      <c r="AH81" s="120"/>
      <c r="AI81" s="120"/>
      <c r="AJ81" s="120"/>
      <c r="AK81" s="120"/>
      <c r="AL81" s="120"/>
      <c r="AM81" s="120"/>
      <c r="AN81" s="120"/>
      <c r="AO81" s="120"/>
      <c r="AP81" s="120"/>
      <c r="AQ81" s="120"/>
      <c r="AR81" s="120"/>
      <c r="AS81" s="120"/>
      <c r="AT81" s="111"/>
      <c r="AU81" s="110"/>
    </row>
    <row r="82" spans="2:50" ht="12.75" customHeight="1" x14ac:dyDescent="0.2">
      <c r="B82" s="60"/>
      <c r="C82" s="60"/>
      <c r="D82" s="72"/>
      <c r="E82" s="72"/>
      <c r="F82" s="72"/>
      <c r="G82" s="72"/>
      <c r="H82" s="72"/>
      <c r="I82" s="72"/>
      <c r="J82" s="72"/>
      <c r="K82" s="72"/>
      <c r="L82" s="72"/>
      <c r="M82" s="72"/>
      <c r="N82" s="72"/>
      <c r="O82" s="72"/>
      <c r="P82" s="72"/>
      <c r="Q82" s="72"/>
      <c r="R82" s="72"/>
      <c r="S82" s="72"/>
      <c r="T82" s="72"/>
      <c r="U82" s="72"/>
      <c r="V82" s="72"/>
      <c r="W82" s="72"/>
      <c r="X82" s="72"/>
      <c r="Y82" s="72"/>
      <c r="Z82" s="72"/>
      <c r="AA82" s="72"/>
      <c r="AB82" s="118"/>
      <c r="AC82" s="72"/>
      <c r="AD82" s="72"/>
      <c r="AE82" s="72"/>
      <c r="AF82" s="72"/>
      <c r="AG82" s="72"/>
      <c r="AH82" s="72"/>
      <c r="AI82" s="72"/>
      <c r="AJ82" s="72"/>
      <c r="AK82" s="72"/>
      <c r="AL82" s="72"/>
      <c r="AM82" s="72"/>
      <c r="AN82" s="72"/>
      <c r="AO82" s="72"/>
      <c r="AP82" s="72"/>
      <c r="AQ82" s="72"/>
      <c r="AR82" s="72"/>
      <c r="AS82" s="72"/>
      <c r="AT82" s="61"/>
      <c r="AU82" s="110"/>
    </row>
    <row r="83" spans="2:50" ht="12.75" customHeight="1" x14ac:dyDescent="0.2">
      <c r="B83" s="60"/>
      <c r="C83" s="60"/>
      <c r="D83" s="72"/>
      <c r="E83" s="72"/>
      <c r="F83" s="72"/>
      <c r="G83" s="72"/>
      <c r="H83" s="72"/>
      <c r="I83" s="72"/>
      <c r="J83" s="72"/>
      <c r="K83" s="72"/>
      <c r="L83" s="72"/>
      <c r="M83" s="72"/>
      <c r="N83" s="72"/>
      <c r="O83" s="72"/>
      <c r="P83" s="72"/>
      <c r="Q83" s="72"/>
      <c r="R83" s="72"/>
      <c r="S83" s="72"/>
      <c r="T83" s="72"/>
      <c r="U83" s="72"/>
      <c r="V83" s="72"/>
      <c r="W83" s="72"/>
      <c r="X83" s="72"/>
      <c r="Y83" s="72"/>
      <c r="Z83" s="72"/>
      <c r="AA83" s="72"/>
      <c r="AB83" s="118"/>
      <c r="AC83" s="72"/>
      <c r="AD83" s="114"/>
      <c r="AE83" s="116" t="str">
        <f>'Sprachen &amp; Rückgabewerte(4)'!$H$87</f>
        <v>Logistik:</v>
      </c>
      <c r="AF83" s="116"/>
      <c r="AG83" s="115"/>
      <c r="AH83" s="115"/>
      <c r="AI83" s="115"/>
      <c r="AJ83" s="115"/>
      <c r="AK83" s="115"/>
      <c r="AL83" s="115"/>
      <c r="AM83" s="115"/>
      <c r="AN83" s="116" t="str">
        <f>'Sprachen &amp; Rückgabewerte(4)'!$H$49</f>
        <v>Zubehör:</v>
      </c>
      <c r="AO83" s="115"/>
      <c r="AP83" s="115"/>
      <c r="AQ83" s="115"/>
      <c r="AR83" s="115"/>
      <c r="AS83" s="115"/>
      <c r="AT83" s="109"/>
      <c r="AU83" s="110"/>
    </row>
    <row r="84" spans="2:50" ht="12.75" customHeight="1" x14ac:dyDescent="0.2">
      <c r="B84" s="60"/>
      <c r="C84" s="60"/>
      <c r="D84" s="72"/>
      <c r="E84" s="72"/>
      <c r="F84" s="72"/>
      <c r="G84" s="72"/>
      <c r="H84" s="73" t="str">
        <f>'Sprachen &amp; Rückgabewerte(4)'!$B$45</f>
        <v>321801/321801</v>
      </c>
      <c r="I84" s="72"/>
      <c r="J84" s="72"/>
      <c r="K84" s="72"/>
      <c r="L84" s="72"/>
      <c r="M84" s="72"/>
      <c r="N84" s="61"/>
      <c r="O84" s="73" t="str">
        <f>'Sprachen &amp; Rückgabewerte(4)'!$B$46</f>
        <v>321801/322201</v>
      </c>
      <c r="P84" s="72"/>
      <c r="Q84" s="72"/>
      <c r="R84" s="72"/>
      <c r="S84" s="72"/>
      <c r="T84" s="72"/>
      <c r="U84" s="61"/>
      <c r="V84" s="73" t="str">
        <f>'Sprachen &amp; Rückgabewerte(4)'!$B$47</f>
        <v>322201/322201</v>
      </c>
      <c r="W84" s="72"/>
      <c r="X84" s="72"/>
      <c r="Y84" s="72"/>
      <c r="Z84" s="72"/>
      <c r="AA84" s="72"/>
      <c r="AB84" s="118"/>
      <c r="AC84" s="72"/>
      <c r="AD84" s="117"/>
      <c r="AE84" s="550"/>
      <c r="AF84" s="614"/>
      <c r="AG84" s="614"/>
      <c r="AH84" s="614"/>
      <c r="AI84" s="614"/>
      <c r="AJ84" s="614"/>
      <c r="AK84" s="614"/>
      <c r="AL84" s="551"/>
      <c r="AM84" s="72"/>
      <c r="AN84" s="72"/>
      <c r="AO84" s="72" t="str">
        <f>'Sprachen &amp; Rückgabewerte(4)'!$H$50</f>
        <v>Rinne (siehe unten)</v>
      </c>
      <c r="AP84" s="72"/>
      <c r="AQ84" s="72"/>
      <c r="AR84" s="72"/>
      <c r="AS84" s="72"/>
      <c r="AT84" s="110"/>
      <c r="AU84" s="199"/>
      <c r="AV84" s="199"/>
    </row>
    <row r="85" spans="2:50" ht="12.75" customHeight="1" x14ac:dyDescent="0.2">
      <c r="B85" s="60"/>
      <c r="C85" s="60"/>
      <c r="D85" s="72"/>
      <c r="E85" s="72"/>
      <c r="F85" s="72"/>
      <c r="G85" s="72"/>
      <c r="H85" s="699"/>
      <c r="I85" s="700"/>
      <c r="J85" s="700"/>
      <c r="K85" s="701"/>
      <c r="L85" s="72"/>
      <c r="M85" s="72"/>
      <c r="N85" s="72"/>
      <c r="O85" s="699"/>
      <c r="P85" s="700"/>
      <c r="Q85" s="700"/>
      <c r="R85" s="701"/>
      <c r="S85" s="72"/>
      <c r="T85" s="72"/>
      <c r="U85" s="72"/>
      <c r="V85" s="699"/>
      <c r="W85" s="700"/>
      <c r="X85" s="700"/>
      <c r="Y85" s="701"/>
      <c r="Z85" s="72"/>
      <c r="AA85" s="72"/>
      <c r="AB85" s="118"/>
      <c r="AC85" s="72"/>
      <c r="AD85" s="117"/>
      <c r="AE85" s="615"/>
      <c r="AF85" s="615"/>
      <c r="AG85" s="615"/>
      <c r="AH85" s="615"/>
      <c r="AI85" s="615"/>
      <c r="AJ85" s="615"/>
      <c r="AK85" s="615"/>
      <c r="AL85" s="615"/>
      <c r="AM85" s="72"/>
      <c r="AN85" s="72"/>
      <c r="AO85" s="72" t="str">
        <f>'Sprachen &amp; Rückgabewerte(4)'!$H$51</f>
        <v>Wetterschenkel</v>
      </c>
      <c r="AP85" s="72"/>
      <c r="AQ85" s="72"/>
      <c r="AR85" s="72"/>
      <c r="AS85" s="72"/>
      <c r="AT85" s="110"/>
      <c r="AU85" s="110"/>
      <c r="AV85" s="220"/>
    </row>
    <row r="86" spans="2:50" ht="12.75" customHeight="1" x14ac:dyDescent="0.2">
      <c r="B86" s="60"/>
      <c r="C86" s="60"/>
      <c r="D86" s="61"/>
      <c r="E86" s="61"/>
      <c r="F86" s="61"/>
      <c r="G86" s="61"/>
      <c r="H86" s="61"/>
      <c r="I86" s="61"/>
      <c r="J86" s="61"/>
      <c r="K86" s="61"/>
      <c r="L86" s="61"/>
      <c r="M86" s="61"/>
      <c r="N86" s="61"/>
      <c r="O86" s="61"/>
      <c r="P86" s="61"/>
      <c r="Q86" s="61"/>
      <c r="R86" s="61"/>
      <c r="S86" s="61"/>
      <c r="T86" s="61"/>
      <c r="U86" s="61"/>
      <c r="V86" s="61"/>
      <c r="W86" s="61"/>
      <c r="X86" s="61"/>
      <c r="Y86" s="61"/>
      <c r="Z86" s="61"/>
      <c r="AA86" s="61"/>
      <c r="AB86" s="110"/>
      <c r="AC86" s="61"/>
      <c r="AD86" s="60"/>
      <c r="AE86" s="61"/>
      <c r="AF86" s="61"/>
      <c r="AG86" s="61"/>
      <c r="AH86" s="61"/>
      <c r="AI86" s="61"/>
      <c r="AJ86" s="61"/>
      <c r="AK86" s="61"/>
      <c r="AL86" s="61"/>
      <c r="AM86" s="61"/>
      <c r="AN86" s="61"/>
      <c r="AO86" s="61" t="str">
        <f>IF('Sprachen &amp; Rückgabewerte(4)'!$I$51=TRUE,"L=","")</f>
        <v/>
      </c>
      <c r="AP86" s="605"/>
      <c r="AQ86" s="605"/>
      <c r="AR86" s="605"/>
      <c r="AS86" s="61" t="str">
        <f>IF('Sprachen &amp; Rückgabewerte(4)'!$I$51=TRUE,"mm","")</f>
        <v/>
      </c>
      <c r="AT86" s="110"/>
      <c r="AU86" s="110"/>
      <c r="AV86" s="220"/>
    </row>
    <row r="87" spans="2:50" ht="12.75" customHeight="1" x14ac:dyDescent="0.2">
      <c r="B87" s="60"/>
      <c r="C87" s="60"/>
      <c r="D87" s="61"/>
      <c r="E87" s="61"/>
      <c r="F87" s="61"/>
      <c r="G87" s="61"/>
      <c r="H87" s="61"/>
      <c r="I87" s="61"/>
      <c r="J87" s="61"/>
      <c r="K87" s="61"/>
      <c r="L87" s="61"/>
      <c r="M87" s="61"/>
      <c r="N87" s="61"/>
      <c r="O87" s="61"/>
      <c r="P87" s="61"/>
      <c r="Q87" s="61"/>
      <c r="R87" s="61"/>
      <c r="S87" s="61"/>
      <c r="T87" s="61"/>
      <c r="U87" s="61"/>
      <c r="V87" s="61"/>
      <c r="W87" s="61"/>
      <c r="X87" s="61"/>
      <c r="Y87" s="61"/>
      <c r="Z87" s="712" t="str">
        <f>'Sprachen &amp; Rückgabewerte(4)'!$H$118</f>
        <v>Standard (RC2 in Anlehnung)</v>
      </c>
      <c r="AA87" s="712"/>
      <c r="AB87" s="713"/>
      <c r="AC87" s="61"/>
      <c r="AD87" s="60"/>
      <c r="AE87" s="313" t="str">
        <f>'Sprachen &amp; Rückgabewerte(4)'!$H$47</f>
        <v>Windlast:</v>
      </c>
      <c r="AF87" s="81"/>
      <c r="AG87" s="149"/>
      <c r="AH87" s="61"/>
      <c r="AI87" s="61"/>
      <c r="AJ87" s="61"/>
      <c r="AK87" s="61"/>
      <c r="AL87" s="61"/>
      <c r="AM87" s="583"/>
      <c r="AN87" s="584"/>
      <c r="AO87" s="585"/>
      <c r="AP87" s="314" t="s">
        <v>704</v>
      </c>
      <c r="AS87" s="178"/>
      <c r="AT87" s="110"/>
      <c r="AU87" s="110"/>
      <c r="AV87" s="220"/>
    </row>
    <row r="88" spans="2:50" ht="12.75" customHeight="1" x14ac:dyDescent="0.2">
      <c r="B88" s="60"/>
      <c r="C88" s="60"/>
      <c r="D88" s="61"/>
      <c r="E88" s="61"/>
      <c r="F88" s="61"/>
      <c r="G88" s="61"/>
      <c r="H88" s="61"/>
      <c r="I88" s="61"/>
      <c r="J88" s="61"/>
      <c r="K88" s="61"/>
      <c r="L88" s="61"/>
      <c r="M88" s="61"/>
      <c r="N88" s="61"/>
      <c r="O88" s="61"/>
      <c r="P88" s="61"/>
      <c r="Q88" s="61"/>
      <c r="R88" s="61"/>
      <c r="S88" s="61"/>
      <c r="T88" s="61"/>
      <c r="U88" s="61"/>
      <c r="V88" s="61"/>
      <c r="W88" s="61"/>
      <c r="X88" s="61"/>
      <c r="Y88" s="61"/>
      <c r="Z88" s="712"/>
      <c r="AA88" s="712"/>
      <c r="AB88" s="713"/>
      <c r="AC88" s="61"/>
      <c r="AD88" s="60"/>
      <c r="AE88" s="182" t="str">
        <f>'Sprachen &amp; Rückgabewerte(4)'!$H$90</f>
        <v>Wunschtermin:</v>
      </c>
      <c r="AF88" s="312"/>
      <c r="AG88" s="312"/>
      <c r="AH88" s="312"/>
      <c r="AI88" s="312"/>
      <c r="AJ88" s="312"/>
      <c r="AK88" s="312"/>
      <c r="AL88" s="312"/>
      <c r="AM88" s="578"/>
      <c r="AN88" s="579"/>
      <c r="AO88" s="579"/>
      <c r="AP88" s="580"/>
      <c r="AQ88" s="580"/>
      <c r="AR88" s="581"/>
      <c r="AS88" s="312"/>
      <c r="AT88" s="110"/>
      <c r="AU88" s="110"/>
      <c r="AV88" s="220"/>
    </row>
    <row r="89" spans="2:50" ht="12.75" customHeight="1" x14ac:dyDescent="0.2">
      <c r="B89" s="60"/>
      <c r="C89" s="60"/>
      <c r="D89" s="61"/>
      <c r="E89" s="61"/>
      <c r="F89" s="61"/>
      <c r="G89" s="61"/>
      <c r="H89" s="61"/>
      <c r="I89" s="61"/>
      <c r="J89" s="61"/>
      <c r="K89" s="61"/>
      <c r="L89" s="61"/>
      <c r="M89" s="61"/>
      <c r="N89" s="61"/>
      <c r="O89" s="61"/>
      <c r="P89" s="61"/>
      <c r="Q89" s="61"/>
      <c r="R89" s="61"/>
      <c r="S89" s="61"/>
      <c r="T89" s="61"/>
      <c r="U89" s="61"/>
      <c r="V89" s="61"/>
      <c r="W89" s="61"/>
      <c r="X89" s="61"/>
      <c r="Y89" s="61"/>
      <c r="Z89" s="712"/>
      <c r="AA89" s="712"/>
      <c r="AB89" s="713"/>
      <c r="AC89" s="61"/>
      <c r="AD89" s="60"/>
      <c r="AF89" s="312"/>
      <c r="AG89" s="312"/>
      <c r="AH89" s="312"/>
      <c r="AI89" s="312"/>
      <c r="AJ89" s="312"/>
      <c r="AK89" s="312"/>
      <c r="AL89" s="312"/>
      <c r="AS89" s="312"/>
      <c r="AT89" s="110"/>
      <c r="AU89" s="110"/>
      <c r="AV89" s="220"/>
    </row>
    <row r="90" spans="2:50" ht="12.75" customHeight="1" x14ac:dyDescent="0.2">
      <c r="B90" s="60"/>
      <c r="C90" s="60"/>
      <c r="D90" s="61"/>
      <c r="E90" s="61"/>
      <c r="F90" s="61"/>
      <c r="G90" s="61"/>
      <c r="H90" s="61"/>
      <c r="I90" s="61"/>
      <c r="J90" s="61"/>
      <c r="K90" s="61"/>
      <c r="L90" s="61"/>
      <c r="M90" s="61"/>
      <c r="N90" s="61"/>
      <c r="O90" s="61"/>
      <c r="P90" s="61"/>
      <c r="Q90" s="61"/>
      <c r="R90" s="61"/>
      <c r="S90" s="61"/>
      <c r="T90" s="61"/>
      <c r="U90" s="61"/>
      <c r="V90" s="150" t="str">
        <f>'Sprachen &amp; Rückgabewerte(4)'!$H$116</f>
        <v>Ganzglas-Ecke</v>
      </c>
      <c r="W90" s="61"/>
      <c r="X90" s="61"/>
      <c r="Y90" s="61"/>
      <c r="Z90" s="61"/>
      <c r="AA90" s="61"/>
      <c r="AB90" s="110"/>
      <c r="AC90" s="61"/>
      <c r="AD90" s="60"/>
      <c r="AE90" s="582" t="str">
        <f>'Sprachen &amp; Rückgabewerte(4)'!$H$102</f>
        <v>Diese Bestellung ist verbindlich und muss komplett ausgefüllt werden. Änderungen werden als Mehraufwand verrechnet.</v>
      </c>
      <c r="AF90" s="582"/>
      <c r="AG90" s="582"/>
      <c r="AH90" s="582"/>
      <c r="AI90" s="582"/>
      <c r="AJ90" s="582"/>
      <c r="AK90" s="582"/>
      <c r="AL90" s="582"/>
      <c r="AM90" s="582"/>
      <c r="AN90" s="582"/>
      <c r="AO90" s="582"/>
      <c r="AP90" s="582"/>
      <c r="AQ90" s="582"/>
      <c r="AR90" s="582"/>
      <c r="AS90" s="582"/>
      <c r="AT90" s="110"/>
      <c r="AU90" s="110"/>
      <c r="AV90" s="220"/>
    </row>
    <row r="91" spans="2:50" ht="12.75" customHeight="1" x14ac:dyDescent="0.2">
      <c r="B91" s="60"/>
      <c r="C91" s="60"/>
      <c r="D91" s="61"/>
      <c r="E91" s="61"/>
      <c r="F91" s="61"/>
      <c r="G91" s="61"/>
      <c r="H91" s="61"/>
      <c r="I91" s="61"/>
      <c r="J91" s="61"/>
      <c r="K91" s="61"/>
      <c r="L91" s="61"/>
      <c r="M91" s="61"/>
      <c r="N91" s="61"/>
      <c r="O91" s="61"/>
      <c r="P91" s="61"/>
      <c r="Q91" s="61"/>
      <c r="R91" s="61"/>
      <c r="S91" s="61"/>
      <c r="T91" s="61"/>
      <c r="U91" s="61"/>
      <c r="V91" s="61"/>
      <c r="W91" s="61"/>
      <c r="X91" s="61"/>
      <c r="Y91" s="61"/>
      <c r="Z91" s="714" t="str">
        <f>'Sprachen &amp; Rückgabewerte(4)'!$H$119</f>
        <v>RC2 mit Blech</v>
      </c>
      <c r="AA91" s="714"/>
      <c r="AB91" s="715"/>
      <c r="AC91" s="61"/>
      <c r="AD91" s="60"/>
      <c r="AE91" s="582"/>
      <c r="AF91" s="582"/>
      <c r="AG91" s="582"/>
      <c r="AH91" s="582"/>
      <c r="AI91" s="582"/>
      <c r="AJ91" s="582"/>
      <c r="AK91" s="582"/>
      <c r="AL91" s="582"/>
      <c r="AM91" s="582"/>
      <c r="AN91" s="582"/>
      <c r="AO91" s="582"/>
      <c r="AP91" s="582"/>
      <c r="AQ91" s="582"/>
      <c r="AR91" s="582"/>
      <c r="AS91" s="582"/>
      <c r="AT91" s="110"/>
      <c r="AU91" s="110"/>
      <c r="AV91" s="220"/>
    </row>
    <row r="92" spans="2:50" ht="12.75" customHeight="1" x14ac:dyDescent="0.2">
      <c r="B92" s="60"/>
      <c r="C92" s="60"/>
      <c r="D92" s="61"/>
      <c r="E92" s="61"/>
      <c r="F92" s="61"/>
      <c r="G92" s="61"/>
      <c r="H92" s="61"/>
      <c r="I92" s="61"/>
      <c r="J92" s="61"/>
      <c r="K92" s="61"/>
      <c r="L92" s="61"/>
      <c r="M92" s="61"/>
      <c r="N92" s="61"/>
      <c r="O92" s="61"/>
      <c r="P92" s="61"/>
      <c r="Q92" s="61"/>
      <c r="R92" s="61"/>
      <c r="S92" s="61"/>
      <c r="T92" s="61"/>
      <c r="U92" s="61"/>
      <c r="V92" s="61"/>
      <c r="W92" s="61"/>
      <c r="X92" s="61"/>
      <c r="Y92" s="61"/>
      <c r="Z92" s="714"/>
      <c r="AA92" s="714"/>
      <c r="AB92" s="715"/>
      <c r="AC92" s="61"/>
      <c r="AD92" s="60"/>
      <c r="AE92" s="582"/>
      <c r="AF92" s="582"/>
      <c r="AG92" s="582"/>
      <c r="AH92" s="582"/>
      <c r="AI92" s="582"/>
      <c r="AJ92" s="582"/>
      <c r="AK92" s="582"/>
      <c r="AL92" s="582"/>
      <c r="AM92" s="582"/>
      <c r="AN92" s="582"/>
      <c r="AO92" s="582"/>
      <c r="AP92" s="582"/>
      <c r="AQ92" s="582"/>
      <c r="AR92" s="582"/>
      <c r="AS92" s="582"/>
      <c r="AT92" s="110"/>
      <c r="AU92" s="110"/>
      <c r="AV92" s="220"/>
    </row>
    <row r="93" spans="2:50" ht="12.75" customHeight="1" x14ac:dyDescent="0.2">
      <c r="B93" s="60"/>
      <c r="C93" s="60"/>
      <c r="D93" s="61"/>
      <c r="E93" s="61"/>
      <c r="F93" s="61"/>
      <c r="G93" s="61"/>
      <c r="H93" s="61"/>
      <c r="I93" s="61"/>
      <c r="J93" s="61"/>
      <c r="K93" s="61"/>
      <c r="L93" s="61"/>
      <c r="M93" s="61"/>
      <c r="N93" s="61"/>
      <c r="O93" s="61"/>
      <c r="P93" s="61"/>
      <c r="Q93" s="61"/>
      <c r="R93" s="61"/>
      <c r="S93" s="61"/>
      <c r="T93" s="61"/>
      <c r="U93" s="61"/>
      <c r="V93" s="61"/>
      <c r="W93" s="61"/>
      <c r="X93" s="61"/>
      <c r="Y93" s="61"/>
      <c r="Z93" s="714"/>
      <c r="AA93" s="714"/>
      <c r="AB93" s="715"/>
      <c r="AC93" s="61"/>
      <c r="AD93" s="68"/>
      <c r="AE93" s="84"/>
      <c r="AF93" s="84"/>
      <c r="AG93" s="84"/>
      <c r="AH93" s="84"/>
      <c r="AI93" s="84"/>
      <c r="AJ93" s="84"/>
      <c r="AK93" s="84"/>
      <c r="AL93" s="84"/>
      <c r="AM93" s="84"/>
      <c r="AN93" s="84"/>
      <c r="AO93" s="84"/>
      <c r="AP93" s="84"/>
      <c r="AQ93" s="84"/>
      <c r="AR93" s="84"/>
      <c r="AS93" s="84"/>
      <c r="AT93" s="111"/>
      <c r="AU93" s="110"/>
      <c r="AV93" s="220"/>
    </row>
    <row r="94" spans="2:50" ht="12.75" customHeight="1" x14ac:dyDescent="0.2">
      <c r="B94" s="60"/>
      <c r="C94" s="60"/>
      <c r="D94" s="61"/>
      <c r="E94" s="61"/>
      <c r="F94" s="61"/>
      <c r="G94" s="61"/>
      <c r="H94" s="61"/>
      <c r="I94" s="61"/>
      <c r="J94" s="61"/>
      <c r="K94" s="61"/>
      <c r="L94" s="61"/>
      <c r="M94" s="61"/>
      <c r="N94" s="61"/>
      <c r="O94" s="61"/>
      <c r="P94" s="61"/>
      <c r="Q94" s="61"/>
      <c r="R94" s="61"/>
      <c r="S94" s="61"/>
      <c r="T94" s="61"/>
      <c r="U94" s="61"/>
      <c r="V94" s="61"/>
      <c r="W94" s="61"/>
      <c r="X94" s="61"/>
      <c r="Y94" s="61"/>
      <c r="Z94" s="61"/>
      <c r="AA94" s="61"/>
      <c r="AB94" s="110"/>
      <c r="AC94" s="61"/>
      <c r="AD94" s="61"/>
      <c r="AE94" s="61"/>
      <c r="AF94" s="61"/>
      <c r="AG94" s="61"/>
      <c r="AH94" s="61"/>
      <c r="AI94" s="61"/>
      <c r="AJ94" s="61"/>
      <c r="AK94" s="72"/>
      <c r="AL94" s="72"/>
      <c r="AM94" s="72"/>
      <c r="AN94" s="72"/>
      <c r="AO94" s="72"/>
      <c r="AP94" s="72"/>
      <c r="AQ94" s="72"/>
      <c r="AR94" s="61"/>
      <c r="AS94" s="61"/>
      <c r="AT94" s="61"/>
      <c r="AU94" s="110"/>
      <c r="AV94" s="220"/>
    </row>
    <row r="95" spans="2:50" ht="12.75" customHeight="1" x14ac:dyDescent="0.2">
      <c r="B95" s="60"/>
      <c r="C95" s="60"/>
      <c r="D95" s="61"/>
      <c r="E95" s="61"/>
      <c r="F95" s="61"/>
      <c r="G95" s="61"/>
      <c r="H95" s="150" t="str">
        <f>'Sprachen &amp; Rückgabewerte(4)'!$B$48</f>
        <v>310101/310301</v>
      </c>
      <c r="I95" s="61"/>
      <c r="J95" s="61"/>
      <c r="K95" s="61"/>
      <c r="L95" s="61"/>
      <c r="M95" s="61"/>
      <c r="N95" s="61"/>
      <c r="O95" s="150" t="str">
        <f>'Sprachen &amp; Rückgabewerte(4)'!$B$49</f>
        <v>310101/310501</v>
      </c>
      <c r="P95" s="61"/>
      <c r="Q95" s="61"/>
      <c r="R95" s="61"/>
      <c r="S95" s="61"/>
      <c r="T95" s="61"/>
      <c r="U95" s="61"/>
      <c r="W95" s="61"/>
      <c r="X95" s="61"/>
      <c r="Y95" s="61"/>
      <c r="Z95" s="61"/>
      <c r="AA95" s="61"/>
      <c r="AB95" s="110"/>
      <c r="AC95" s="61"/>
      <c r="AD95" s="107"/>
      <c r="AE95" s="115"/>
      <c r="AF95" s="115"/>
      <c r="AG95" s="115"/>
      <c r="AH95" s="115"/>
      <c r="AI95" s="115"/>
      <c r="AJ95" s="115"/>
      <c r="AK95" s="115"/>
      <c r="AL95" s="115"/>
      <c r="AM95" s="115"/>
      <c r="AN95" s="115"/>
      <c r="AO95" s="115"/>
      <c r="AP95" s="115"/>
      <c r="AQ95" s="115"/>
      <c r="AR95" s="115"/>
      <c r="AS95" s="115"/>
      <c r="AT95" s="409"/>
      <c r="AU95" s="110"/>
      <c r="AV95" s="220"/>
      <c r="AW95" s="411" t="str">
        <f>IF(OR(AQ96="",AQ96='Sprachen &amp; Rückgabewerte(4)'!H96),"",'Sprachen &amp; Rückgabewerte(4)'!H182)</f>
        <v/>
      </c>
    </row>
    <row r="96" spans="2:50" ht="12.75" customHeight="1" x14ac:dyDescent="0.2">
      <c r="B96" s="60"/>
      <c r="C96" s="60"/>
      <c r="D96" s="61"/>
      <c r="E96" s="61"/>
      <c r="F96" s="61"/>
      <c r="G96" s="61"/>
      <c r="H96" s="699"/>
      <c r="I96" s="700"/>
      <c r="J96" s="700"/>
      <c r="K96" s="701"/>
      <c r="L96" s="61"/>
      <c r="M96" s="61"/>
      <c r="N96" s="61"/>
      <c r="O96" s="711"/>
      <c r="P96" s="711"/>
      <c r="Q96" s="711"/>
      <c r="R96" s="711"/>
      <c r="S96" s="61"/>
      <c r="T96" s="61"/>
      <c r="U96" s="61"/>
      <c r="V96" s="150" t="str">
        <f>'Sprachen &amp; Rückgabewerte(4)'!$H$117</f>
        <v>Ecke RC2 (WK2)</v>
      </c>
      <c r="W96" s="61"/>
      <c r="X96" s="61"/>
      <c r="Y96" s="61"/>
      <c r="Z96" s="61"/>
      <c r="AA96" s="61"/>
      <c r="AB96" s="110"/>
      <c r="AC96" s="61"/>
      <c r="AD96" s="60"/>
      <c r="AE96" s="73" t="str">
        <f>'Sprachen &amp; Rückgabewerte(4)'!H181</f>
        <v>Sky-Frame Beratung vorhanden:</v>
      </c>
      <c r="AF96" s="72"/>
      <c r="AG96" s="72"/>
      <c r="AH96" s="72"/>
      <c r="AI96" s="72"/>
      <c r="AJ96" s="72"/>
      <c r="AK96" s="72"/>
      <c r="AL96" s="72"/>
      <c r="AM96" s="72"/>
      <c r="AN96" s="72"/>
      <c r="AO96" s="72"/>
      <c r="AP96" s="72"/>
      <c r="AQ96" s="594"/>
      <c r="AR96" s="595"/>
      <c r="AS96" s="412"/>
      <c r="AT96" s="410"/>
      <c r="AU96" s="111"/>
      <c r="AV96" s="413"/>
      <c r="AW96" s="596"/>
      <c r="AX96" s="597"/>
    </row>
    <row r="97" spans="2:48" ht="12.75" customHeight="1" x14ac:dyDescent="0.2">
      <c r="B97" s="60"/>
      <c r="C97" s="68"/>
      <c r="D97" s="84"/>
      <c r="E97" s="84"/>
      <c r="F97" s="84"/>
      <c r="G97" s="84"/>
      <c r="H97" s="84"/>
      <c r="I97" s="84"/>
      <c r="J97" s="84"/>
      <c r="K97" s="84"/>
      <c r="L97" s="84"/>
      <c r="M97" s="84"/>
      <c r="N97" s="84"/>
      <c r="O97" s="84"/>
      <c r="P97" s="84"/>
      <c r="Q97" s="84"/>
      <c r="R97" s="84"/>
      <c r="S97" s="84"/>
      <c r="T97" s="84"/>
      <c r="U97" s="84"/>
      <c r="V97" s="560"/>
      <c r="W97" s="561"/>
      <c r="X97" s="561"/>
      <c r="Y97" s="562"/>
      <c r="Z97" s="84"/>
      <c r="AA97" s="84"/>
      <c r="AB97" s="111"/>
      <c r="AC97" s="61"/>
      <c r="AD97" s="68"/>
      <c r="AE97" s="120"/>
      <c r="AF97" s="120"/>
      <c r="AG97" s="120"/>
      <c r="AH97" s="120"/>
      <c r="AI97" s="120"/>
      <c r="AJ97" s="120"/>
      <c r="AK97" s="120"/>
      <c r="AL97" s="120"/>
      <c r="AM97" s="120"/>
      <c r="AN97" s="120"/>
      <c r="AO97" s="120"/>
      <c r="AP97" s="120"/>
      <c r="AQ97" s="120"/>
      <c r="AR97" s="120"/>
      <c r="AS97" s="120"/>
      <c r="AT97" s="410"/>
      <c r="AU97" s="110"/>
      <c r="AV97" s="220"/>
    </row>
    <row r="98" spans="2:48" ht="19.5" customHeight="1" x14ac:dyDescent="0.2">
      <c r="B98" s="68"/>
      <c r="C98" s="710" t="s">
        <v>935</v>
      </c>
      <c r="D98" s="710"/>
      <c r="E98" s="710"/>
      <c r="F98" s="710"/>
      <c r="G98" s="710"/>
      <c r="H98" s="710"/>
      <c r="I98" s="710"/>
      <c r="J98" s="710"/>
      <c r="K98" s="710"/>
      <c r="L98" s="710"/>
      <c r="M98" s="710"/>
      <c r="N98" s="710"/>
      <c r="O98" s="710"/>
      <c r="P98" s="710"/>
      <c r="Q98" s="710"/>
      <c r="R98" s="710"/>
      <c r="S98" s="710"/>
      <c r="T98" s="710"/>
      <c r="U98" s="710"/>
      <c r="V98" s="710"/>
      <c r="W98" s="710"/>
      <c r="X98" s="710"/>
      <c r="Y98" s="710"/>
      <c r="Z98" s="710"/>
      <c r="AA98" s="710"/>
      <c r="AB98" s="710"/>
      <c r="AC98" s="710"/>
      <c r="AD98" s="710"/>
      <c r="AE98" s="710"/>
      <c r="AF98" s="710"/>
      <c r="AG98" s="710"/>
      <c r="AH98" s="710"/>
      <c r="AI98" s="710"/>
      <c r="AJ98" s="710"/>
      <c r="AK98" s="710"/>
      <c r="AL98" s="710"/>
      <c r="AM98" s="710"/>
      <c r="AN98" s="710"/>
      <c r="AO98" s="710"/>
      <c r="AP98" s="84"/>
      <c r="AQ98" s="84"/>
      <c r="AR98" s="84"/>
      <c r="AS98" s="84"/>
      <c r="AT98" s="152" t="s">
        <v>932</v>
      </c>
      <c r="AU98" s="111"/>
      <c r="AV98" s="220"/>
    </row>
    <row r="99" spans="2:48" ht="19.5" customHeight="1" x14ac:dyDescent="0.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247"/>
      <c r="AU99" s="61"/>
      <c r="AV99" s="110"/>
    </row>
    <row r="100" spans="2:48" x14ac:dyDescent="0.2">
      <c r="AV100" s="111"/>
    </row>
    <row r="101" spans="2:48" ht="13.5" thickBot="1" x14ac:dyDescent="0.25">
      <c r="B101" s="107"/>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109"/>
    </row>
    <row r="102" spans="2:48" ht="16.5" thickTop="1" x14ac:dyDescent="0.25">
      <c r="B102" s="60"/>
      <c r="C102" s="107"/>
      <c r="D102" s="82"/>
      <c r="E102" s="265" t="str">
        <f>'Sprachen &amp; Rückgabewerte(4)'!$H$138</f>
        <v>Rinnenbestellung</v>
      </c>
      <c r="F102" s="82"/>
      <c r="G102" s="82"/>
      <c r="H102" s="82"/>
      <c r="I102" s="82"/>
      <c r="J102" s="82"/>
      <c r="K102" s="82"/>
      <c r="L102" s="82"/>
      <c r="M102" s="82"/>
      <c r="N102" s="82"/>
      <c r="O102" s="82"/>
      <c r="P102" s="82"/>
      <c r="Q102" s="82"/>
      <c r="R102" s="82"/>
      <c r="S102" s="82"/>
      <c r="T102" s="82"/>
      <c r="U102" s="82"/>
      <c r="V102" s="82"/>
      <c r="W102" s="82"/>
      <c r="X102" s="82"/>
      <c r="Y102" s="82"/>
      <c r="Z102" s="109"/>
      <c r="AA102" s="61"/>
      <c r="AB102" s="232"/>
      <c r="AC102" s="233"/>
      <c r="AD102" s="233"/>
      <c r="AE102" s="233"/>
      <c r="AF102" s="248"/>
      <c r="AG102" s="249"/>
      <c r="AH102" s="252"/>
      <c r="AI102" s="248"/>
      <c r="AJ102" s="248"/>
      <c r="AK102" s="248"/>
      <c r="AL102" s="248"/>
      <c r="AM102" s="249"/>
      <c r="AN102" s="252"/>
      <c r="AO102" s="248"/>
      <c r="AP102" s="248"/>
      <c r="AQ102" s="248"/>
      <c r="AR102" s="248"/>
      <c r="AS102" s="248"/>
      <c r="AT102" s="249"/>
      <c r="AU102" s="110"/>
    </row>
    <row r="103" spans="2:48" x14ac:dyDescent="0.2">
      <c r="B103" s="60"/>
      <c r="C103" s="60"/>
      <c r="D103" s="61"/>
      <c r="E103" s="61"/>
      <c r="F103" s="61"/>
      <c r="G103" s="61"/>
      <c r="H103" s="61"/>
      <c r="I103" s="61"/>
      <c r="J103" s="61"/>
      <c r="K103" s="61"/>
      <c r="L103" s="61"/>
      <c r="M103" s="61"/>
      <c r="N103" s="61"/>
      <c r="O103" s="61"/>
      <c r="P103" s="61"/>
      <c r="Q103" s="61"/>
      <c r="R103" s="61"/>
      <c r="S103" s="61"/>
      <c r="T103" s="61"/>
      <c r="U103" s="61"/>
      <c r="V103" s="61"/>
      <c r="W103" s="61"/>
      <c r="X103" s="61"/>
      <c r="Y103" s="61"/>
      <c r="Z103" s="110"/>
      <c r="AA103" s="61"/>
      <c r="AB103" s="235"/>
      <c r="AC103" s="61"/>
      <c r="AD103" s="61"/>
      <c r="AE103" s="61"/>
      <c r="AF103" s="127"/>
      <c r="AG103" s="250"/>
      <c r="AH103" s="253"/>
      <c r="AI103" s="127"/>
      <c r="AJ103" s="127"/>
      <c r="AK103" s="127"/>
      <c r="AL103" s="127"/>
      <c r="AM103" s="250"/>
      <c r="AN103" s="253"/>
      <c r="AO103" s="127"/>
      <c r="AP103" s="127"/>
      <c r="AQ103" s="127"/>
      <c r="AR103" s="127"/>
      <c r="AS103" s="127"/>
      <c r="AT103" s="250"/>
      <c r="AU103" s="128"/>
    </row>
    <row r="104" spans="2:48" ht="15" customHeight="1" x14ac:dyDescent="0.2">
      <c r="B104" s="60"/>
      <c r="C104" s="60"/>
      <c r="D104" s="61"/>
      <c r="E104" s="72" t="str">
        <f>'Sprachen &amp; Rückgabewerte(4)'!$H$139</f>
        <v>Wahl des Rinnensystems:</v>
      </c>
      <c r="F104" s="61"/>
      <c r="G104" s="61"/>
      <c r="H104" s="61"/>
      <c r="I104" s="61"/>
      <c r="J104" s="61"/>
      <c r="K104" s="61"/>
      <c r="L104" s="61"/>
      <c r="M104" s="61"/>
      <c r="N104" s="61"/>
      <c r="O104" s="61"/>
      <c r="P104" s="61"/>
      <c r="Q104" s="61"/>
      <c r="R104" s="61"/>
      <c r="S104" s="61"/>
      <c r="T104" s="727"/>
      <c r="U104" s="729"/>
      <c r="V104" s="230"/>
      <c r="W104" s="230"/>
      <c r="X104" s="61"/>
      <c r="Y104" s="61"/>
      <c r="Z104" s="110"/>
      <c r="AB104" s="235"/>
      <c r="AC104" s="61"/>
      <c r="AD104" s="61"/>
      <c r="AE104" s="61"/>
      <c r="AF104" s="127"/>
      <c r="AG104" s="250"/>
      <c r="AH104" s="253"/>
      <c r="AI104" s="127"/>
      <c r="AJ104" s="127"/>
      <c r="AK104" s="127"/>
      <c r="AL104" s="127"/>
      <c r="AM104" s="250"/>
      <c r="AN104" s="253"/>
      <c r="AO104" s="127"/>
      <c r="AP104" s="127"/>
      <c r="AQ104" s="127"/>
      <c r="AR104" s="127"/>
      <c r="AS104" s="127"/>
      <c r="AT104" s="250"/>
      <c r="AU104" s="128"/>
    </row>
    <row r="105" spans="2:48" x14ac:dyDescent="0.2">
      <c r="B105" s="60"/>
      <c r="C105" s="60"/>
      <c r="D105" s="61"/>
      <c r="E105" s="61"/>
      <c r="F105" s="61"/>
      <c r="G105" s="61"/>
      <c r="H105" s="61"/>
      <c r="I105" s="61"/>
      <c r="J105" s="61"/>
      <c r="K105" s="61"/>
      <c r="L105" s="61"/>
      <c r="M105" s="61"/>
      <c r="N105" s="61"/>
      <c r="O105" s="61"/>
      <c r="P105" s="61"/>
      <c r="Q105" s="61"/>
      <c r="R105" s="61"/>
      <c r="S105" s="61"/>
      <c r="T105" s="61"/>
      <c r="U105" s="61"/>
      <c r="V105" s="61"/>
      <c r="W105" s="61"/>
      <c r="X105" s="61"/>
      <c r="Y105" s="61"/>
      <c r="Z105" s="110"/>
      <c r="AB105" s="235"/>
      <c r="AC105" s="61"/>
      <c r="AD105" s="61"/>
      <c r="AE105" s="61"/>
      <c r="AF105" s="127"/>
      <c r="AG105" s="250"/>
      <c r="AH105" s="253"/>
      <c r="AI105" s="127"/>
      <c r="AJ105" s="127"/>
      <c r="AK105" s="127"/>
      <c r="AL105" s="127"/>
      <c r="AM105" s="250"/>
      <c r="AN105" s="253"/>
      <c r="AO105" s="127"/>
      <c r="AP105" s="127"/>
      <c r="AQ105" s="127"/>
      <c r="AR105" s="127"/>
      <c r="AS105" s="127"/>
      <c r="AT105" s="250"/>
      <c r="AU105" s="128"/>
    </row>
    <row r="106" spans="2:48" ht="15" customHeight="1" x14ac:dyDescent="0.2">
      <c r="B106" s="60"/>
      <c r="C106" s="60"/>
      <c r="D106" s="61"/>
      <c r="E106" s="72" t="str">
        <f>'Sprachen &amp; Rückgabewerte(4)'!$H$140</f>
        <v>Einzug an der linken Anlagenseite:</v>
      </c>
      <c r="F106" s="61"/>
      <c r="G106" s="61"/>
      <c r="H106" s="61"/>
      <c r="I106" s="61"/>
      <c r="J106" s="61"/>
      <c r="K106" s="61"/>
      <c r="L106" s="61"/>
      <c r="M106" s="61"/>
      <c r="N106" s="61"/>
      <c r="O106" s="61"/>
      <c r="P106" s="61"/>
      <c r="Q106" s="61"/>
      <c r="R106" s="61"/>
      <c r="S106" s="61"/>
      <c r="T106" s="704"/>
      <c r="U106" s="733"/>
      <c r="V106" s="61" t="s">
        <v>176</v>
      </c>
      <c r="W106" s="61"/>
      <c r="X106" s="61"/>
      <c r="Y106" s="61"/>
      <c r="Z106" s="110"/>
      <c r="AB106" s="235"/>
      <c r="AC106" s="61"/>
      <c r="AD106" s="61"/>
      <c r="AE106" s="61"/>
      <c r="AF106" s="127"/>
      <c r="AG106" s="250"/>
      <c r="AH106" s="253"/>
      <c r="AI106" s="127"/>
      <c r="AJ106" s="127"/>
      <c r="AK106" s="127"/>
      <c r="AL106" s="127"/>
      <c r="AM106" s="250"/>
      <c r="AN106" s="253"/>
      <c r="AO106" s="127"/>
      <c r="AP106" s="127"/>
      <c r="AQ106" s="127"/>
      <c r="AR106" s="127"/>
      <c r="AS106" s="127"/>
      <c r="AT106" s="250"/>
      <c r="AU106" s="128"/>
    </row>
    <row r="107" spans="2:48" x14ac:dyDescent="0.2">
      <c r="B107" s="60"/>
      <c r="C107" s="60"/>
      <c r="D107" s="61"/>
      <c r="E107" s="61"/>
      <c r="F107" s="61"/>
      <c r="G107" s="61"/>
      <c r="H107" s="61"/>
      <c r="I107" s="61"/>
      <c r="J107" s="61"/>
      <c r="K107" s="61"/>
      <c r="L107" s="61"/>
      <c r="M107" s="61"/>
      <c r="N107" s="61"/>
      <c r="O107" s="61"/>
      <c r="P107" s="61"/>
      <c r="Q107" s="61"/>
      <c r="R107" s="61"/>
      <c r="S107" s="61"/>
      <c r="T107" s="61"/>
      <c r="U107" s="61"/>
      <c r="V107" s="61"/>
      <c r="W107" s="61"/>
      <c r="X107" s="61"/>
      <c r="Y107" s="61"/>
      <c r="Z107" s="110"/>
      <c r="AB107" s="235"/>
      <c r="AC107" s="61"/>
      <c r="AD107" s="61"/>
      <c r="AE107" s="61"/>
      <c r="AF107" s="127"/>
      <c r="AG107" s="250"/>
      <c r="AH107" s="253"/>
      <c r="AI107" s="127"/>
      <c r="AJ107" s="127"/>
      <c r="AK107" s="127"/>
      <c r="AL107" s="127"/>
      <c r="AM107" s="250"/>
      <c r="AN107" s="253"/>
      <c r="AO107" s="127"/>
      <c r="AP107" s="127"/>
      <c r="AQ107" s="127"/>
      <c r="AR107" s="127"/>
      <c r="AS107" s="127"/>
      <c r="AT107" s="250"/>
      <c r="AU107" s="128"/>
    </row>
    <row r="108" spans="2:48" ht="15" customHeight="1" x14ac:dyDescent="0.2">
      <c r="B108" s="60"/>
      <c r="C108" s="60"/>
      <c r="D108" s="61"/>
      <c r="E108" s="72" t="str">
        <f>'Sprachen &amp; Rückgabewerte(4)'!$H$141</f>
        <v>Einzug an der rechten Anlagenseite:</v>
      </c>
      <c r="F108" s="61"/>
      <c r="G108" s="61"/>
      <c r="H108" s="61"/>
      <c r="I108" s="61"/>
      <c r="J108" s="61"/>
      <c r="K108" s="61"/>
      <c r="L108" s="61"/>
      <c r="M108" s="61"/>
      <c r="N108" s="61"/>
      <c r="O108" s="61"/>
      <c r="P108" s="61"/>
      <c r="Q108" s="61"/>
      <c r="R108" s="61"/>
      <c r="S108" s="61"/>
      <c r="T108" s="704"/>
      <c r="U108" s="733"/>
      <c r="V108" s="61" t="s">
        <v>176</v>
      </c>
      <c r="W108" s="61"/>
      <c r="X108" s="61"/>
      <c r="Y108" s="61"/>
      <c r="Z108" s="110"/>
      <c r="AB108" s="235"/>
      <c r="AC108" s="61"/>
      <c r="AD108" s="61"/>
      <c r="AE108" s="61"/>
      <c r="AF108" s="127"/>
      <c r="AG108" s="250"/>
      <c r="AH108" s="253"/>
      <c r="AI108" s="127"/>
      <c r="AJ108" s="127"/>
      <c r="AK108" s="127"/>
      <c r="AL108" s="127"/>
      <c r="AM108" s="250"/>
      <c r="AN108" s="253"/>
      <c r="AO108" s="127"/>
      <c r="AP108" s="127"/>
      <c r="AQ108" s="127"/>
      <c r="AR108" s="127"/>
      <c r="AS108" s="127"/>
      <c r="AT108" s="250"/>
      <c r="AU108" s="128"/>
    </row>
    <row r="109" spans="2:48" x14ac:dyDescent="0.2">
      <c r="B109" s="60"/>
      <c r="C109" s="60"/>
      <c r="D109" s="61"/>
      <c r="E109" s="61"/>
      <c r="F109" s="61"/>
      <c r="G109" s="61"/>
      <c r="H109" s="61"/>
      <c r="I109" s="61"/>
      <c r="J109" s="61"/>
      <c r="K109" s="61"/>
      <c r="L109" s="61"/>
      <c r="M109" s="61"/>
      <c r="N109" s="61"/>
      <c r="O109" s="61"/>
      <c r="P109" s="61"/>
      <c r="Q109" s="61"/>
      <c r="R109" s="61"/>
      <c r="S109" s="61"/>
      <c r="T109" s="61"/>
      <c r="U109" s="61"/>
      <c r="V109" s="61"/>
      <c r="W109" s="61"/>
      <c r="X109" s="61"/>
      <c r="Y109" s="61"/>
      <c r="Z109" s="110"/>
      <c r="AB109" s="235"/>
      <c r="AC109" s="61"/>
      <c r="AD109" s="61"/>
      <c r="AE109" s="61"/>
      <c r="AF109" s="127"/>
      <c r="AG109" s="250"/>
      <c r="AH109" s="253"/>
      <c r="AI109" s="127"/>
      <c r="AJ109" s="127"/>
      <c r="AK109" s="127"/>
      <c r="AL109" s="127"/>
      <c r="AM109" s="250"/>
      <c r="AN109" s="253"/>
      <c r="AO109" s="127"/>
      <c r="AP109" s="127"/>
      <c r="AQ109" s="127"/>
      <c r="AR109" s="127"/>
      <c r="AS109" s="127"/>
      <c r="AT109" s="250"/>
      <c r="AU109" s="128"/>
    </row>
    <row r="110" spans="2:48" ht="15" customHeight="1" x14ac:dyDescent="0.2">
      <c r="B110" s="60"/>
      <c r="C110" s="60"/>
      <c r="D110" s="61"/>
      <c r="E110" s="72" t="str">
        <f>'Sprachen &amp; Rückgabewerte(4)'!$H$142</f>
        <v>Anschlussstutzen:</v>
      </c>
      <c r="F110" s="61"/>
      <c r="G110" s="61"/>
      <c r="H110" s="61"/>
      <c r="I110" s="61"/>
      <c r="J110" s="61"/>
      <c r="K110" s="61"/>
      <c r="L110" s="61"/>
      <c r="M110" s="61"/>
      <c r="N110" s="61"/>
      <c r="O110" s="61"/>
      <c r="P110" s="61"/>
      <c r="Q110" s="61"/>
      <c r="R110" s="61"/>
      <c r="S110" s="61"/>
      <c r="T110" s="727"/>
      <c r="U110" s="728"/>
      <c r="V110" s="728"/>
      <c r="W110" s="728"/>
      <c r="X110" s="728"/>
      <c r="Y110" s="729"/>
      <c r="Z110" s="537"/>
      <c r="AB110" s="254"/>
      <c r="AC110" s="255"/>
      <c r="AD110" s="255"/>
      <c r="AE110" s="255"/>
      <c r="AF110" s="256"/>
      <c r="AG110" s="257"/>
      <c r="AH110" s="258"/>
      <c r="AI110" s="256"/>
      <c r="AJ110" s="256"/>
      <c r="AK110" s="256"/>
      <c r="AL110" s="256"/>
      <c r="AM110" s="257"/>
      <c r="AN110" s="258"/>
      <c r="AO110" s="256"/>
      <c r="AP110" s="256"/>
      <c r="AQ110" s="256"/>
      <c r="AR110" s="256"/>
      <c r="AS110" s="256"/>
      <c r="AT110" s="257"/>
      <c r="AU110" s="128"/>
    </row>
    <row r="111" spans="2:48" x14ac:dyDescent="0.2">
      <c r="B111" s="60"/>
      <c r="C111" s="60"/>
      <c r="D111" s="61"/>
      <c r="E111" s="61"/>
      <c r="F111" s="61"/>
      <c r="G111" s="61"/>
      <c r="H111" s="61"/>
      <c r="I111" s="61"/>
      <c r="J111" s="61"/>
      <c r="K111" s="61"/>
      <c r="L111" s="61"/>
      <c r="M111" s="61"/>
      <c r="N111" s="61"/>
      <c r="O111" s="61"/>
      <c r="P111" s="61"/>
      <c r="Q111" s="61"/>
      <c r="R111" s="61"/>
      <c r="S111" s="61"/>
      <c r="T111" s="61"/>
      <c r="U111" s="61"/>
      <c r="V111" s="61"/>
      <c r="W111" s="61"/>
      <c r="X111" s="61"/>
      <c r="Y111" s="61"/>
      <c r="Z111" s="110"/>
      <c r="AB111" s="259"/>
      <c r="AC111" s="260"/>
      <c r="AD111" s="260"/>
      <c r="AE111" s="260"/>
      <c r="AF111" s="261"/>
      <c r="AG111" s="262"/>
      <c r="AH111" s="261"/>
      <c r="AI111" s="261"/>
      <c r="AJ111" s="261"/>
      <c r="AK111" s="261"/>
      <c r="AL111" s="261"/>
      <c r="AM111" s="261"/>
      <c r="AN111" s="263"/>
      <c r="AO111" s="261"/>
      <c r="AP111" s="261"/>
      <c r="AQ111" s="261"/>
      <c r="AR111" s="261"/>
      <c r="AS111" s="261"/>
      <c r="AT111" s="262"/>
      <c r="AU111" s="128"/>
    </row>
    <row r="112" spans="2:48" ht="15" customHeight="1" x14ac:dyDescent="0.2">
      <c r="B112" s="60"/>
      <c r="C112" s="60"/>
      <c r="D112" s="61"/>
      <c r="E112" s="61"/>
      <c r="F112" s="61"/>
      <c r="G112" s="61"/>
      <c r="H112" s="61"/>
      <c r="I112" s="61"/>
      <c r="J112" s="61"/>
      <c r="K112" s="61"/>
      <c r="L112" s="61"/>
      <c r="M112" s="61"/>
      <c r="N112" s="61"/>
      <c r="O112" s="61"/>
      <c r="P112" s="61"/>
      <c r="Q112" s="61"/>
      <c r="R112" s="268" t="str">
        <f>IF($T$110='Sprachen &amp; Rückgabewerte(4)'!$J$143,'Sprachen &amp; Rückgabewerte(4)'!$H$145,'Sprachen &amp; Rückgabewerte(4)'!$H$148)</f>
        <v>Abstände Ablaufstutzen (E):</v>
      </c>
      <c r="S112" s="61"/>
      <c r="T112" s="730"/>
      <c r="U112" s="731"/>
      <c r="V112" s="731"/>
      <c r="W112" s="731"/>
      <c r="X112" s="731"/>
      <c r="Y112" s="732"/>
      <c r="Z112" s="538"/>
      <c r="AB112" s="235"/>
      <c r="AC112" s="61"/>
      <c r="AD112" s="61"/>
      <c r="AE112" s="61"/>
      <c r="AF112" s="127"/>
      <c r="AG112" s="250"/>
      <c r="AH112" s="127"/>
      <c r="AI112" s="127"/>
      <c r="AJ112" s="127"/>
      <c r="AK112" s="127"/>
      <c r="AL112" s="127"/>
      <c r="AM112" s="127"/>
      <c r="AN112" s="253"/>
      <c r="AO112" s="127"/>
      <c r="AP112" s="127"/>
      <c r="AQ112" s="127"/>
      <c r="AR112" s="127"/>
      <c r="AS112" s="127"/>
      <c r="AT112" s="250"/>
      <c r="AU112" s="128"/>
    </row>
    <row r="113" spans="2:47" x14ac:dyDescent="0.2">
      <c r="B113" s="60"/>
      <c r="C113" s="60"/>
      <c r="D113" s="61"/>
      <c r="E113" s="269"/>
      <c r="F113" s="269"/>
      <c r="G113" s="269"/>
      <c r="H113" s="269"/>
      <c r="I113" s="269"/>
      <c r="J113" s="269"/>
      <c r="K113" s="269"/>
      <c r="L113" s="269"/>
      <c r="M113" s="269"/>
      <c r="N113" s="269"/>
      <c r="O113" s="269"/>
      <c r="P113" s="269"/>
      <c r="Q113" s="269"/>
      <c r="R113" s="269"/>
      <c r="S113" s="269"/>
      <c r="T113" s="61"/>
      <c r="U113" s="61"/>
      <c r="V113" s="61"/>
      <c r="W113" s="61"/>
      <c r="X113" s="61"/>
      <c r="Y113" s="61"/>
      <c r="Z113" s="110"/>
      <c r="AB113" s="235"/>
      <c r="AC113" s="61"/>
      <c r="AD113" s="61"/>
      <c r="AE113" s="61"/>
      <c r="AF113" s="127"/>
      <c r="AG113" s="250"/>
      <c r="AH113" s="127"/>
      <c r="AI113" s="127"/>
      <c r="AJ113" s="127"/>
      <c r="AK113" s="127"/>
      <c r="AL113" s="127"/>
      <c r="AM113" s="127"/>
      <c r="AN113" s="253"/>
      <c r="AO113" s="127"/>
      <c r="AP113" s="127"/>
      <c r="AQ113" s="127"/>
      <c r="AR113" s="127"/>
      <c r="AS113" s="127"/>
      <c r="AT113" s="250"/>
      <c r="AU113" s="110"/>
    </row>
    <row r="114" spans="2:47" ht="15" customHeight="1" x14ac:dyDescent="0.2">
      <c r="B114" s="60"/>
      <c r="C114" s="60"/>
      <c r="D114" s="61"/>
      <c r="E114" s="269"/>
      <c r="F114" s="269"/>
      <c r="G114" s="269"/>
      <c r="H114" s="269"/>
      <c r="I114" s="269"/>
      <c r="J114" s="269"/>
      <c r="K114" s="269"/>
      <c r="L114" s="269"/>
      <c r="M114" s="269"/>
      <c r="N114" s="269"/>
      <c r="O114" s="269"/>
      <c r="P114" s="269"/>
      <c r="Q114" s="269"/>
      <c r="R114" s="268" t="str">
        <f>'Sprachen &amp; Rückgabewerte(4)'!H149</f>
        <v>Rinnenanschluss:</v>
      </c>
      <c r="S114" s="269"/>
      <c r="T114" s="727"/>
      <c r="U114" s="729"/>
      <c r="V114" s="61"/>
      <c r="W114" s="61"/>
      <c r="X114" s="61"/>
      <c r="Y114" s="61"/>
      <c r="Z114" s="110"/>
      <c r="AB114" s="235"/>
      <c r="AC114" s="61"/>
      <c r="AD114" s="61"/>
      <c r="AE114" s="61"/>
      <c r="AF114" s="127"/>
      <c r="AG114" s="250"/>
      <c r="AH114" s="127"/>
      <c r="AI114" s="127"/>
      <c r="AJ114" s="127"/>
      <c r="AK114" s="127"/>
      <c r="AL114" s="127"/>
      <c r="AM114" s="127"/>
      <c r="AN114" s="253"/>
      <c r="AO114" s="127"/>
      <c r="AP114" s="127"/>
      <c r="AQ114" s="127"/>
      <c r="AR114" s="127"/>
      <c r="AS114" s="127"/>
      <c r="AT114" s="250"/>
      <c r="AU114" s="110"/>
    </row>
    <row r="115" spans="2:47" x14ac:dyDescent="0.2">
      <c r="B115" s="60"/>
      <c r="C115" s="60"/>
      <c r="D115" s="61"/>
      <c r="E115" s="61"/>
      <c r="F115" s="61"/>
      <c r="G115" s="61"/>
      <c r="H115" s="61"/>
      <c r="I115" s="61"/>
      <c r="J115" s="61"/>
      <c r="K115" s="61"/>
      <c r="L115" s="61"/>
      <c r="M115" s="61"/>
      <c r="N115" s="61"/>
      <c r="O115" s="61"/>
      <c r="P115" s="61"/>
      <c r="Q115" s="61"/>
      <c r="R115" s="61"/>
      <c r="S115" s="61"/>
      <c r="T115" s="61"/>
      <c r="U115" s="61"/>
      <c r="V115" s="61"/>
      <c r="W115" s="61"/>
      <c r="X115" s="61"/>
      <c r="Y115" s="61"/>
      <c r="Z115" s="110"/>
      <c r="AA115" s="61"/>
      <c r="AB115" s="235"/>
      <c r="AC115" s="61"/>
      <c r="AD115" s="61"/>
      <c r="AE115" s="61"/>
      <c r="AF115" s="61"/>
      <c r="AG115" s="250"/>
      <c r="AH115" s="127"/>
      <c r="AI115" s="127"/>
      <c r="AJ115" s="127"/>
      <c r="AK115" s="127"/>
      <c r="AL115" s="127"/>
      <c r="AM115" s="127"/>
      <c r="AN115" s="253"/>
      <c r="AO115" s="61"/>
      <c r="AP115" s="61"/>
      <c r="AQ115" s="61"/>
      <c r="AR115" s="61"/>
      <c r="AS115" s="61"/>
      <c r="AT115" s="237"/>
      <c r="AU115" s="110"/>
    </row>
    <row r="116" spans="2:47" x14ac:dyDescent="0.2">
      <c r="B116" s="60"/>
      <c r="C116" s="60"/>
      <c r="D116" s="61"/>
      <c r="E116" s="698" t="str">
        <f>IF('Sprachen &amp; Rückgabewerte(4)'!$I$50=TRUE,'Sprachen &amp; Rückgabewerte(4)'!$H$102,"")</f>
        <v/>
      </c>
      <c r="F116" s="698"/>
      <c r="G116" s="698"/>
      <c r="H116" s="698"/>
      <c r="I116" s="698"/>
      <c r="J116" s="698"/>
      <c r="K116" s="698"/>
      <c r="L116" s="698"/>
      <c r="M116" s="698"/>
      <c r="N116" s="698"/>
      <c r="O116" s="698"/>
      <c r="P116" s="698"/>
      <c r="Q116" s="698"/>
      <c r="R116" s="698"/>
      <c r="S116" s="61"/>
      <c r="T116" s="61"/>
      <c r="U116" s="61"/>
      <c r="V116" s="61"/>
      <c r="W116" s="61"/>
      <c r="X116" s="61"/>
      <c r="Y116" s="61"/>
      <c r="Z116" s="110"/>
      <c r="AA116" s="61"/>
      <c r="AB116" s="235"/>
      <c r="AC116" s="61"/>
      <c r="AD116" s="61"/>
      <c r="AE116" s="61"/>
      <c r="AF116" s="61"/>
      <c r="AG116" s="250"/>
      <c r="AH116" s="127"/>
      <c r="AI116" s="127"/>
      <c r="AJ116" s="127"/>
      <c r="AK116" s="127"/>
      <c r="AL116" s="127"/>
      <c r="AM116" s="127"/>
      <c r="AN116" s="253"/>
      <c r="AO116" s="61"/>
      <c r="AP116" s="61"/>
      <c r="AQ116" s="61"/>
      <c r="AR116" s="61"/>
      <c r="AS116" s="61"/>
      <c r="AT116" s="237"/>
      <c r="AU116" s="110"/>
    </row>
    <row r="117" spans="2:47" ht="12.75" customHeight="1" x14ac:dyDescent="0.2">
      <c r="B117" s="60"/>
      <c r="C117" s="60"/>
      <c r="D117" s="61"/>
      <c r="E117" s="698"/>
      <c r="F117" s="698"/>
      <c r="G117" s="698"/>
      <c r="H117" s="698"/>
      <c r="I117" s="698"/>
      <c r="J117" s="698"/>
      <c r="K117" s="698"/>
      <c r="L117" s="698"/>
      <c r="M117" s="698"/>
      <c r="N117" s="698"/>
      <c r="O117" s="698"/>
      <c r="P117" s="698"/>
      <c r="Q117" s="698"/>
      <c r="R117" s="698"/>
      <c r="S117" s="127"/>
      <c r="T117" s="127"/>
      <c r="U117" s="127"/>
      <c r="V117" s="127"/>
      <c r="W117" s="127"/>
      <c r="X117" s="127"/>
      <c r="Y117" s="127"/>
      <c r="Z117" s="128"/>
      <c r="AA117" s="127"/>
      <c r="AB117" s="253"/>
      <c r="AC117" s="127"/>
      <c r="AD117" s="127"/>
      <c r="AE117" s="127"/>
      <c r="AF117" s="127"/>
      <c r="AG117" s="250"/>
      <c r="AH117" s="127"/>
      <c r="AI117" s="127"/>
      <c r="AJ117" s="127"/>
      <c r="AK117" s="127"/>
      <c r="AL117" s="127"/>
      <c r="AM117" s="127"/>
      <c r="AN117" s="253"/>
      <c r="AO117" s="61"/>
      <c r="AP117" s="61"/>
      <c r="AQ117" s="61"/>
      <c r="AR117" s="61"/>
      <c r="AS117" s="61"/>
      <c r="AT117" s="237"/>
      <c r="AU117" s="110"/>
    </row>
    <row r="118" spans="2:47" x14ac:dyDescent="0.2">
      <c r="B118" s="60"/>
      <c r="C118" s="60"/>
      <c r="D118" s="61"/>
      <c r="E118" s="698"/>
      <c r="F118" s="698"/>
      <c r="G118" s="698"/>
      <c r="H118" s="698"/>
      <c r="I118" s="698"/>
      <c r="J118" s="698"/>
      <c r="K118" s="698"/>
      <c r="L118" s="698"/>
      <c r="M118" s="698"/>
      <c r="N118" s="698"/>
      <c r="O118" s="698"/>
      <c r="P118" s="698"/>
      <c r="Q118" s="698"/>
      <c r="R118" s="698"/>
      <c r="S118" s="61"/>
      <c r="T118" s="61"/>
      <c r="U118" s="61"/>
      <c r="V118" s="61"/>
      <c r="W118" s="61"/>
      <c r="X118" s="61"/>
      <c r="Y118" s="61"/>
      <c r="Z118" s="110"/>
      <c r="AB118" s="235"/>
      <c r="AC118" s="61"/>
      <c r="AD118" s="61"/>
      <c r="AE118" s="61"/>
      <c r="AF118" s="61"/>
      <c r="AG118" s="237"/>
      <c r="AH118" s="61"/>
      <c r="AI118" s="61"/>
      <c r="AJ118" s="61"/>
      <c r="AK118" s="61"/>
      <c r="AL118" s="61"/>
      <c r="AM118" s="61"/>
      <c r="AN118" s="235"/>
      <c r="AO118" s="61"/>
      <c r="AP118" s="61"/>
      <c r="AQ118" s="61"/>
      <c r="AR118" s="61"/>
      <c r="AS118" s="61"/>
      <c r="AT118" s="237"/>
      <c r="AU118" s="110"/>
    </row>
    <row r="119" spans="2:47" x14ac:dyDescent="0.2">
      <c r="B119" s="60"/>
      <c r="C119" s="60"/>
      <c r="D119" s="61"/>
      <c r="E119" s="61"/>
      <c r="F119" s="61"/>
      <c r="G119" s="61"/>
      <c r="H119" s="61"/>
      <c r="I119" s="61"/>
      <c r="J119" s="61"/>
      <c r="K119" s="61"/>
      <c r="L119" s="61"/>
      <c r="M119" s="61"/>
      <c r="N119" s="61"/>
      <c r="O119" s="61"/>
      <c r="P119" s="61"/>
      <c r="Q119" s="61"/>
      <c r="R119" s="61"/>
      <c r="S119" s="61"/>
      <c r="T119" s="61"/>
      <c r="U119" s="61"/>
      <c r="V119" s="61"/>
      <c r="W119" s="61"/>
      <c r="X119" s="61"/>
      <c r="Y119" s="61"/>
      <c r="Z119" s="110"/>
      <c r="AB119" s="235"/>
      <c r="AC119" s="61"/>
      <c r="AD119" s="61"/>
      <c r="AE119" s="61"/>
      <c r="AF119" s="61"/>
      <c r="AG119" s="237"/>
      <c r="AH119" s="61"/>
      <c r="AI119" s="61"/>
      <c r="AJ119" s="61"/>
      <c r="AK119" s="61"/>
      <c r="AL119" s="61"/>
      <c r="AM119" s="61"/>
      <c r="AN119" s="235"/>
      <c r="AO119" s="61"/>
      <c r="AP119" s="61"/>
      <c r="AQ119" s="61"/>
      <c r="AR119" s="61"/>
      <c r="AS119" s="61"/>
      <c r="AT119" s="237"/>
      <c r="AU119" s="110"/>
    </row>
    <row r="120" spans="2:47" ht="13.5" thickBot="1" x14ac:dyDescent="0.25">
      <c r="B120" s="60"/>
      <c r="C120" s="68"/>
      <c r="D120" s="84"/>
      <c r="E120" s="84"/>
      <c r="F120" s="84"/>
      <c r="G120" s="84"/>
      <c r="H120" s="84"/>
      <c r="I120" s="84"/>
      <c r="J120" s="84"/>
      <c r="K120" s="84"/>
      <c r="L120" s="84"/>
      <c r="M120" s="84"/>
      <c r="N120" s="84"/>
      <c r="O120" s="84"/>
      <c r="P120" s="84"/>
      <c r="Q120" s="84"/>
      <c r="R120" s="84"/>
      <c r="S120" s="84"/>
      <c r="T120" s="84"/>
      <c r="U120" s="84"/>
      <c r="V120" s="84"/>
      <c r="W120" s="84"/>
      <c r="X120" s="84"/>
      <c r="Y120" s="84"/>
      <c r="Z120" s="111"/>
      <c r="AB120" s="251"/>
      <c r="AC120" s="241"/>
      <c r="AD120" s="241"/>
      <c r="AE120" s="241"/>
      <c r="AF120" s="241"/>
      <c r="AG120" s="243"/>
      <c r="AH120" s="241"/>
      <c r="AI120" s="241"/>
      <c r="AJ120" s="241"/>
      <c r="AK120" s="241"/>
      <c r="AL120" s="241"/>
      <c r="AM120" s="241"/>
      <c r="AN120" s="251"/>
      <c r="AO120" s="241"/>
      <c r="AP120" s="241"/>
      <c r="AQ120" s="241"/>
      <c r="AR120" s="241"/>
      <c r="AS120" s="241"/>
      <c r="AT120" s="243"/>
      <c r="AU120" s="110"/>
    </row>
    <row r="121" spans="2:47" ht="13.5" thickTop="1" x14ac:dyDescent="0.2">
      <c r="B121" s="60"/>
      <c r="AU121" s="110"/>
    </row>
    <row r="122" spans="2:47" ht="12.95" customHeight="1" x14ac:dyDescent="0.2">
      <c r="B122" s="60"/>
      <c r="L122" s="61"/>
      <c r="M122" s="61"/>
      <c r="N122" s="61"/>
      <c r="O122" s="61"/>
      <c r="P122" s="61"/>
      <c r="Q122" s="61"/>
      <c r="R122" s="61"/>
      <c r="S122" s="61"/>
      <c r="T122" s="61"/>
      <c r="U122" s="61"/>
      <c r="V122" s="61"/>
      <c r="W122" s="61"/>
      <c r="X122" s="61"/>
      <c r="Y122" s="61"/>
      <c r="Z122" s="61"/>
      <c r="AA122" s="61"/>
      <c r="AB122" s="107"/>
      <c r="AC122" s="82"/>
      <c r="AD122" s="82"/>
      <c r="AE122" s="82"/>
      <c r="AF122" s="82"/>
      <c r="AG122" s="82"/>
      <c r="AH122" s="82"/>
      <c r="AI122" s="82"/>
      <c r="AJ122" s="82"/>
      <c r="AK122" s="82"/>
      <c r="AL122" s="82"/>
      <c r="AM122" s="82"/>
      <c r="AN122" s="82"/>
      <c r="AO122" s="82"/>
      <c r="AP122" s="82"/>
      <c r="AQ122" s="82"/>
      <c r="AR122" s="82"/>
      <c r="AS122" s="82"/>
      <c r="AT122" s="109"/>
      <c r="AU122" s="110"/>
    </row>
    <row r="123" spans="2:47" ht="12.95" customHeight="1" x14ac:dyDescent="0.2">
      <c r="B123" s="60"/>
      <c r="L123" s="61"/>
      <c r="M123" s="61"/>
      <c r="N123" s="61"/>
      <c r="O123" s="61"/>
      <c r="P123" s="61"/>
      <c r="Q123" s="61"/>
      <c r="R123" s="61"/>
      <c r="S123" s="61"/>
      <c r="T123" s="61"/>
      <c r="U123" s="61"/>
      <c r="V123" s="61"/>
      <c r="W123" s="61"/>
      <c r="X123" s="61"/>
      <c r="Y123" s="61"/>
      <c r="Z123" s="61"/>
      <c r="AA123" s="61"/>
      <c r="AB123" s="60"/>
      <c r="AC123" s="61"/>
      <c r="AD123" s="61"/>
      <c r="AE123" s="61"/>
      <c r="AF123" s="61"/>
      <c r="AG123" s="61"/>
      <c r="AH123" s="61"/>
      <c r="AI123" s="61"/>
      <c r="AJ123" s="61"/>
      <c r="AK123" s="61"/>
      <c r="AL123" s="61"/>
      <c r="AM123" s="61"/>
      <c r="AN123" s="61"/>
      <c r="AO123" s="61"/>
      <c r="AP123" s="61"/>
      <c r="AQ123" s="61"/>
      <c r="AR123" s="61"/>
      <c r="AS123" s="61"/>
      <c r="AT123" s="110"/>
      <c r="AU123" s="110"/>
    </row>
    <row r="124" spans="2:47" ht="12.95" customHeight="1" x14ac:dyDescent="0.2">
      <c r="B124" s="60"/>
      <c r="L124" s="61"/>
      <c r="M124" s="61"/>
      <c r="N124" s="61"/>
      <c r="O124" s="61"/>
      <c r="P124" s="61"/>
      <c r="Q124" s="61"/>
      <c r="R124" s="61"/>
      <c r="S124" s="61"/>
      <c r="T124" s="61"/>
      <c r="U124" s="61"/>
      <c r="V124" s="61"/>
      <c r="W124" s="61"/>
      <c r="X124" s="61"/>
      <c r="Y124" s="61"/>
      <c r="Z124" s="61"/>
      <c r="AA124" s="61"/>
      <c r="AB124" s="60"/>
      <c r="AC124" s="61"/>
      <c r="AD124" s="61"/>
      <c r="AE124" s="61"/>
      <c r="AF124" s="61"/>
      <c r="AG124" s="61"/>
      <c r="AH124" s="61"/>
      <c r="AI124" s="61"/>
      <c r="AJ124" s="61"/>
      <c r="AK124" s="61"/>
      <c r="AL124" s="61"/>
      <c r="AM124" s="61"/>
      <c r="AN124" s="61"/>
      <c r="AO124" s="61"/>
      <c r="AP124" s="61"/>
      <c r="AQ124" s="61"/>
      <c r="AR124" s="61"/>
      <c r="AS124" s="61"/>
      <c r="AT124" s="110"/>
      <c r="AU124" s="110"/>
    </row>
    <row r="125" spans="2:47" ht="12.95" customHeight="1" x14ac:dyDescent="0.2">
      <c r="B125" s="60"/>
      <c r="L125" s="61"/>
      <c r="M125" s="61"/>
      <c r="N125" s="61"/>
      <c r="O125" s="61"/>
      <c r="P125" s="61"/>
      <c r="Q125" s="61"/>
      <c r="R125" s="61"/>
      <c r="S125" s="61"/>
      <c r="T125" s="61"/>
      <c r="U125" s="61"/>
      <c r="V125" s="61"/>
      <c r="W125" s="61"/>
      <c r="X125" s="61"/>
      <c r="Y125" s="61"/>
      <c r="Z125" s="61"/>
      <c r="AA125" s="61"/>
      <c r="AB125" s="60"/>
      <c r="AC125" s="61"/>
      <c r="AD125" s="61"/>
      <c r="AE125" s="61"/>
      <c r="AF125" s="61"/>
      <c r="AG125" s="61"/>
      <c r="AH125" s="61"/>
      <c r="AI125" s="61"/>
      <c r="AJ125" s="61"/>
      <c r="AK125" s="61"/>
      <c r="AL125" s="61"/>
      <c r="AM125" s="61"/>
      <c r="AN125" s="61"/>
      <c r="AO125" s="61"/>
      <c r="AP125" s="61"/>
      <c r="AQ125" s="61"/>
      <c r="AR125" s="61"/>
      <c r="AS125" s="61"/>
      <c r="AT125" s="110"/>
      <c r="AU125" s="110"/>
    </row>
    <row r="126" spans="2:47" ht="12.95" customHeight="1" x14ac:dyDescent="0.2">
      <c r="B126" s="60"/>
      <c r="L126" s="61"/>
      <c r="M126" s="61"/>
      <c r="N126" s="61"/>
      <c r="O126" s="61"/>
      <c r="P126" s="61"/>
      <c r="Q126" s="61"/>
      <c r="R126" s="61"/>
      <c r="S126" s="61"/>
      <c r="T126" s="61"/>
      <c r="U126" s="61"/>
      <c r="V126" s="61"/>
      <c r="W126" s="61"/>
      <c r="X126" s="61"/>
      <c r="Y126" s="61"/>
      <c r="Z126" s="61"/>
      <c r="AA126" s="61"/>
      <c r="AB126" s="60"/>
      <c r="AC126" s="61"/>
      <c r="AD126" s="61"/>
      <c r="AE126" s="61"/>
      <c r="AF126" s="61"/>
      <c r="AG126" s="61"/>
      <c r="AH126" s="61"/>
      <c r="AI126" s="61"/>
      <c r="AJ126" s="61"/>
      <c r="AK126" s="127"/>
      <c r="AL126" s="127"/>
      <c r="AM126" s="127"/>
      <c r="AN126" s="127"/>
      <c r="AO126" s="127"/>
      <c r="AP126" s="61"/>
      <c r="AQ126" s="61"/>
      <c r="AR126" s="61"/>
      <c r="AS126" s="61"/>
      <c r="AT126" s="110"/>
      <c r="AU126" s="110"/>
    </row>
    <row r="127" spans="2:47" ht="12.95" customHeight="1" x14ac:dyDescent="0.2">
      <c r="B127" s="60"/>
      <c r="L127" s="61"/>
      <c r="M127" s="61"/>
      <c r="N127" s="61"/>
      <c r="O127" s="61"/>
      <c r="P127" s="61"/>
      <c r="Q127" s="61"/>
      <c r="R127" s="61"/>
      <c r="S127" s="61"/>
      <c r="T127" s="61"/>
      <c r="U127" s="61"/>
      <c r="V127" s="61"/>
      <c r="W127" s="61"/>
      <c r="X127" s="61"/>
      <c r="Y127" s="61"/>
      <c r="Z127" s="61"/>
      <c r="AA127" s="61"/>
      <c r="AB127" s="60"/>
      <c r="AC127" s="61"/>
      <c r="AD127" s="61"/>
      <c r="AE127" s="61"/>
      <c r="AF127" s="61"/>
      <c r="AG127" s="61"/>
      <c r="AH127" s="61"/>
      <c r="AI127" s="61"/>
      <c r="AJ127" s="61"/>
      <c r="AK127" s="127"/>
      <c r="AL127" s="127"/>
      <c r="AM127" s="127"/>
      <c r="AN127" s="127"/>
      <c r="AO127" s="127"/>
      <c r="AP127" s="61"/>
      <c r="AQ127" s="61"/>
      <c r="AR127" s="61"/>
      <c r="AS127" s="61"/>
      <c r="AT127" s="110"/>
      <c r="AU127" s="110"/>
    </row>
    <row r="128" spans="2:47" ht="12.95" customHeight="1" x14ac:dyDescent="0.2">
      <c r="B128" s="60"/>
      <c r="L128" s="61"/>
      <c r="M128" s="61"/>
      <c r="N128" s="61"/>
      <c r="O128" s="61"/>
      <c r="P128" s="61"/>
      <c r="Q128" s="61"/>
      <c r="R128" s="61"/>
      <c r="S128" s="61"/>
      <c r="T128" s="61"/>
      <c r="U128" s="61"/>
      <c r="V128" s="61"/>
      <c r="W128" s="61"/>
      <c r="X128" s="61"/>
      <c r="Y128" s="61"/>
      <c r="Z128" s="61"/>
      <c r="AA128" s="61"/>
      <c r="AB128" s="60"/>
      <c r="AC128" s="61"/>
      <c r="AD128" s="61"/>
      <c r="AE128" s="61"/>
      <c r="AF128" s="61"/>
      <c r="AG128" s="61"/>
      <c r="AH128" s="61"/>
      <c r="AI128" s="61"/>
      <c r="AJ128" s="61"/>
      <c r="AK128" s="127"/>
      <c r="AL128" s="127"/>
      <c r="AM128" s="127"/>
      <c r="AN128" s="127"/>
      <c r="AO128" s="127"/>
      <c r="AP128" s="61"/>
      <c r="AQ128" s="61"/>
      <c r="AR128" s="61"/>
      <c r="AS128" s="61"/>
      <c r="AT128" s="110"/>
      <c r="AU128" s="110"/>
    </row>
    <row r="129" spans="2:47" ht="12.95" customHeight="1" x14ac:dyDescent="0.2">
      <c r="B129" s="60"/>
      <c r="L129" s="61"/>
      <c r="M129" s="61"/>
      <c r="N129" s="61"/>
      <c r="O129" s="61"/>
      <c r="P129" s="61"/>
      <c r="Q129" s="61"/>
      <c r="R129" s="61"/>
      <c r="S129" s="61"/>
      <c r="T129" s="61"/>
      <c r="U129" s="61"/>
      <c r="V129" s="61"/>
      <c r="W129" s="61"/>
      <c r="X129" s="61"/>
      <c r="Y129" s="61"/>
      <c r="Z129" s="61"/>
      <c r="AA129" s="61"/>
      <c r="AB129" s="60"/>
      <c r="AC129" s="61"/>
      <c r="AD129" s="61"/>
      <c r="AE129" s="61"/>
      <c r="AF129" s="149"/>
      <c r="AG129" s="61"/>
      <c r="AH129" s="61"/>
      <c r="AI129" s="61"/>
      <c r="AJ129" s="61"/>
      <c r="AK129" s="127"/>
      <c r="AL129" s="127"/>
      <c r="AM129" s="127"/>
      <c r="AN129" s="127"/>
      <c r="AO129" s="127"/>
      <c r="AP129" s="61"/>
      <c r="AQ129" s="61"/>
      <c r="AR129" s="61"/>
      <c r="AS129" s="61"/>
      <c r="AT129" s="110"/>
      <c r="AU129" s="110"/>
    </row>
    <row r="130" spans="2:47" ht="12.95" customHeight="1" x14ac:dyDescent="0.2">
      <c r="B130" s="60"/>
      <c r="L130" s="61"/>
      <c r="M130" s="61"/>
      <c r="N130" s="61"/>
      <c r="O130" s="61"/>
      <c r="P130" s="61"/>
      <c r="Q130" s="61"/>
      <c r="R130" s="61"/>
      <c r="S130" s="61"/>
      <c r="T130" s="61"/>
      <c r="U130" s="61"/>
      <c r="V130" s="61"/>
      <c r="W130" s="61"/>
      <c r="X130" s="61"/>
      <c r="Y130" s="61"/>
      <c r="Z130" s="61"/>
      <c r="AA130" s="61"/>
      <c r="AB130" s="60"/>
      <c r="AC130" s="61"/>
      <c r="AD130" s="61"/>
      <c r="AE130" s="61"/>
      <c r="AF130" s="61"/>
      <c r="AG130" s="61"/>
      <c r="AH130" s="61"/>
      <c r="AI130" s="61"/>
      <c r="AJ130" s="61"/>
      <c r="AK130" s="127"/>
      <c r="AL130" s="127"/>
      <c r="AM130" s="127"/>
      <c r="AN130" s="127"/>
      <c r="AO130" s="127"/>
      <c r="AP130" s="61"/>
      <c r="AQ130" s="61"/>
      <c r="AR130" s="61"/>
      <c r="AS130" s="61"/>
      <c r="AT130" s="110"/>
      <c r="AU130" s="110"/>
    </row>
    <row r="131" spans="2:47" ht="12.95" customHeight="1" x14ac:dyDescent="0.2">
      <c r="B131" s="60"/>
      <c r="L131" s="61"/>
      <c r="M131" s="61"/>
      <c r="N131" s="61"/>
      <c r="O131" s="61"/>
      <c r="P131" s="61"/>
      <c r="Q131" s="61"/>
      <c r="R131" s="61"/>
      <c r="S131" s="61"/>
      <c r="T131" s="61"/>
      <c r="U131" s="61"/>
      <c r="V131" s="61"/>
      <c r="W131" s="61"/>
      <c r="X131" s="61"/>
      <c r="Y131" s="61"/>
      <c r="Z131" s="61"/>
      <c r="AA131" s="61"/>
      <c r="AB131" s="60"/>
      <c r="AC131" s="61"/>
      <c r="AD131" s="61"/>
      <c r="AE131" s="208"/>
      <c r="AF131" s="127"/>
      <c r="AG131" s="127"/>
      <c r="AH131" s="127"/>
      <c r="AI131" s="127"/>
      <c r="AJ131" s="127"/>
      <c r="AK131" s="127"/>
      <c r="AL131" s="127"/>
      <c r="AM131" s="127"/>
      <c r="AN131" s="127"/>
      <c r="AO131" s="127"/>
      <c r="AP131" s="127"/>
      <c r="AQ131" s="127"/>
      <c r="AR131" s="127"/>
      <c r="AS131" s="127"/>
      <c r="AT131" s="128"/>
      <c r="AU131" s="110"/>
    </row>
    <row r="132" spans="2:47" ht="12.95" customHeight="1" x14ac:dyDescent="0.2">
      <c r="B132" s="60"/>
      <c r="L132" s="61"/>
      <c r="M132" s="61"/>
      <c r="N132" s="61"/>
      <c r="O132" s="61"/>
      <c r="P132" s="61"/>
      <c r="Q132" s="61"/>
      <c r="R132" s="61"/>
      <c r="S132" s="61"/>
      <c r="T132" s="61"/>
      <c r="U132" s="61"/>
      <c r="V132" s="61"/>
      <c r="W132" s="61"/>
      <c r="X132" s="61"/>
      <c r="Y132" s="61"/>
      <c r="Z132" s="61"/>
      <c r="AA132" s="61"/>
      <c r="AB132" s="60"/>
      <c r="AC132" s="61"/>
      <c r="AD132" s="61"/>
      <c r="AE132" s="208"/>
      <c r="AF132" s="127"/>
      <c r="AG132" s="127"/>
      <c r="AH132" s="127"/>
      <c r="AI132" s="127"/>
      <c r="AJ132" s="127"/>
      <c r="AK132" s="127"/>
      <c r="AL132" s="127"/>
      <c r="AM132" s="127"/>
      <c r="AN132" s="127"/>
      <c r="AO132" s="127"/>
      <c r="AP132" s="127"/>
      <c r="AQ132" s="127"/>
      <c r="AR132" s="127"/>
      <c r="AS132" s="127"/>
      <c r="AT132" s="128"/>
      <c r="AU132" s="110"/>
    </row>
    <row r="133" spans="2:47" ht="12.95" customHeight="1" x14ac:dyDescent="0.2">
      <c r="B133" s="60"/>
      <c r="L133" s="61"/>
      <c r="M133" s="61"/>
      <c r="N133" s="61"/>
      <c r="O133" s="61"/>
      <c r="P133" s="61"/>
      <c r="Q133" s="61"/>
      <c r="R133" s="61"/>
      <c r="S133" s="61"/>
      <c r="T133" s="61"/>
      <c r="U133" s="61"/>
      <c r="V133" s="61"/>
      <c r="W133" s="61"/>
      <c r="X133" s="61"/>
      <c r="Y133" s="61"/>
      <c r="Z133" s="61"/>
      <c r="AA133" s="61"/>
      <c r="AB133" s="60"/>
      <c r="AC133" s="61"/>
      <c r="AD133" s="61"/>
      <c r="AE133" s="208"/>
      <c r="AF133" s="127"/>
      <c r="AG133" s="127"/>
      <c r="AH133" s="127"/>
      <c r="AI133" s="127"/>
      <c r="AJ133" s="127"/>
      <c r="AK133" s="127"/>
      <c r="AL133" s="127"/>
      <c r="AM133" s="127"/>
      <c r="AN133" s="127"/>
      <c r="AO133" s="127"/>
      <c r="AP133" s="127"/>
      <c r="AQ133" s="127"/>
      <c r="AR133" s="127"/>
      <c r="AS133" s="127"/>
      <c r="AT133" s="128"/>
      <c r="AU133" s="110"/>
    </row>
    <row r="134" spans="2:47" ht="12.95" customHeight="1" x14ac:dyDescent="0.2">
      <c r="B134" s="60"/>
      <c r="L134" s="61"/>
      <c r="M134" s="61"/>
      <c r="N134" s="61"/>
      <c r="O134" s="61"/>
      <c r="P134" s="61"/>
      <c r="Q134" s="61"/>
      <c r="R134" s="61"/>
      <c r="S134" s="61"/>
      <c r="T134" s="61"/>
      <c r="U134" s="61"/>
      <c r="V134" s="61"/>
      <c r="W134" s="61"/>
      <c r="X134" s="61"/>
      <c r="Y134" s="61"/>
      <c r="Z134" s="61"/>
      <c r="AA134" s="61"/>
      <c r="AB134" s="60"/>
      <c r="AC134" s="61"/>
      <c r="AD134" s="61"/>
      <c r="AE134" s="208"/>
      <c r="AF134" s="127"/>
      <c r="AG134" s="127"/>
      <c r="AH134" s="127"/>
      <c r="AI134" s="127"/>
      <c r="AJ134" s="127"/>
      <c r="AK134" s="127"/>
      <c r="AL134" s="127"/>
      <c r="AM134" s="127"/>
      <c r="AN134" s="127"/>
      <c r="AO134" s="127"/>
      <c r="AP134" s="127"/>
      <c r="AQ134" s="127"/>
      <c r="AR134" s="127"/>
      <c r="AS134" s="127"/>
      <c r="AT134" s="128"/>
      <c r="AU134" s="110"/>
    </row>
    <row r="135" spans="2:47" ht="18.75" customHeight="1" x14ac:dyDescent="0.2">
      <c r="B135" s="60"/>
      <c r="L135" s="61"/>
      <c r="M135" s="61"/>
      <c r="N135" s="61"/>
      <c r="O135" s="61"/>
      <c r="P135" s="61"/>
      <c r="Q135" s="61"/>
      <c r="R135" s="61"/>
      <c r="S135" s="61"/>
      <c r="T135" s="61"/>
      <c r="U135" s="61"/>
      <c r="V135" s="61"/>
      <c r="W135" s="61"/>
      <c r="X135" s="61"/>
      <c r="Y135" s="61"/>
      <c r="Z135" s="61"/>
      <c r="AA135" s="61"/>
      <c r="AB135" s="68"/>
      <c r="AC135" s="84"/>
      <c r="AD135" s="84"/>
      <c r="AE135" s="264"/>
      <c r="AF135" s="131"/>
      <c r="AG135" s="131"/>
      <c r="AH135" s="131"/>
      <c r="AI135" s="131"/>
      <c r="AJ135" s="131"/>
      <c r="AK135" s="131"/>
      <c r="AL135" s="131"/>
      <c r="AM135" s="131"/>
      <c r="AN135" s="131"/>
      <c r="AO135" s="131"/>
      <c r="AP135" s="131"/>
      <c r="AQ135" s="131"/>
      <c r="AR135" s="131"/>
      <c r="AS135" s="131"/>
      <c r="AT135" s="132"/>
      <c r="AU135" s="110"/>
    </row>
    <row r="136" spans="2:47" x14ac:dyDescent="0.2">
      <c r="B136" s="68"/>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111"/>
    </row>
    <row r="137" spans="2:47" x14ac:dyDescent="0.2">
      <c r="AE137" s="204"/>
      <c r="AF137" s="127"/>
      <c r="AG137" s="127"/>
      <c r="AH137" s="127"/>
      <c r="AI137" s="127"/>
      <c r="AJ137" s="127"/>
      <c r="AK137" s="127"/>
      <c r="AL137" s="127"/>
      <c r="AM137" s="127"/>
      <c r="AN137" s="127"/>
      <c r="AO137" s="127"/>
      <c r="AP137" s="127"/>
      <c r="AQ137" s="127"/>
      <c r="AR137" s="127"/>
      <c r="AS137" s="127"/>
      <c r="AT137" s="127"/>
    </row>
    <row r="138" spans="2:47" x14ac:dyDescent="0.2">
      <c r="AE138" s="204"/>
      <c r="AF138" s="127"/>
      <c r="AG138" s="127"/>
      <c r="AH138" s="127"/>
      <c r="AI138" s="127"/>
      <c r="AJ138" s="127"/>
      <c r="AK138" s="127"/>
      <c r="AL138" s="127"/>
      <c r="AM138" s="127"/>
      <c r="AN138" s="127"/>
      <c r="AO138" s="127"/>
      <c r="AP138" s="127"/>
      <c r="AQ138" s="127"/>
      <c r="AR138" s="127"/>
      <c r="AS138" s="127"/>
      <c r="AT138" s="127"/>
    </row>
    <row r="139" spans="2:47" x14ac:dyDescent="0.2">
      <c r="AE139" s="204"/>
      <c r="AF139" s="127"/>
      <c r="AG139" s="127"/>
      <c r="AH139" s="127"/>
      <c r="AI139" s="127"/>
      <c r="AJ139" s="127"/>
      <c r="AK139" s="127"/>
      <c r="AL139" s="127"/>
      <c r="AM139" s="127"/>
      <c r="AN139" s="127"/>
      <c r="AO139" s="127"/>
      <c r="AP139" s="127"/>
      <c r="AQ139" s="127"/>
      <c r="AR139" s="127"/>
      <c r="AS139" s="127"/>
      <c r="AT139" s="127"/>
    </row>
    <row r="140" spans="2:47" x14ac:dyDescent="0.2">
      <c r="AE140" s="204"/>
      <c r="AF140" s="127"/>
      <c r="AG140" s="127"/>
      <c r="AH140" s="127"/>
      <c r="AI140" s="127"/>
      <c r="AJ140" s="127"/>
      <c r="AK140" s="127"/>
      <c r="AL140" s="127"/>
      <c r="AM140" s="127"/>
      <c r="AN140" s="127"/>
      <c r="AO140" s="127"/>
      <c r="AP140" s="127"/>
      <c r="AQ140" s="127"/>
      <c r="AR140" s="127"/>
      <c r="AS140" s="127"/>
      <c r="AT140" s="127"/>
    </row>
    <row r="141" spans="2:47" x14ac:dyDescent="0.2">
      <c r="AE141" s="204"/>
      <c r="AF141" s="127"/>
      <c r="AG141" s="127"/>
      <c r="AH141" s="127"/>
      <c r="AI141" s="127"/>
      <c r="AJ141" s="127"/>
      <c r="AK141" s="127"/>
      <c r="AL141" s="127"/>
      <c r="AM141" s="127"/>
      <c r="AN141" s="127"/>
      <c r="AO141" s="127"/>
      <c r="AP141" s="127"/>
      <c r="AQ141" s="127"/>
      <c r="AR141" s="127"/>
      <c r="AS141" s="127"/>
      <c r="AT141" s="127"/>
    </row>
    <row r="142" spans="2:47" x14ac:dyDescent="0.2">
      <c r="AE142" s="204"/>
      <c r="AF142" s="127"/>
      <c r="AG142" s="127"/>
      <c r="AH142" s="127"/>
      <c r="AI142" s="127"/>
      <c r="AJ142" s="127"/>
      <c r="AK142" s="127"/>
      <c r="AL142" s="127"/>
      <c r="AM142" s="127"/>
      <c r="AN142" s="127"/>
      <c r="AO142" s="127"/>
      <c r="AP142" s="127"/>
      <c r="AQ142" s="127"/>
      <c r="AR142" s="127"/>
      <c r="AS142" s="127"/>
      <c r="AT142" s="127"/>
    </row>
    <row r="143" spans="2:47" ht="15" customHeight="1" x14ac:dyDescent="0.2">
      <c r="X143" s="127"/>
      <c r="Y143" s="127"/>
      <c r="AE143" s="204"/>
      <c r="AF143" s="127"/>
      <c r="AG143" s="127"/>
      <c r="AH143" s="127"/>
      <c r="AI143" s="127"/>
      <c r="AJ143" s="127"/>
      <c r="AK143" s="127"/>
      <c r="AL143" s="127"/>
      <c r="AM143" s="127"/>
      <c r="AN143" s="127"/>
      <c r="AO143" s="127"/>
      <c r="AP143" s="127"/>
      <c r="AQ143" s="127"/>
      <c r="AR143" s="127"/>
      <c r="AS143" s="127"/>
      <c r="AT143" s="127"/>
    </row>
    <row r="144" spans="2:47" x14ac:dyDescent="0.2">
      <c r="AE144" s="204"/>
      <c r="AG144" s="127"/>
      <c r="AH144" s="127"/>
      <c r="AI144" s="127"/>
      <c r="AJ144" s="127"/>
      <c r="AK144" s="127"/>
      <c r="AL144" s="127"/>
      <c r="AM144" s="127"/>
      <c r="AN144" s="127"/>
      <c r="AO144" s="127"/>
    </row>
    <row r="145" spans="24:47" x14ac:dyDescent="0.2">
      <c r="AE145" s="204"/>
      <c r="AF145" s="127"/>
      <c r="AG145" s="127"/>
      <c r="AH145" s="127"/>
      <c r="AI145" s="127"/>
      <c r="AJ145" s="127"/>
      <c r="AK145" s="127"/>
      <c r="AL145" s="127"/>
      <c r="AM145" s="127"/>
      <c r="AN145" s="127"/>
      <c r="AO145" s="127"/>
      <c r="AP145" s="127"/>
      <c r="AQ145" s="127"/>
      <c r="AR145" s="127"/>
      <c r="AS145" s="127"/>
      <c r="AT145" s="127"/>
    </row>
    <row r="146" spans="24:47" x14ac:dyDescent="0.2">
      <c r="AE146" s="204"/>
      <c r="AF146" s="127"/>
      <c r="AG146" s="127"/>
      <c r="AH146" s="127"/>
      <c r="AI146" s="127"/>
      <c r="AJ146" s="127"/>
      <c r="AK146" s="127"/>
      <c r="AL146" s="127"/>
      <c r="AM146" s="127"/>
      <c r="AN146" s="127"/>
      <c r="AO146" s="127"/>
      <c r="AP146" s="127"/>
      <c r="AQ146" s="127"/>
      <c r="AR146" s="127"/>
      <c r="AS146" s="127"/>
      <c r="AT146" s="127"/>
      <c r="AU146" s="205"/>
    </row>
    <row r="147" spans="24:47" x14ac:dyDescent="0.2">
      <c r="AE147" s="204"/>
      <c r="AF147" s="127"/>
      <c r="AG147" s="127"/>
      <c r="AH147" s="127"/>
      <c r="AI147" s="127"/>
      <c r="AJ147" s="127"/>
      <c r="AK147" s="127"/>
      <c r="AL147" s="127"/>
      <c r="AM147" s="127"/>
      <c r="AN147" s="127"/>
      <c r="AO147" s="127"/>
      <c r="AP147" s="127"/>
      <c r="AQ147" s="127"/>
      <c r="AR147" s="127"/>
      <c r="AS147" s="127"/>
      <c r="AT147" s="127"/>
      <c r="AU147" s="205"/>
    </row>
    <row r="148" spans="24:47" x14ac:dyDescent="0.2">
      <c r="AE148" s="204"/>
      <c r="AF148" s="127"/>
      <c r="AG148" s="127"/>
      <c r="AH148" s="127"/>
      <c r="AI148" s="127"/>
      <c r="AJ148" s="127"/>
      <c r="AK148" s="127"/>
      <c r="AL148" s="127"/>
      <c r="AM148" s="127"/>
      <c r="AN148" s="127"/>
      <c r="AO148" s="127"/>
      <c r="AP148" s="127"/>
      <c r="AQ148" s="127"/>
      <c r="AR148" s="127"/>
      <c r="AS148" s="127"/>
      <c r="AT148" s="127"/>
      <c r="AU148" s="205"/>
    </row>
    <row r="149" spans="24:47" x14ac:dyDescent="0.2">
      <c r="AE149" s="204"/>
      <c r="AF149" s="127"/>
      <c r="AG149" s="127"/>
      <c r="AH149" s="127"/>
      <c r="AI149" s="127"/>
      <c r="AJ149" s="127"/>
      <c r="AK149" s="127"/>
      <c r="AL149" s="127"/>
      <c r="AM149" s="127"/>
      <c r="AN149" s="127"/>
      <c r="AO149" s="127"/>
      <c r="AP149" s="127"/>
      <c r="AQ149" s="127"/>
      <c r="AR149" s="127"/>
      <c r="AS149" s="127"/>
      <c r="AT149" s="127"/>
      <c r="AU149" s="205"/>
    </row>
    <row r="150" spans="24:47" x14ac:dyDescent="0.2">
      <c r="AE150" s="204"/>
      <c r="AF150" s="127"/>
      <c r="AG150" s="127"/>
      <c r="AH150" s="127"/>
      <c r="AI150" s="127"/>
      <c r="AJ150" s="127"/>
      <c r="AK150" s="127"/>
      <c r="AL150" s="127"/>
      <c r="AM150" s="127"/>
      <c r="AN150" s="127"/>
      <c r="AO150" s="127"/>
      <c r="AP150" s="127"/>
      <c r="AQ150" s="127"/>
      <c r="AR150" s="127"/>
      <c r="AS150" s="127"/>
      <c r="AT150" s="127"/>
      <c r="AU150" s="205"/>
    </row>
    <row r="151" spans="24:47" x14ac:dyDescent="0.2">
      <c r="AE151" s="204"/>
      <c r="AF151" s="127"/>
      <c r="AG151" s="127"/>
      <c r="AH151" s="127"/>
      <c r="AI151" s="127"/>
      <c r="AJ151" s="127"/>
      <c r="AK151" s="127"/>
      <c r="AL151" s="127"/>
      <c r="AM151" s="127"/>
      <c r="AN151" s="127"/>
      <c r="AO151" s="127"/>
      <c r="AP151" s="127"/>
      <c r="AQ151" s="127"/>
      <c r="AR151" s="127"/>
      <c r="AS151" s="127"/>
      <c r="AT151" s="127"/>
      <c r="AU151" s="205"/>
    </row>
    <row r="152" spans="24:47" x14ac:dyDescent="0.2">
      <c r="AE152" s="204"/>
      <c r="AF152" s="127"/>
      <c r="AG152" s="127"/>
      <c r="AH152" s="127"/>
      <c r="AI152" s="127"/>
      <c r="AJ152" s="127"/>
      <c r="AK152" s="127"/>
      <c r="AL152" s="127"/>
      <c r="AM152" s="127"/>
      <c r="AN152" s="127"/>
      <c r="AO152" s="127"/>
      <c r="AP152" s="127"/>
      <c r="AQ152" s="127"/>
      <c r="AR152" s="127"/>
      <c r="AS152" s="127"/>
      <c r="AT152" s="127"/>
      <c r="AU152" s="205"/>
    </row>
    <row r="153" spans="24:47" x14ac:dyDescent="0.2">
      <c r="AE153" s="204"/>
      <c r="AF153" s="127"/>
      <c r="AG153" s="127"/>
      <c r="AH153" s="127"/>
      <c r="AI153" s="127"/>
      <c r="AJ153" s="127"/>
      <c r="AK153" s="127"/>
      <c r="AL153" s="127"/>
      <c r="AM153" s="127"/>
      <c r="AN153" s="127"/>
      <c r="AO153" s="127"/>
      <c r="AP153" s="127"/>
      <c r="AQ153" s="127"/>
      <c r="AR153" s="127"/>
      <c r="AS153" s="127"/>
      <c r="AT153" s="127"/>
      <c r="AU153" s="205"/>
    </row>
    <row r="154" spans="24:47" x14ac:dyDescent="0.2">
      <c r="AE154" s="204"/>
      <c r="AF154" s="127"/>
      <c r="AG154" s="127"/>
      <c r="AH154" s="127"/>
      <c r="AI154" s="127"/>
      <c r="AJ154" s="127"/>
      <c r="AK154" s="127"/>
      <c r="AL154" s="127"/>
      <c r="AM154" s="127"/>
      <c r="AN154" s="127"/>
      <c r="AO154" s="127"/>
      <c r="AP154" s="127"/>
      <c r="AQ154" s="127"/>
      <c r="AR154" s="127"/>
      <c r="AS154" s="127"/>
      <c r="AT154" s="127"/>
      <c r="AU154" s="205"/>
    </row>
    <row r="155" spans="24:47" x14ac:dyDescent="0.2">
      <c r="AE155" s="204"/>
      <c r="AF155" s="127"/>
      <c r="AG155" s="127"/>
      <c r="AH155" s="127"/>
      <c r="AI155" s="127"/>
      <c r="AJ155" s="127"/>
      <c r="AK155" s="127"/>
      <c r="AL155" s="127"/>
      <c r="AM155" s="127"/>
      <c r="AN155" s="127"/>
      <c r="AO155" s="127"/>
      <c r="AP155" s="127"/>
      <c r="AQ155" s="127"/>
      <c r="AR155" s="127"/>
      <c r="AS155" s="127"/>
      <c r="AT155" s="127"/>
      <c r="AU155" s="205"/>
    </row>
    <row r="156" spans="24:47" x14ac:dyDescent="0.2">
      <c r="AE156" s="204"/>
      <c r="AF156" s="127"/>
      <c r="AG156" s="127"/>
      <c r="AH156" s="127"/>
      <c r="AI156" s="127"/>
      <c r="AJ156" s="127"/>
      <c r="AK156" s="127"/>
      <c r="AL156" s="127"/>
      <c r="AM156" s="127"/>
      <c r="AN156" s="127"/>
      <c r="AO156" s="127"/>
      <c r="AP156" s="127"/>
      <c r="AQ156" s="127"/>
      <c r="AR156" s="127"/>
      <c r="AS156" s="127"/>
      <c r="AT156" s="127"/>
      <c r="AU156" s="205"/>
    </row>
    <row r="157" spans="24:47" x14ac:dyDescent="0.2">
      <c r="AE157" s="204"/>
      <c r="AF157" s="127"/>
      <c r="AG157" s="127"/>
      <c r="AH157" s="127"/>
      <c r="AI157" s="127"/>
      <c r="AJ157" s="127"/>
      <c r="AK157" s="127"/>
      <c r="AL157" s="127"/>
      <c r="AM157" s="127"/>
      <c r="AN157" s="127"/>
      <c r="AO157" s="127"/>
      <c r="AP157" s="127"/>
      <c r="AQ157" s="127"/>
      <c r="AR157" s="127"/>
      <c r="AS157" s="127"/>
      <c r="AT157" s="127"/>
      <c r="AU157" s="205"/>
    </row>
    <row r="158" spans="24:47" ht="15" customHeight="1" x14ac:dyDescent="0.2">
      <c r="X158" s="127"/>
      <c r="Y158" s="127"/>
      <c r="AE158" s="204"/>
      <c r="AF158" s="205"/>
      <c r="AG158" s="205"/>
      <c r="AH158" s="205"/>
      <c r="AI158" s="205"/>
      <c r="AJ158" s="205"/>
      <c r="AK158" s="205"/>
      <c r="AL158" s="205"/>
      <c r="AM158" s="205"/>
      <c r="AN158" s="205"/>
      <c r="AO158" s="205"/>
      <c r="AP158" s="205"/>
      <c r="AQ158" s="205"/>
      <c r="AR158" s="205"/>
      <c r="AS158" s="205"/>
      <c r="AT158" s="205"/>
      <c r="AU158" s="205"/>
    </row>
    <row r="159" spans="24:47" x14ac:dyDescent="0.2">
      <c r="AE159" s="204"/>
      <c r="AF159" s="127"/>
      <c r="AG159" s="127"/>
      <c r="AH159" s="127"/>
      <c r="AI159" s="127"/>
      <c r="AJ159" s="127"/>
      <c r="AK159" s="127"/>
      <c r="AL159" s="127"/>
      <c r="AM159" s="127"/>
      <c r="AN159" s="127"/>
      <c r="AO159" s="127"/>
      <c r="AP159" s="127"/>
      <c r="AQ159" s="127"/>
      <c r="AR159" s="127"/>
      <c r="AS159" s="127"/>
      <c r="AT159" s="127"/>
      <c r="AU159" s="205"/>
    </row>
    <row r="160" spans="24:47" x14ac:dyDescent="0.2">
      <c r="AE160" s="204"/>
      <c r="AF160" s="127"/>
      <c r="AG160" s="127"/>
      <c r="AH160" s="127"/>
      <c r="AI160" s="127"/>
      <c r="AJ160" s="127"/>
      <c r="AK160" s="127"/>
      <c r="AL160" s="127"/>
      <c r="AM160" s="127"/>
      <c r="AN160" s="127"/>
      <c r="AO160" s="127"/>
      <c r="AP160" s="127"/>
      <c r="AQ160" s="127"/>
      <c r="AR160" s="127"/>
      <c r="AS160" s="127"/>
      <c r="AT160" s="127"/>
      <c r="AU160" s="205"/>
    </row>
    <row r="161" spans="24:47" x14ac:dyDescent="0.2">
      <c r="AE161" s="204"/>
      <c r="AF161" s="127"/>
      <c r="AG161" s="127"/>
      <c r="AH161" s="127"/>
      <c r="AI161" s="127"/>
      <c r="AJ161" s="127"/>
      <c r="AK161" s="127"/>
      <c r="AL161" s="127"/>
      <c r="AM161" s="127"/>
      <c r="AN161" s="127"/>
      <c r="AO161" s="127"/>
      <c r="AP161" s="127"/>
      <c r="AQ161" s="127"/>
      <c r="AR161" s="127"/>
      <c r="AS161" s="127"/>
      <c r="AT161" s="127"/>
      <c r="AU161" s="205"/>
    </row>
    <row r="162" spans="24:47" x14ac:dyDescent="0.2">
      <c r="AE162" s="204"/>
      <c r="AF162" s="127"/>
      <c r="AG162" s="127"/>
      <c r="AH162" s="127"/>
      <c r="AI162" s="127"/>
      <c r="AJ162" s="127"/>
      <c r="AK162" s="127"/>
      <c r="AL162" s="127"/>
      <c r="AM162" s="127"/>
      <c r="AN162" s="127"/>
      <c r="AO162" s="127"/>
      <c r="AP162" s="127"/>
      <c r="AQ162" s="127"/>
      <c r="AR162" s="127"/>
      <c r="AS162" s="127"/>
      <c r="AT162" s="127"/>
      <c r="AU162" s="205"/>
    </row>
    <row r="163" spans="24:47" x14ac:dyDescent="0.2">
      <c r="AE163" s="204"/>
      <c r="AF163" s="127"/>
      <c r="AG163" s="127"/>
      <c r="AH163" s="127"/>
      <c r="AI163" s="127"/>
      <c r="AJ163" s="127"/>
      <c r="AK163" s="127"/>
      <c r="AL163" s="127"/>
      <c r="AM163" s="127"/>
      <c r="AN163" s="127"/>
      <c r="AO163" s="127"/>
      <c r="AP163" s="127"/>
      <c r="AQ163" s="127"/>
      <c r="AR163" s="127"/>
      <c r="AS163" s="127"/>
      <c r="AT163" s="127"/>
      <c r="AU163" s="205"/>
    </row>
    <row r="164" spans="24:47" x14ac:dyDescent="0.2">
      <c r="AE164" s="204"/>
      <c r="AF164" s="127"/>
      <c r="AG164" s="127"/>
      <c r="AH164" s="127"/>
      <c r="AI164" s="127"/>
      <c r="AJ164" s="127"/>
      <c r="AK164" s="127"/>
      <c r="AL164" s="127"/>
      <c r="AM164" s="127"/>
      <c r="AN164" s="127"/>
      <c r="AO164" s="127"/>
      <c r="AP164" s="127"/>
      <c r="AQ164" s="127"/>
      <c r="AR164" s="127"/>
      <c r="AS164" s="127"/>
      <c r="AT164" s="127"/>
      <c r="AU164" s="205"/>
    </row>
    <row r="165" spans="24:47" x14ac:dyDescent="0.2">
      <c r="AE165" s="204"/>
      <c r="AF165" s="127"/>
      <c r="AG165" s="127"/>
      <c r="AH165" s="127"/>
      <c r="AI165" s="127"/>
      <c r="AJ165" s="127"/>
      <c r="AK165" s="127"/>
      <c r="AL165" s="127"/>
      <c r="AM165" s="127"/>
      <c r="AN165" s="127"/>
      <c r="AO165" s="127"/>
      <c r="AP165" s="127"/>
      <c r="AQ165" s="127"/>
      <c r="AR165" s="127"/>
      <c r="AS165" s="127"/>
      <c r="AT165" s="127"/>
      <c r="AU165" s="205"/>
    </row>
    <row r="166" spans="24:47" x14ac:dyDescent="0.2">
      <c r="AE166" s="204"/>
      <c r="AF166" s="127"/>
      <c r="AG166" s="127"/>
      <c r="AH166" s="127"/>
      <c r="AI166" s="127"/>
      <c r="AJ166" s="127"/>
      <c r="AK166" s="127"/>
      <c r="AL166" s="127"/>
      <c r="AM166" s="127"/>
      <c r="AN166" s="127"/>
      <c r="AO166" s="127"/>
      <c r="AP166" s="127"/>
      <c r="AQ166" s="127"/>
      <c r="AR166" s="127"/>
      <c r="AS166" s="127"/>
      <c r="AT166" s="127"/>
    </row>
    <row r="167" spans="24:47" x14ac:dyDescent="0.2">
      <c r="AE167" s="204"/>
      <c r="AF167" s="127"/>
      <c r="AG167" s="127"/>
      <c r="AH167" s="127"/>
      <c r="AI167" s="127"/>
      <c r="AJ167" s="127"/>
      <c r="AK167" s="127"/>
      <c r="AL167" s="127"/>
      <c r="AM167" s="127"/>
      <c r="AN167" s="127"/>
      <c r="AO167" s="127"/>
      <c r="AP167" s="127"/>
      <c r="AQ167" s="127"/>
      <c r="AR167" s="127"/>
      <c r="AS167" s="127"/>
      <c r="AT167" s="127"/>
    </row>
    <row r="168" spans="24:47" x14ac:dyDescent="0.2">
      <c r="AE168" s="204"/>
      <c r="AF168" s="127"/>
      <c r="AG168" s="127"/>
      <c r="AH168" s="127"/>
      <c r="AI168" s="127"/>
      <c r="AJ168" s="127"/>
      <c r="AK168" s="127"/>
      <c r="AL168" s="127"/>
      <c r="AM168" s="127"/>
      <c r="AN168" s="127"/>
      <c r="AO168" s="127"/>
      <c r="AP168" s="127"/>
      <c r="AQ168" s="127"/>
      <c r="AR168" s="127"/>
      <c r="AS168" s="127"/>
      <c r="AT168" s="127"/>
    </row>
    <row r="169" spans="24:47" x14ac:dyDescent="0.2">
      <c r="AE169" s="204"/>
      <c r="AF169" s="127"/>
      <c r="AG169" s="127"/>
      <c r="AH169" s="127"/>
      <c r="AI169" s="127"/>
      <c r="AJ169" s="127"/>
      <c r="AK169" s="127"/>
      <c r="AL169" s="127"/>
      <c r="AM169" s="127"/>
      <c r="AN169" s="127"/>
      <c r="AO169" s="127"/>
      <c r="AP169" s="127"/>
      <c r="AQ169" s="127"/>
      <c r="AR169" s="127"/>
      <c r="AS169" s="127"/>
      <c r="AT169" s="127"/>
    </row>
    <row r="170" spans="24:47" x14ac:dyDescent="0.2">
      <c r="AE170" s="204"/>
      <c r="AF170" s="127"/>
      <c r="AG170" s="127"/>
      <c r="AH170" s="127"/>
      <c r="AI170" s="127"/>
      <c r="AJ170" s="127"/>
      <c r="AK170" s="127"/>
      <c r="AL170" s="127"/>
      <c r="AM170" s="127"/>
      <c r="AN170" s="127"/>
      <c r="AO170" s="127"/>
      <c r="AP170" s="127"/>
      <c r="AQ170" s="127"/>
      <c r="AR170" s="127"/>
      <c r="AS170" s="127"/>
      <c r="AT170" s="127"/>
    </row>
    <row r="171" spans="24:47" x14ac:dyDescent="0.2">
      <c r="AE171" s="204"/>
      <c r="AF171" s="127"/>
      <c r="AG171" s="127"/>
      <c r="AH171" s="127"/>
      <c r="AI171" s="127"/>
      <c r="AJ171" s="127"/>
      <c r="AK171" s="127"/>
      <c r="AL171" s="127"/>
      <c r="AM171" s="127"/>
      <c r="AN171" s="127"/>
      <c r="AO171" s="127"/>
      <c r="AP171" s="127"/>
      <c r="AQ171" s="127"/>
      <c r="AR171" s="127"/>
      <c r="AS171" s="127"/>
      <c r="AT171" s="127"/>
    </row>
    <row r="172" spans="24:47" x14ac:dyDescent="0.2">
      <c r="AE172" s="204"/>
      <c r="AG172" s="127"/>
      <c r="AH172" s="127"/>
      <c r="AI172" s="127"/>
      <c r="AJ172" s="127"/>
      <c r="AK172" s="127"/>
      <c r="AL172" s="127"/>
      <c r="AM172" s="127"/>
      <c r="AN172" s="127"/>
    </row>
    <row r="173" spans="24:47" ht="15" customHeight="1" x14ac:dyDescent="0.2">
      <c r="X173" s="127"/>
      <c r="Y173" s="127"/>
      <c r="AE173" s="204"/>
      <c r="AF173" s="127"/>
      <c r="AG173" s="127"/>
      <c r="AH173" s="127"/>
      <c r="AI173" s="127"/>
      <c r="AJ173" s="127"/>
      <c r="AK173" s="127"/>
      <c r="AL173" s="127"/>
      <c r="AM173" s="127"/>
      <c r="AN173" s="127"/>
      <c r="AO173" s="127"/>
      <c r="AP173" s="127"/>
      <c r="AQ173" s="127"/>
      <c r="AR173" s="127"/>
      <c r="AS173" s="127"/>
      <c r="AT173" s="127"/>
    </row>
    <row r="174" spans="24:47" x14ac:dyDescent="0.2">
      <c r="AE174" s="204"/>
      <c r="AF174" s="127"/>
      <c r="AG174" s="127"/>
      <c r="AH174" s="127"/>
      <c r="AI174" s="127"/>
      <c r="AJ174" s="127"/>
      <c r="AK174" s="127"/>
      <c r="AL174" s="127"/>
      <c r="AM174" s="127"/>
      <c r="AN174" s="127"/>
      <c r="AO174" s="127"/>
      <c r="AP174" s="127"/>
      <c r="AQ174" s="127"/>
      <c r="AR174" s="127"/>
      <c r="AS174" s="127"/>
      <c r="AT174" s="127"/>
    </row>
    <row r="175" spans="24:47" x14ac:dyDescent="0.2">
      <c r="AE175" s="204"/>
      <c r="AF175" s="127"/>
      <c r="AG175" s="127"/>
      <c r="AH175" s="127"/>
      <c r="AI175" s="127"/>
      <c r="AJ175" s="127"/>
      <c r="AK175" s="127"/>
      <c r="AL175" s="127"/>
      <c r="AM175" s="127"/>
      <c r="AN175" s="127"/>
      <c r="AO175" s="127"/>
      <c r="AP175" s="127"/>
      <c r="AQ175" s="127"/>
      <c r="AR175" s="127"/>
      <c r="AS175" s="127"/>
      <c r="AT175" s="127"/>
    </row>
    <row r="176" spans="24:47" x14ac:dyDescent="0.2">
      <c r="AE176" s="204"/>
      <c r="AF176" s="127"/>
      <c r="AG176" s="127"/>
      <c r="AH176" s="127"/>
      <c r="AI176" s="127"/>
      <c r="AJ176" s="127"/>
      <c r="AK176" s="127"/>
      <c r="AL176" s="127"/>
      <c r="AM176" s="127"/>
      <c r="AN176" s="127"/>
      <c r="AO176" s="127"/>
      <c r="AP176" s="127"/>
      <c r="AQ176" s="127"/>
      <c r="AR176" s="127"/>
      <c r="AS176" s="127"/>
      <c r="AT176" s="127"/>
    </row>
    <row r="177" spans="31:46" x14ac:dyDescent="0.2">
      <c r="AE177" s="204"/>
      <c r="AF177" s="127"/>
      <c r="AG177" s="127"/>
      <c r="AH177" s="127"/>
      <c r="AI177" s="127"/>
      <c r="AJ177" s="127"/>
      <c r="AK177" s="127"/>
      <c r="AL177" s="127"/>
      <c r="AM177" s="127"/>
      <c r="AN177" s="127"/>
      <c r="AO177" s="127"/>
      <c r="AP177" s="127"/>
      <c r="AQ177" s="127"/>
      <c r="AR177" s="127"/>
      <c r="AS177" s="127"/>
      <c r="AT177" s="127"/>
    </row>
    <row r="178" spans="31:46" x14ac:dyDescent="0.2">
      <c r="AE178" s="204"/>
      <c r="AF178" s="127"/>
      <c r="AG178" s="127"/>
      <c r="AH178" s="127"/>
      <c r="AI178" s="127"/>
      <c r="AJ178" s="127"/>
      <c r="AK178" s="127"/>
      <c r="AL178" s="127"/>
      <c r="AM178" s="127"/>
      <c r="AN178" s="127"/>
      <c r="AO178" s="127"/>
      <c r="AP178" s="127"/>
      <c r="AQ178" s="127"/>
      <c r="AR178" s="127"/>
      <c r="AS178" s="127"/>
      <c r="AT178" s="127"/>
    </row>
    <row r="179" spans="31:46" x14ac:dyDescent="0.2">
      <c r="AE179" s="204"/>
      <c r="AF179" s="127"/>
      <c r="AG179" s="127"/>
      <c r="AH179" s="127"/>
      <c r="AI179" s="127"/>
      <c r="AJ179" s="127"/>
      <c r="AK179" s="127"/>
      <c r="AL179" s="127"/>
      <c r="AM179" s="127"/>
      <c r="AN179" s="127"/>
      <c r="AO179" s="127"/>
      <c r="AP179" s="127"/>
      <c r="AQ179" s="127"/>
      <c r="AR179" s="127"/>
      <c r="AS179" s="127"/>
      <c r="AT179" s="127"/>
    </row>
    <row r="180" spans="31:46" x14ac:dyDescent="0.2">
      <c r="AE180" s="204"/>
      <c r="AF180" s="127"/>
      <c r="AG180" s="127"/>
      <c r="AH180" s="127"/>
      <c r="AI180" s="127"/>
      <c r="AJ180" s="127"/>
      <c r="AK180" s="127"/>
      <c r="AL180" s="127"/>
      <c r="AM180" s="127"/>
      <c r="AN180" s="127"/>
      <c r="AO180" s="127"/>
      <c r="AP180" s="127"/>
      <c r="AQ180" s="127"/>
      <c r="AR180" s="127"/>
      <c r="AS180" s="127"/>
      <c r="AT180" s="127"/>
    </row>
    <row r="181" spans="31:46" x14ac:dyDescent="0.2">
      <c r="AE181" s="204"/>
      <c r="AF181" s="127"/>
      <c r="AG181" s="127"/>
      <c r="AH181" s="127"/>
      <c r="AI181" s="127"/>
      <c r="AJ181" s="127"/>
      <c r="AK181" s="127"/>
      <c r="AL181" s="127"/>
      <c r="AM181" s="127"/>
      <c r="AN181" s="127"/>
      <c r="AO181" s="127"/>
      <c r="AP181" s="127"/>
      <c r="AQ181" s="127"/>
      <c r="AR181" s="127"/>
      <c r="AS181" s="127"/>
      <c r="AT181" s="127"/>
    </row>
    <row r="182" spans="31:46" x14ac:dyDescent="0.2">
      <c r="AE182" s="204"/>
      <c r="AF182" s="127"/>
      <c r="AG182" s="127"/>
      <c r="AH182" s="127"/>
      <c r="AI182" s="127"/>
      <c r="AJ182" s="127"/>
      <c r="AK182" s="127"/>
      <c r="AL182" s="127"/>
      <c r="AM182" s="127"/>
      <c r="AN182" s="127"/>
      <c r="AO182" s="127"/>
      <c r="AP182" s="127"/>
      <c r="AQ182" s="127"/>
      <c r="AR182" s="127"/>
      <c r="AS182" s="127"/>
      <c r="AT182" s="127"/>
    </row>
    <row r="183" spans="31:46" x14ac:dyDescent="0.2">
      <c r="AE183" s="204"/>
      <c r="AF183" s="127"/>
      <c r="AG183" s="127"/>
      <c r="AH183" s="127"/>
      <c r="AI183" s="127"/>
      <c r="AJ183" s="127"/>
      <c r="AK183" s="127"/>
      <c r="AL183" s="127"/>
      <c r="AM183" s="127"/>
      <c r="AN183" s="127"/>
      <c r="AO183" s="127"/>
      <c r="AP183" s="127"/>
      <c r="AQ183" s="127"/>
      <c r="AR183" s="127"/>
      <c r="AS183" s="127"/>
      <c r="AT183" s="127"/>
    </row>
    <row r="184" spans="31:46" x14ac:dyDescent="0.2">
      <c r="AE184" s="204"/>
      <c r="AF184" s="127"/>
      <c r="AG184" s="127"/>
      <c r="AH184" s="127"/>
      <c r="AI184" s="127"/>
      <c r="AJ184" s="127"/>
      <c r="AK184" s="127"/>
      <c r="AL184" s="127"/>
      <c r="AM184" s="127"/>
      <c r="AN184" s="127"/>
      <c r="AO184" s="127"/>
      <c r="AP184" s="127"/>
      <c r="AQ184" s="127"/>
      <c r="AR184" s="127"/>
      <c r="AS184" s="127"/>
      <c r="AT184" s="127"/>
    </row>
    <row r="185" spans="31:46" x14ac:dyDescent="0.2">
      <c r="AE185" s="204"/>
      <c r="AF185" s="127"/>
      <c r="AG185" s="127"/>
      <c r="AH185" s="127"/>
      <c r="AI185" s="127"/>
      <c r="AJ185" s="127"/>
      <c r="AK185" s="127"/>
      <c r="AL185" s="127"/>
      <c r="AM185" s="127"/>
      <c r="AN185" s="127"/>
      <c r="AO185" s="127"/>
      <c r="AP185" s="127"/>
      <c r="AQ185" s="127"/>
      <c r="AR185" s="127"/>
      <c r="AS185" s="127"/>
      <c r="AT185" s="127"/>
    </row>
    <row r="186" spans="31:46" x14ac:dyDescent="0.2">
      <c r="AE186" s="204"/>
      <c r="AG186" s="127"/>
      <c r="AH186" s="127"/>
      <c r="AI186" s="127"/>
      <c r="AJ186" s="127"/>
      <c r="AK186" s="127"/>
      <c r="AL186" s="127"/>
      <c r="AM186" s="127"/>
      <c r="AN186" s="127"/>
    </row>
    <row r="187" spans="31:46" x14ac:dyDescent="0.2">
      <c r="AE187" s="204"/>
      <c r="AF187" s="127"/>
      <c r="AG187" s="127"/>
      <c r="AH187" s="127"/>
      <c r="AI187" s="127"/>
      <c r="AJ187" s="127"/>
      <c r="AK187" s="127"/>
      <c r="AL187" s="127"/>
      <c r="AM187" s="127"/>
      <c r="AN187" s="127"/>
      <c r="AO187" s="127"/>
      <c r="AP187" s="127"/>
      <c r="AQ187" s="127"/>
      <c r="AR187" s="127"/>
      <c r="AS187" s="127"/>
      <c r="AT187" s="127"/>
    </row>
    <row r="188" spans="31:46" x14ac:dyDescent="0.2">
      <c r="AE188" s="204"/>
      <c r="AF188" s="127"/>
      <c r="AG188" s="127"/>
      <c r="AH188" s="127"/>
      <c r="AI188" s="127"/>
      <c r="AJ188" s="127"/>
      <c r="AK188" s="127"/>
      <c r="AL188" s="127"/>
      <c r="AM188" s="127"/>
      <c r="AN188" s="127"/>
      <c r="AO188" s="127"/>
      <c r="AP188" s="127"/>
      <c r="AQ188" s="127"/>
      <c r="AR188" s="127"/>
      <c r="AS188" s="127"/>
      <c r="AT188" s="127"/>
    </row>
    <row r="189" spans="31:46" x14ac:dyDescent="0.2">
      <c r="AE189" s="204"/>
      <c r="AF189" s="127"/>
      <c r="AG189" s="127"/>
      <c r="AH189" s="127"/>
      <c r="AI189" s="127"/>
      <c r="AJ189" s="127"/>
      <c r="AK189" s="127"/>
      <c r="AL189" s="127"/>
      <c r="AM189" s="127"/>
      <c r="AN189" s="127"/>
      <c r="AO189" s="127"/>
      <c r="AP189" s="127"/>
      <c r="AQ189" s="127"/>
      <c r="AR189" s="127"/>
      <c r="AS189" s="127"/>
      <c r="AT189" s="127"/>
    </row>
    <row r="190" spans="31:46" x14ac:dyDescent="0.2">
      <c r="AE190" s="204"/>
      <c r="AF190" s="127"/>
      <c r="AG190" s="127"/>
      <c r="AH190" s="127"/>
      <c r="AI190" s="127"/>
      <c r="AJ190" s="127"/>
      <c r="AK190" s="127"/>
      <c r="AL190" s="127"/>
      <c r="AM190" s="127"/>
      <c r="AN190" s="127"/>
      <c r="AO190" s="127"/>
      <c r="AP190" s="127"/>
      <c r="AQ190" s="127"/>
      <c r="AR190" s="127"/>
      <c r="AS190" s="127"/>
      <c r="AT190" s="127"/>
    </row>
    <row r="191" spans="31:46" x14ac:dyDescent="0.2">
      <c r="AE191" s="204"/>
      <c r="AF191" s="127"/>
      <c r="AG191" s="127"/>
      <c r="AH191" s="127"/>
      <c r="AI191" s="127"/>
      <c r="AJ191" s="127"/>
      <c r="AK191" s="127"/>
      <c r="AL191" s="127"/>
      <c r="AM191" s="127"/>
      <c r="AN191" s="127"/>
      <c r="AO191" s="127"/>
      <c r="AP191" s="127"/>
      <c r="AQ191" s="127"/>
      <c r="AR191" s="127"/>
      <c r="AS191" s="127"/>
      <c r="AT191" s="127"/>
    </row>
    <row r="192" spans="31:46" x14ac:dyDescent="0.2">
      <c r="AE192" s="204"/>
      <c r="AF192" s="127"/>
      <c r="AG192" s="127"/>
      <c r="AH192" s="127"/>
      <c r="AI192" s="127"/>
      <c r="AJ192" s="127"/>
      <c r="AK192" s="127"/>
      <c r="AL192" s="127"/>
      <c r="AM192" s="127"/>
      <c r="AN192" s="127"/>
      <c r="AO192" s="127"/>
      <c r="AP192" s="127"/>
      <c r="AQ192" s="127"/>
      <c r="AR192" s="127"/>
      <c r="AS192" s="127"/>
      <c r="AT192" s="127"/>
    </row>
    <row r="193" spans="31:46" x14ac:dyDescent="0.2">
      <c r="AE193" s="204"/>
      <c r="AF193" s="127"/>
      <c r="AG193" s="127"/>
      <c r="AH193" s="127"/>
      <c r="AI193" s="127"/>
      <c r="AJ193" s="127"/>
      <c r="AK193" s="127"/>
      <c r="AL193" s="127"/>
      <c r="AM193" s="127"/>
      <c r="AN193" s="127"/>
      <c r="AO193" s="127"/>
      <c r="AP193" s="127"/>
      <c r="AQ193" s="127"/>
      <c r="AR193" s="127"/>
      <c r="AS193" s="127"/>
      <c r="AT193" s="127"/>
    </row>
    <row r="194" spans="31:46" x14ac:dyDescent="0.2">
      <c r="AE194" s="204"/>
      <c r="AF194" s="127"/>
      <c r="AG194" s="127"/>
      <c r="AH194" s="127"/>
      <c r="AI194" s="127"/>
      <c r="AJ194" s="127"/>
      <c r="AK194" s="127"/>
      <c r="AL194" s="127"/>
      <c r="AM194" s="127"/>
      <c r="AN194" s="127"/>
      <c r="AO194" s="127"/>
      <c r="AP194" s="127"/>
      <c r="AQ194" s="127"/>
      <c r="AR194" s="127"/>
      <c r="AS194" s="127"/>
      <c r="AT194" s="127"/>
    </row>
    <row r="195" spans="31:46" x14ac:dyDescent="0.2">
      <c r="AE195" s="204"/>
      <c r="AF195" s="127"/>
      <c r="AG195" s="127"/>
      <c r="AH195" s="127"/>
      <c r="AI195" s="127"/>
      <c r="AJ195" s="127"/>
      <c r="AK195" s="127"/>
      <c r="AL195" s="127"/>
      <c r="AM195" s="127"/>
      <c r="AN195" s="127"/>
      <c r="AO195" s="127"/>
      <c r="AP195" s="127"/>
      <c r="AQ195" s="127"/>
      <c r="AR195" s="127"/>
      <c r="AS195" s="127"/>
      <c r="AT195" s="127"/>
    </row>
    <row r="196" spans="31:46" x14ac:dyDescent="0.2">
      <c r="AE196" s="204"/>
      <c r="AF196" s="127"/>
      <c r="AG196" s="127"/>
      <c r="AH196" s="127"/>
      <c r="AI196" s="127"/>
      <c r="AJ196" s="127"/>
      <c r="AK196" s="127"/>
      <c r="AL196" s="127"/>
      <c r="AM196" s="127"/>
      <c r="AN196" s="127"/>
      <c r="AO196" s="127"/>
      <c r="AP196" s="127"/>
      <c r="AQ196" s="127"/>
      <c r="AR196" s="127"/>
      <c r="AS196" s="127"/>
      <c r="AT196" s="127"/>
    </row>
    <row r="197" spans="31:46" x14ac:dyDescent="0.2">
      <c r="AE197" s="204"/>
      <c r="AF197" s="127"/>
      <c r="AG197" s="127"/>
      <c r="AH197" s="127"/>
      <c r="AI197" s="127"/>
      <c r="AJ197" s="127"/>
      <c r="AK197" s="127"/>
      <c r="AL197" s="127"/>
      <c r="AM197" s="127"/>
      <c r="AN197" s="127"/>
      <c r="AO197" s="127"/>
      <c r="AP197" s="127"/>
      <c r="AQ197" s="127"/>
      <c r="AR197" s="127"/>
      <c r="AS197" s="127"/>
      <c r="AT197" s="127"/>
    </row>
    <row r="198" spans="31:46" x14ac:dyDescent="0.2">
      <c r="AE198" s="204"/>
      <c r="AF198" s="127"/>
      <c r="AG198" s="127"/>
      <c r="AH198" s="127"/>
      <c r="AI198" s="127"/>
      <c r="AJ198" s="127"/>
      <c r="AK198" s="127"/>
      <c r="AL198" s="127"/>
      <c r="AM198" s="127"/>
      <c r="AN198" s="127"/>
      <c r="AO198" s="127"/>
      <c r="AP198" s="127"/>
      <c r="AQ198" s="127"/>
      <c r="AR198" s="127"/>
      <c r="AS198" s="127"/>
      <c r="AT198" s="127"/>
    </row>
    <row r="199" spans="31:46" x14ac:dyDescent="0.2">
      <c r="AE199" s="204"/>
      <c r="AF199" s="127"/>
      <c r="AG199" s="127"/>
      <c r="AH199" s="127"/>
      <c r="AI199" s="127"/>
      <c r="AJ199" s="127"/>
      <c r="AK199" s="127"/>
      <c r="AL199" s="127"/>
      <c r="AM199" s="127"/>
      <c r="AN199" s="127"/>
      <c r="AO199" s="127"/>
      <c r="AP199" s="127"/>
      <c r="AQ199" s="127"/>
      <c r="AR199" s="127"/>
      <c r="AS199" s="127"/>
      <c r="AT199" s="127"/>
    </row>
    <row r="200" spans="31:46" x14ac:dyDescent="0.2">
      <c r="AE200" s="204"/>
    </row>
    <row r="201" spans="31:46" x14ac:dyDescent="0.2">
      <c r="AE201" s="204"/>
      <c r="AF201" s="127"/>
      <c r="AG201" s="127"/>
      <c r="AH201" s="127"/>
      <c r="AI201" s="127"/>
      <c r="AJ201" s="127"/>
      <c r="AK201" s="127"/>
      <c r="AL201" s="127"/>
      <c r="AM201" s="127"/>
      <c r="AN201" s="127"/>
      <c r="AO201" s="127"/>
      <c r="AP201" s="127"/>
      <c r="AQ201" s="127"/>
      <c r="AR201" s="127"/>
      <c r="AS201" s="127"/>
      <c r="AT201" s="127"/>
    </row>
    <row r="202" spans="31:46" x14ac:dyDescent="0.2">
      <c r="AE202" s="204"/>
      <c r="AF202" s="127"/>
      <c r="AG202" s="127"/>
      <c r="AH202" s="127"/>
      <c r="AI202" s="127"/>
      <c r="AJ202" s="127"/>
      <c r="AK202" s="127"/>
      <c r="AL202" s="127"/>
      <c r="AM202" s="127"/>
      <c r="AN202" s="127"/>
      <c r="AO202" s="127"/>
      <c r="AP202" s="127"/>
      <c r="AQ202" s="127"/>
      <c r="AR202" s="127"/>
      <c r="AS202" s="127"/>
      <c r="AT202" s="127"/>
    </row>
    <row r="203" spans="31:46" x14ac:dyDescent="0.2">
      <c r="AE203" s="204"/>
      <c r="AF203" s="127"/>
      <c r="AG203" s="127"/>
      <c r="AH203" s="127"/>
      <c r="AI203" s="127"/>
      <c r="AJ203" s="127"/>
      <c r="AK203" s="127"/>
      <c r="AL203" s="127"/>
      <c r="AM203" s="127"/>
      <c r="AN203" s="127"/>
      <c r="AO203" s="127"/>
      <c r="AP203" s="127"/>
      <c r="AQ203" s="127"/>
      <c r="AR203" s="127"/>
      <c r="AS203" s="127"/>
      <c r="AT203" s="127"/>
    </row>
    <row r="204" spans="31:46" x14ac:dyDescent="0.2">
      <c r="AE204" s="204"/>
      <c r="AF204" s="127"/>
      <c r="AG204" s="127"/>
      <c r="AH204" s="127"/>
      <c r="AI204" s="127"/>
      <c r="AJ204" s="127"/>
      <c r="AK204" s="127"/>
      <c r="AL204" s="127"/>
      <c r="AM204" s="127"/>
      <c r="AN204" s="127"/>
      <c r="AO204" s="127"/>
      <c r="AP204" s="127"/>
      <c r="AQ204" s="127"/>
      <c r="AR204" s="127"/>
      <c r="AS204" s="127"/>
      <c r="AT204" s="127"/>
    </row>
    <row r="205" spans="31:46" x14ac:dyDescent="0.2">
      <c r="AE205" s="204"/>
      <c r="AF205" s="127"/>
      <c r="AG205" s="127"/>
      <c r="AH205" s="127"/>
      <c r="AI205" s="127"/>
      <c r="AJ205" s="127"/>
      <c r="AK205" s="127"/>
      <c r="AL205" s="127"/>
      <c r="AM205" s="127"/>
      <c r="AN205" s="127"/>
      <c r="AO205" s="127"/>
      <c r="AP205" s="127"/>
      <c r="AQ205" s="127"/>
      <c r="AR205" s="127"/>
      <c r="AS205" s="127"/>
      <c r="AT205" s="127"/>
    </row>
    <row r="206" spans="31:46" x14ac:dyDescent="0.2">
      <c r="AE206" s="204"/>
      <c r="AF206" s="127"/>
      <c r="AG206" s="127"/>
      <c r="AH206" s="127"/>
      <c r="AI206" s="127"/>
      <c r="AJ206" s="127"/>
      <c r="AK206" s="127"/>
      <c r="AL206" s="127"/>
      <c r="AM206" s="127"/>
      <c r="AN206" s="127"/>
      <c r="AO206" s="127"/>
      <c r="AP206" s="127"/>
      <c r="AQ206" s="127"/>
      <c r="AR206" s="127"/>
      <c r="AS206" s="127"/>
      <c r="AT206" s="127"/>
    </row>
    <row r="207" spans="31:46" x14ac:dyDescent="0.2">
      <c r="AE207" s="204"/>
      <c r="AF207" s="127"/>
      <c r="AG207" s="127"/>
      <c r="AH207" s="127"/>
      <c r="AI207" s="127"/>
      <c r="AJ207" s="127"/>
      <c r="AK207" s="127"/>
      <c r="AL207" s="127"/>
      <c r="AM207" s="127"/>
      <c r="AN207" s="127"/>
      <c r="AO207" s="127"/>
      <c r="AP207" s="127"/>
      <c r="AQ207" s="127"/>
      <c r="AR207" s="127"/>
      <c r="AS207" s="127"/>
      <c r="AT207" s="127"/>
    </row>
    <row r="208" spans="31:46" x14ac:dyDescent="0.2">
      <c r="AE208" s="204"/>
      <c r="AF208" s="127"/>
      <c r="AG208" s="127"/>
      <c r="AH208" s="127"/>
      <c r="AI208" s="127"/>
      <c r="AJ208" s="127"/>
      <c r="AK208" s="127"/>
      <c r="AL208" s="127"/>
      <c r="AM208" s="127"/>
      <c r="AN208" s="127"/>
      <c r="AO208" s="127"/>
      <c r="AP208" s="127"/>
      <c r="AQ208" s="127"/>
      <c r="AR208" s="127"/>
      <c r="AS208" s="127"/>
      <c r="AT208" s="127"/>
    </row>
    <row r="209" spans="31:46" x14ac:dyDescent="0.2">
      <c r="AE209" s="204"/>
      <c r="AF209" s="127"/>
      <c r="AG209" s="127"/>
      <c r="AH209" s="127"/>
      <c r="AI209" s="127"/>
      <c r="AJ209" s="127"/>
      <c r="AK209" s="127"/>
      <c r="AL209" s="127"/>
      <c r="AM209" s="127"/>
      <c r="AN209" s="127"/>
      <c r="AO209" s="127"/>
      <c r="AP209" s="127"/>
      <c r="AQ209" s="127"/>
      <c r="AR209" s="127"/>
      <c r="AS209" s="127"/>
      <c r="AT209" s="127"/>
    </row>
    <row r="210" spans="31:46" x14ac:dyDescent="0.2">
      <c r="AE210" s="204"/>
      <c r="AF210" s="127"/>
      <c r="AG210" s="127"/>
      <c r="AH210" s="127"/>
      <c r="AI210" s="127"/>
      <c r="AJ210" s="127"/>
      <c r="AK210" s="127"/>
      <c r="AL210" s="127"/>
      <c r="AM210" s="127"/>
      <c r="AN210" s="127"/>
      <c r="AO210" s="127"/>
      <c r="AP210" s="127"/>
      <c r="AQ210" s="127"/>
      <c r="AR210" s="127"/>
      <c r="AS210" s="127"/>
      <c r="AT210" s="127"/>
    </row>
    <row r="211" spans="31:46" x14ac:dyDescent="0.2">
      <c r="AE211" s="204"/>
      <c r="AF211" s="127"/>
      <c r="AG211" s="127"/>
      <c r="AH211" s="127"/>
      <c r="AI211" s="127"/>
      <c r="AJ211" s="127"/>
      <c r="AK211" s="127"/>
      <c r="AL211" s="127"/>
      <c r="AM211" s="127"/>
      <c r="AN211" s="127"/>
      <c r="AO211" s="127"/>
      <c r="AP211" s="127"/>
      <c r="AQ211" s="127"/>
      <c r="AR211" s="127"/>
      <c r="AS211" s="127"/>
      <c r="AT211" s="127"/>
    </row>
    <row r="212" spans="31:46" x14ac:dyDescent="0.2">
      <c r="AE212" s="204"/>
      <c r="AF212" s="127"/>
      <c r="AG212" s="127"/>
      <c r="AH212" s="127"/>
      <c r="AI212" s="127"/>
      <c r="AJ212" s="127"/>
      <c r="AK212" s="127"/>
      <c r="AL212" s="127"/>
      <c r="AM212" s="127"/>
      <c r="AN212" s="127"/>
      <c r="AO212" s="127"/>
      <c r="AP212" s="127"/>
      <c r="AQ212" s="127"/>
      <c r="AR212" s="127"/>
      <c r="AS212" s="127"/>
      <c r="AT212" s="127"/>
    </row>
    <row r="213" spans="31:46" x14ac:dyDescent="0.2">
      <c r="AE213" s="204"/>
      <c r="AF213" s="127"/>
      <c r="AG213" s="127"/>
      <c r="AH213" s="127"/>
      <c r="AI213" s="127"/>
      <c r="AJ213" s="127"/>
      <c r="AK213" s="127"/>
      <c r="AL213" s="127"/>
      <c r="AM213" s="127"/>
      <c r="AN213" s="127"/>
      <c r="AO213" s="127"/>
      <c r="AP213" s="127"/>
      <c r="AQ213" s="127"/>
      <c r="AR213" s="127"/>
      <c r="AS213" s="127"/>
      <c r="AT213" s="127"/>
    </row>
    <row r="215" spans="31:46" x14ac:dyDescent="0.2">
      <c r="AE215" s="204"/>
      <c r="AF215" s="127"/>
      <c r="AG215" s="127"/>
      <c r="AH215" s="127"/>
      <c r="AI215" s="127"/>
      <c r="AJ215" s="127"/>
      <c r="AK215" s="127"/>
      <c r="AL215" s="127"/>
      <c r="AM215" s="127"/>
      <c r="AN215" s="127"/>
      <c r="AO215" s="127"/>
      <c r="AP215" s="127"/>
      <c r="AQ215" s="127"/>
      <c r="AR215" s="127"/>
      <c r="AS215" s="127"/>
      <c r="AT215" s="127"/>
    </row>
    <row r="216" spans="31:46" x14ac:dyDescent="0.2">
      <c r="AF216" s="127"/>
      <c r="AG216" s="127"/>
      <c r="AH216" s="127"/>
      <c r="AI216" s="127"/>
      <c r="AJ216" s="127"/>
      <c r="AK216" s="127"/>
      <c r="AL216" s="127"/>
      <c r="AM216" s="127"/>
      <c r="AN216" s="127"/>
      <c r="AO216" s="127"/>
      <c r="AP216" s="127"/>
      <c r="AQ216" s="127"/>
      <c r="AR216" s="127"/>
      <c r="AS216" s="127"/>
      <c r="AT216" s="127"/>
    </row>
    <row r="217" spans="31:46" x14ac:dyDescent="0.2">
      <c r="AF217" s="127"/>
      <c r="AG217" s="127"/>
      <c r="AH217" s="127"/>
      <c r="AI217" s="127"/>
      <c r="AJ217" s="127"/>
      <c r="AK217" s="127"/>
      <c r="AL217" s="127"/>
      <c r="AM217" s="127"/>
      <c r="AN217" s="127"/>
      <c r="AO217" s="127"/>
      <c r="AP217" s="127"/>
      <c r="AQ217" s="127"/>
      <c r="AR217" s="127"/>
      <c r="AS217" s="127"/>
      <c r="AT217" s="127"/>
    </row>
    <row r="218" spans="31:46" x14ac:dyDescent="0.2">
      <c r="AF218" s="127"/>
      <c r="AG218" s="127"/>
      <c r="AH218" s="127"/>
      <c r="AI218" s="127"/>
      <c r="AJ218" s="127"/>
      <c r="AK218" s="127"/>
      <c r="AL218" s="127"/>
      <c r="AM218" s="127"/>
      <c r="AN218" s="127"/>
      <c r="AO218" s="127"/>
      <c r="AP218" s="127"/>
      <c r="AQ218" s="127"/>
      <c r="AR218" s="127"/>
      <c r="AS218" s="127"/>
      <c r="AT218" s="127"/>
    </row>
    <row r="219" spans="31:46" x14ac:dyDescent="0.2">
      <c r="AF219" s="127"/>
      <c r="AG219" s="127"/>
      <c r="AH219" s="127"/>
      <c r="AI219" s="127"/>
      <c r="AJ219" s="127"/>
      <c r="AK219" s="127"/>
      <c r="AL219" s="127"/>
      <c r="AM219" s="127"/>
      <c r="AN219" s="127"/>
      <c r="AO219" s="127"/>
      <c r="AP219" s="127"/>
      <c r="AQ219" s="127"/>
      <c r="AR219" s="127"/>
      <c r="AS219" s="127"/>
      <c r="AT219" s="127"/>
    </row>
    <row r="220" spans="31:46" x14ac:dyDescent="0.2">
      <c r="AF220" s="127"/>
      <c r="AG220" s="127"/>
      <c r="AH220" s="127"/>
      <c r="AI220" s="127"/>
      <c r="AJ220" s="127"/>
      <c r="AK220" s="127"/>
      <c r="AL220" s="127"/>
      <c r="AM220" s="127"/>
      <c r="AN220" s="127"/>
      <c r="AO220" s="127"/>
      <c r="AP220" s="127"/>
      <c r="AQ220" s="127"/>
      <c r="AR220" s="127"/>
      <c r="AS220" s="127"/>
      <c r="AT220" s="127"/>
    </row>
    <row r="221" spans="31:46" x14ac:dyDescent="0.2">
      <c r="AF221" s="127"/>
      <c r="AG221" s="127"/>
      <c r="AH221" s="127"/>
      <c r="AI221" s="127"/>
      <c r="AJ221" s="127"/>
      <c r="AK221" s="127"/>
      <c r="AL221" s="127"/>
      <c r="AM221" s="127"/>
      <c r="AN221" s="127"/>
      <c r="AO221" s="127"/>
      <c r="AP221" s="127"/>
      <c r="AQ221" s="127"/>
      <c r="AR221" s="127"/>
      <c r="AS221" s="127"/>
      <c r="AT221" s="127"/>
    </row>
    <row r="222" spans="31:46" x14ac:dyDescent="0.2">
      <c r="AF222" s="127"/>
      <c r="AG222" s="127"/>
      <c r="AH222" s="127"/>
      <c r="AI222" s="127"/>
      <c r="AJ222" s="127"/>
      <c r="AK222" s="127"/>
      <c r="AL222" s="127"/>
      <c r="AM222" s="127"/>
      <c r="AN222" s="127"/>
      <c r="AO222" s="127"/>
      <c r="AP222" s="127"/>
      <c r="AQ222" s="127"/>
      <c r="AR222" s="127"/>
      <c r="AS222" s="127"/>
      <c r="AT222" s="127"/>
    </row>
    <row r="223" spans="31:46" x14ac:dyDescent="0.2">
      <c r="AF223" s="127"/>
      <c r="AG223" s="127"/>
      <c r="AH223" s="127"/>
      <c r="AI223" s="127"/>
      <c r="AJ223" s="127"/>
      <c r="AK223" s="127"/>
      <c r="AL223" s="127"/>
      <c r="AM223" s="127"/>
      <c r="AN223" s="127"/>
      <c r="AO223" s="127"/>
      <c r="AP223" s="127"/>
      <c r="AQ223" s="127"/>
      <c r="AR223" s="127"/>
      <c r="AS223" s="127"/>
      <c r="AT223" s="127"/>
    </row>
    <row r="224" spans="31:46" x14ac:dyDescent="0.2">
      <c r="AF224" s="127"/>
      <c r="AG224" s="127"/>
      <c r="AH224" s="127"/>
      <c r="AI224" s="127"/>
      <c r="AJ224" s="127"/>
      <c r="AK224" s="127"/>
      <c r="AL224" s="127"/>
      <c r="AM224" s="127"/>
      <c r="AN224" s="127"/>
      <c r="AO224" s="127"/>
      <c r="AP224" s="127"/>
      <c r="AQ224" s="127"/>
      <c r="AR224" s="127"/>
      <c r="AS224" s="127"/>
      <c r="AT224" s="127"/>
    </row>
    <row r="225" spans="31:52" x14ac:dyDescent="0.2">
      <c r="AF225" s="127"/>
      <c r="AG225" s="127"/>
      <c r="AH225" s="127"/>
      <c r="AI225" s="127"/>
      <c r="AJ225" s="127"/>
      <c r="AK225" s="127"/>
      <c r="AL225" s="127"/>
      <c r="AM225" s="127"/>
      <c r="AN225" s="127"/>
      <c r="AO225" s="127"/>
      <c r="AP225" s="127"/>
      <c r="AQ225" s="127"/>
      <c r="AR225" s="127"/>
      <c r="AS225" s="127"/>
      <c r="AT225" s="127"/>
    </row>
    <row r="226" spans="31:52" x14ac:dyDescent="0.2">
      <c r="AF226" s="127"/>
      <c r="AG226" s="127"/>
      <c r="AH226" s="127"/>
      <c r="AI226" s="127"/>
      <c r="AJ226" s="127"/>
      <c r="AK226" s="127"/>
      <c r="AL226" s="127"/>
      <c r="AM226" s="127"/>
      <c r="AN226" s="127"/>
      <c r="AO226" s="127"/>
      <c r="AP226" s="127"/>
      <c r="AQ226" s="127"/>
      <c r="AR226" s="127"/>
      <c r="AS226" s="127"/>
      <c r="AT226" s="127"/>
    </row>
    <row r="227" spans="31:52" x14ac:dyDescent="0.2">
      <c r="AF227" s="127"/>
      <c r="AG227" s="127"/>
      <c r="AH227" s="127"/>
      <c r="AI227" s="127"/>
      <c r="AJ227" s="127"/>
      <c r="AK227" s="127"/>
      <c r="AL227" s="127"/>
      <c r="AM227" s="127"/>
      <c r="AN227" s="127"/>
      <c r="AO227" s="127"/>
      <c r="AP227" s="127"/>
      <c r="AQ227" s="127"/>
      <c r="AR227" s="127"/>
      <c r="AS227" s="127"/>
      <c r="AT227" s="127"/>
    </row>
    <row r="229" spans="31:52" x14ac:dyDescent="0.2">
      <c r="AE229" s="206"/>
      <c r="AF229" s="127"/>
      <c r="AG229" s="127"/>
      <c r="AH229" s="127"/>
      <c r="AI229" s="127"/>
      <c r="AJ229" s="127"/>
      <c r="AK229" s="127"/>
      <c r="AL229" s="127"/>
      <c r="AM229" s="127"/>
      <c r="AN229" s="127"/>
      <c r="AO229" s="127"/>
      <c r="AP229" s="127"/>
      <c r="AQ229" s="127"/>
      <c r="AR229" s="127"/>
      <c r="AS229" s="127"/>
      <c r="AT229" s="127"/>
      <c r="AU229" s="127"/>
      <c r="AV229" s="127"/>
      <c r="AW229" s="127"/>
      <c r="AX229" s="127"/>
      <c r="AY229" s="127"/>
      <c r="AZ229" s="127"/>
    </row>
    <row r="230" spans="31:52" x14ac:dyDescent="0.2">
      <c r="AF230" s="127"/>
      <c r="AG230" s="127"/>
      <c r="AH230" s="127"/>
      <c r="AI230" s="127"/>
      <c r="AJ230" s="127"/>
      <c r="AK230" s="127"/>
      <c r="AL230" s="127"/>
      <c r="AM230" s="127"/>
      <c r="AN230" s="127"/>
      <c r="AO230" s="127"/>
      <c r="AP230" s="127"/>
      <c r="AQ230" s="127"/>
      <c r="AR230" s="127"/>
      <c r="AS230" s="127"/>
      <c r="AT230" s="127"/>
      <c r="AU230" s="127"/>
      <c r="AV230" s="127"/>
      <c r="AW230" s="127"/>
      <c r="AX230" s="127"/>
      <c r="AY230" s="127"/>
      <c r="AZ230" s="127"/>
    </row>
    <row r="231" spans="31:52" x14ac:dyDescent="0.2">
      <c r="AF231" s="127"/>
      <c r="AG231" s="127"/>
      <c r="AH231" s="127"/>
      <c r="AI231" s="127"/>
      <c r="AJ231" s="127"/>
      <c r="AK231" s="127"/>
      <c r="AL231" s="127"/>
      <c r="AM231" s="127"/>
      <c r="AN231" s="127"/>
      <c r="AO231" s="127"/>
      <c r="AP231" s="127"/>
      <c r="AQ231" s="127"/>
      <c r="AR231" s="127"/>
      <c r="AS231" s="127"/>
      <c r="AT231" s="127"/>
      <c r="AU231" s="127"/>
      <c r="AV231" s="127"/>
      <c r="AW231" s="127"/>
      <c r="AX231" s="127"/>
      <c r="AY231" s="127"/>
      <c r="AZ231" s="127"/>
    </row>
    <row r="232" spans="31:52" x14ac:dyDescent="0.2">
      <c r="AF232" s="127"/>
      <c r="AG232" s="127"/>
      <c r="AH232" s="127"/>
      <c r="AI232" s="127"/>
      <c r="AJ232" s="127"/>
      <c r="AK232" s="127"/>
      <c r="AL232" s="127"/>
      <c r="AM232" s="127"/>
      <c r="AN232" s="127"/>
      <c r="AO232" s="127"/>
      <c r="AP232" s="127"/>
      <c r="AQ232" s="127"/>
      <c r="AR232" s="127"/>
      <c r="AS232" s="127"/>
      <c r="AT232" s="127"/>
      <c r="AU232" s="127"/>
      <c r="AV232" s="127"/>
      <c r="AW232" s="127"/>
      <c r="AX232" s="127"/>
      <c r="AY232" s="127"/>
      <c r="AZ232" s="127"/>
    </row>
    <row r="233" spans="31:52" x14ac:dyDescent="0.2">
      <c r="AF233" s="127"/>
      <c r="AG233" s="127"/>
      <c r="AH233" s="127"/>
      <c r="AI233" s="127"/>
      <c r="AJ233" s="127"/>
      <c r="AK233" s="127"/>
      <c r="AL233" s="127"/>
      <c r="AM233" s="127"/>
      <c r="AN233" s="127"/>
      <c r="AO233" s="127"/>
      <c r="AP233" s="127"/>
      <c r="AQ233" s="127"/>
      <c r="AR233" s="127"/>
      <c r="AS233" s="127"/>
      <c r="AT233" s="127"/>
      <c r="AU233" s="127"/>
      <c r="AV233" s="127"/>
      <c r="AW233" s="127"/>
      <c r="AX233" s="127"/>
      <c r="AY233" s="127"/>
      <c r="AZ233" s="127"/>
    </row>
    <row r="234" spans="31:52" x14ac:dyDescent="0.2">
      <c r="AF234" s="127"/>
      <c r="AG234" s="127"/>
      <c r="AH234" s="127"/>
      <c r="AI234" s="127"/>
      <c r="AJ234" s="127"/>
      <c r="AK234" s="127"/>
      <c r="AL234" s="127"/>
      <c r="AM234" s="127"/>
      <c r="AN234" s="127"/>
      <c r="AO234" s="127"/>
      <c r="AP234" s="127"/>
      <c r="AQ234" s="127"/>
      <c r="AR234" s="127"/>
      <c r="AS234" s="127"/>
      <c r="AT234" s="127"/>
      <c r="AU234" s="127"/>
      <c r="AV234" s="127"/>
      <c r="AW234" s="127"/>
      <c r="AX234" s="127"/>
      <c r="AY234" s="127"/>
      <c r="AZ234" s="127"/>
    </row>
    <row r="235" spans="31:52" x14ac:dyDescent="0.2">
      <c r="AF235" s="127"/>
      <c r="AG235" s="127"/>
      <c r="AH235" s="127"/>
      <c r="AI235" s="127"/>
      <c r="AJ235" s="127"/>
      <c r="AK235" s="127"/>
      <c r="AL235" s="127"/>
      <c r="AM235" s="127"/>
      <c r="AN235" s="127"/>
      <c r="AO235" s="127"/>
      <c r="AP235" s="127"/>
      <c r="AQ235" s="127"/>
      <c r="AR235" s="127"/>
      <c r="AS235" s="127"/>
      <c r="AT235" s="127"/>
      <c r="AU235" s="127"/>
      <c r="AV235" s="127"/>
      <c r="AW235" s="127"/>
      <c r="AX235" s="127"/>
      <c r="AY235" s="127"/>
      <c r="AZ235" s="127"/>
    </row>
    <row r="236" spans="31:52" x14ac:dyDescent="0.2">
      <c r="AF236" s="127"/>
      <c r="AG236" s="127"/>
      <c r="AH236" s="127"/>
      <c r="AI236" s="127"/>
      <c r="AJ236" s="127"/>
      <c r="AK236" s="127"/>
      <c r="AL236" s="127"/>
      <c r="AM236" s="127"/>
      <c r="AN236" s="127"/>
      <c r="AO236" s="127"/>
      <c r="AP236" s="127"/>
      <c r="AQ236" s="127"/>
      <c r="AR236" s="127"/>
      <c r="AS236" s="127"/>
      <c r="AT236" s="127"/>
      <c r="AU236" s="127"/>
      <c r="AV236" s="127"/>
      <c r="AW236" s="127"/>
      <c r="AX236" s="127"/>
      <c r="AY236" s="127"/>
      <c r="AZ236" s="127"/>
    </row>
    <row r="237" spans="31:52" x14ac:dyDescent="0.2">
      <c r="AF237" s="127"/>
      <c r="AG237" s="127"/>
      <c r="AH237" s="127"/>
      <c r="AI237" s="127"/>
      <c r="AJ237" s="127"/>
      <c r="AK237" s="127"/>
      <c r="AL237" s="127"/>
      <c r="AM237" s="127"/>
      <c r="AN237" s="127"/>
      <c r="AO237" s="127"/>
      <c r="AP237" s="127"/>
      <c r="AQ237" s="127"/>
      <c r="AR237" s="127"/>
      <c r="AS237" s="127"/>
      <c r="AT237" s="127"/>
      <c r="AU237" s="127"/>
      <c r="AV237" s="127"/>
      <c r="AW237" s="127"/>
      <c r="AX237" s="127"/>
      <c r="AY237" s="127"/>
      <c r="AZ237" s="127"/>
    </row>
    <row r="238" spans="31:52" x14ac:dyDescent="0.2">
      <c r="AF238" s="127"/>
      <c r="AG238" s="127"/>
      <c r="AH238" s="127"/>
      <c r="AI238" s="127"/>
      <c r="AJ238" s="127"/>
      <c r="AK238" s="127"/>
      <c r="AL238" s="127"/>
      <c r="AM238" s="127"/>
      <c r="AN238" s="127"/>
      <c r="AO238" s="127"/>
      <c r="AP238" s="127"/>
      <c r="AQ238" s="127"/>
      <c r="AR238" s="127"/>
      <c r="AS238" s="127"/>
      <c r="AT238" s="127"/>
      <c r="AU238" s="127"/>
      <c r="AV238" s="127"/>
      <c r="AW238" s="127"/>
      <c r="AX238" s="127"/>
      <c r="AY238" s="127"/>
      <c r="AZ238" s="127"/>
    </row>
    <row r="239" spans="31:52" x14ac:dyDescent="0.2">
      <c r="AF239" s="127"/>
      <c r="AG239" s="127"/>
      <c r="AH239" s="127"/>
      <c r="AI239" s="127"/>
      <c r="AJ239" s="127"/>
      <c r="AK239" s="127"/>
      <c r="AL239" s="127"/>
      <c r="AM239" s="127"/>
      <c r="AN239" s="127"/>
      <c r="AO239" s="127"/>
      <c r="AP239" s="127"/>
      <c r="AQ239" s="127"/>
      <c r="AR239" s="127"/>
      <c r="AS239" s="127"/>
      <c r="AT239" s="127"/>
      <c r="AU239" s="127"/>
      <c r="AV239" s="127"/>
      <c r="AW239" s="127"/>
      <c r="AX239" s="127"/>
      <c r="AY239" s="127"/>
      <c r="AZ239" s="127"/>
    </row>
    <row r="240" spans="31:52" x14ac:dyDescent="0.2">
      <c r="AF240" s="127"/>
      <c r="AG240" s="127"/>
      <c r="AH240" s="127"/>
      <c r="AI240" s="127"/>
      <c r="AJ240" s="127"/>
      <c r="AK240" s="127"/>
      <c r="AL240" s="127"/>
      <c r="AM240" s="127"/>
      <c r="AN240" s="127"/>
      <c r="AO240" s="127"/>
      <c r="AP240" s="127"/>
      <c r="AQ240" s="127"/>
      <c r="AR240" s="127"/>
      <c r="AS240" s="127"/>
      <c r="AT240" s="127"/>
      <c r="AU240" s="127"/>
      <c r="AV240" s="127"/>
      <c r="AW240" s="127"/>
      <c r="AX240" s="127"/>
      <c r="AY240" s="127"/>
      <c r="AZ240" s="127"/>
    </row>
    <row r="241" spans="31:52" x14ac:dyDescent="0.2">
      <c r="AF241" s="127"/>
      <c r="AG241" s="127"/>
      <c r="AH241" s="127"/>
      <c r="AI241" s="127"/>
      <c r="AJ241" s="127"/>
      <c r="AK241" s="127"/>
      <c r="AL241" s="127"/>
      <c r="AM241" s="127"/>
      <c r="AN241" s="127"/>
      <c r="AO241" s="127"/>
      <c r="AP241" s="127"/>
      <c r="AQ241" s="127"/>
      <c r="AR241" s="127"/>
      <c r="AS241" s="127"/>
      <c r="AT241" s="127"/>
      <c r="AU241" s="127"/>
      <c r="AV241" s="127"/>
      <c r="AW241" s="127"/>
      <c r="AX241" s="127"/>
      <c r="AY241" s="127"/>
      <c r="AZ241" s="127"/>
    </row>
    <row r="242" spans="31:52" x14ac:dyDescent="0.2">
      <c r="AF242" s="127"/>
      <c r="AG242" s="127"/>
      <c r="AH242" s="127"/>
      <c r="AI242" s="127"/>
      <c r="AJ242" s="127"/>
      <c r="AK242" s="127"/>
      <c r="AL242" s="127"/>
      <c r="AM242" s="127"/>
      <c r="AN242" s="127"/>
      <c r="AO242" s="127"/>
      <c r="AP242" s="127"/>
      <c r="AQ242" s="127"/>
      <c r="AR242" s="127"/>
      <c r="AS242" s="127"/>
      <c r="AT242" s="127"/>
      <c r="AU242" s="127"/>
      <c r="AV242" s="127"/>
      <c r="AW242" s="127"/>
      <c r="AX242" s="127"/>
      <c r="AY242" s="127"/>
      <c r="AZ242" s="127"/>
    </row>
    <row r="243" spans="31:52" x14ac:dyDescent="0.2">
      <c r="AF243" s="127"/>
      <c r="AG243" s="127"/>
      <c r="AH243" s="127"/>
      <c r="AI243" s="127"/>
      <c r="AJ243" s="127"/>
      <c r="AK243" s="127"/>
      <c r="AL243" s="127"/>
      <c r="AM243" s="127"/>
      <c r="AN243" s="127"/>
      <c r="AO243" s="127"/>
      <c r="AP243" s="127"/>
      <c r="AQ243" s="127"/>
      <c r="AR243" s="127"/>
      <c r="AS243" s="127"/>
      <c r="AT243" s="127"/>
      <c r="AU243" s="127"/>
      <c r="AV243" s="127"/>
      <c r="AW243" s="127"/>
      <c r="AX243" s="127"/>
      <c r="AY243" s="127"/>
      <c r="AZ243" s="127"/>
    </row>
    <row r="244" spans="31:52" x14ac:dyDescent="0.2">
      <c r="AF244" s="127"/>
      <c r="AG244" s="127"/>
      <c r="AH244" s="127"/>
      <c r="AI244" s="127"/>
      <c r="AJ244" s="127"/>
      <c r="AK244" s="127"/>
      <c r="AL244" s="127"/>
      <c r="AM244" s="127"/>
      <c r="AN244" s="127"/>
      <c r="AO244" s="127"/>
      <c r="AP244" s="127"/>
      <c r="AQ244" s="127"/>
      <c r="AR244" s="127"/>
      <c r="AS244" s="127"/>
      <c r="AT244" s="127"/>
      <c r="AU244" s="127"/>
      <c r="AV244" s="127"/>
      <c r="AW244" s="127"/>
      <c r="AX244" s="127"/>
      <c r="AY244" s="127"/>
      <c r="AZ244" s="127"/>
    </row>
    <row r="245" spans="31:52" x14ac:dyDescent="0.2">
      <c r="AF245" s="127"/>
      <c r="AG245" s="127"/>
      <c r="AH245" s="127"/>
      <c r="AI245" s="127"/>
      <c r="AJ245" s="127"/>
      <c r="AK245" s="127"/>
      <c r="AL245" s="127"/>
      <c r="AM245" s="127"/>
      <c r="AN245" s="127"/>
      <c r="AO245" s="127"/>
      <c r="AP245" s="127"/>
      <c r="AQ245" s="127"/>
      <c r="AR245" s="127"/>
      <c r="AS245" s="127"/>
      <c r="AT245" s="127"/>
      <c r="AU245" s="127"/>
      <c r="AV245" s="127"/>
      <c r="AW245" s="127"/>
      <c r="AX245" s="127"/>
      <c r="AY245" s="127"/>
      <c r="AZ245" s="127"/>
    </row>
    <row r="246" spans="31:52" x14ac:dyDescent="0.2">
      <c r="AF246" s="127"/>
      <c r="AG246" s="127"/>
      <c r="AH246" s="127"/>
      <c r="AI246" s="127"/>
      <c r="AJ246" s="127"/>
      <c r="AK246" s="127"/>
      <c r="AL246" s="127"/>
      <c r="AM246" s="127"/>
      <c r="AN246" s="127"/>
      <c r="AO246" s="127"/>
      <c r="AP246" s="127"/>
      <c r="AQ246" s="127"/>
      <c r="AR246" s="127"/>
      <c r="AS246" s="127"/>
      <c r="AT246" s="127"/>
      <c r="AU246" s="127"/>
      <c r="AV246" s="127"/>
      <c r="AW246" s="127"/>
      <c r="AX246" s="127"/>
      <c r="AY246" s="127"/>
      <c r="AZ246" s="127"/>
    </row>
    <row r="247" spans="31:52" x14ac:dyDescent="0.2">
      <c r="AF247" s="127"/>
      <c r="AG247" s="127"/>
      <c r="AH247" s="127"/>
      <c r="AI247" s="127"/>
      <c r="AJ247" s="127"/>
      <c r="AK247" s="127"/>
      <c r="AL247" s="127"/>
      <c r="AM247" s="127"/>
      <c r="AN247" s="127"/>
      <c r="AO247" s="127"/>
      <c r="AP247" s="127"/>
      <c r="AQ247" s="127"/>
      <c r="AR247" s="127"/>
      <c r="AS247" s="127"/>
      <c r="AT247" s="127"/>
      <c r="AU247" s="127"/>
      <c r="AV247" s="127"/>
      <c r="AW247" s="127"/>
      <c r="AX247" s="127"/>
      <c r="AY247" s="127"/>
      <c r="AZ247" s="127"/>
    </row>
    <row r="248" spans="31:52" x14ac:dyDescent="0.2">
      <c r="AF248" s="127"/>
      <c r="AG248" s="127"/>
      <c r="AH248" s="127"/>
      <c r="AI248" s="127"/>
      <c r="AJ248" s="127"/>
      <c r="AK248" s="127"/>
      <c r="AL248" s="127"/>
      <c r="AM248" s="127"/>
      <c r="AN248" s="127"/>
      <c r="AO248" s="127"/>
      <c r="AP248" s="127"/>
      <c r="AQ248" s="127"/>
      <c r="AR248" s="127"/>
      <c r="AS248" s="127"/>
      <c r="AT248" s="127"/>
      <c r="AU248" s="127"/>
      <c r="AV248" s="127"/>
      <c r="AW248" s="127"/>
      <c r="AX248" s="127"/>
      <c r="AY248" s="127"/>
      <c r="AZ248" s="127"/>
    </row>
    <row r="249" spans="31:52" x14ac:dyDescent="0.2">
      <c r="AF249" s="127"/>
      <c r="AG249" s="127"/>
      <c r="AH249" s="127"/>
      <c r="AI249" s="127"/>
      <c r="AJ249" s="127"/>
      <c r="AK249" s="127"/>
      <c r="AL249" s="127"/>
      <c r="AM249" s="127"/>
      <c r="AN249" s="127"/>
      <c r="AO249" s="127"/>
      <c r="AP249" s="127"/>
      <c r="AQ249" s="127"/>
      <c r="AR249" s="127"/>
      <c r="AS249" s="127"/>
      <c r="AT249" s="127"/>
      <c r="AU249" s="127"/>
      <c r="AV249" s="127"/>
      <c r="AW249" s="127"/>
      <c r="AX249" s="127"/>
      <c r="AY249" s="127"/>
      <c r="AZ249" s="127"/>
    </row>
    <row r="250" spans="31:52" x14ac:dyDescent="0.2">
      <c r="AF250" s="127"/>
      <c r="AG250" s="127"/>
      <c r="AH250" s="127"/>
      <c r="AI250" s="127"/>
      <c r="AJ250" s="127"/>
      <c r="AK250" s="127"/>
      <c r="AL250" s="127"/>
      <c r="AM250" s="127"/>
      <c r="AN250" s="127"/>
      <c r="AO250" s="127"/>
      <c r="AP250" s="127"/>
      <c r="AQ250" s="127"/>
      <c r="AR250" s="127"/>
      <c r="AS250" s="127"/>
      <c r="AT250" s="127"/>
      <c r="AU250" s="127"/>
      <c r="AV250" s="127"/>
      <c r="AW250" s="127"/>
      <c r="AX250" s="127"/>
      <c r="AY250" s="127"/>
      <c r="AZ250" s="127"/>
    </row>
    <row r="251" spans="31:52" x14ac:dyDescent="0.2">
      <c r="AF251" s="127"/>
      <c r="AG251" s="127"/>
      <c r="AH251" s="127"/>
      <c r="AI251" s="127"/>
      <c r="AJ251" s="127"/>
      <c r="AK251" s="127"/>
      <c r="AL251" s="127"/>
      <c r="AM251" s="127"/>
      <c r="AN251" s="127"/>
      <c r="AO251" s="127"/>
      <c r="AP251" s="127"/>
      <c r="AQ251" s="127"/>
      <c r="AR251" s="127"/>
      <c r="AS251" s="127"/>
      <c r="AT251" s="127"/>
      <c r="AU251" s="127"/>
      <c r="AV251" s="127"/>
      <c r="AW251" s="127"/>
      <c r="AX251" s="127"/>
      <c r="AY251" s="127"/>
      <c r="AZ251" s="127"/>
    </row>
    <row r="252" spans="31:52" x14ac:dyDescent="0.2">
      <c r="AF252" s="127"/>
      <c r="AG252" s="127"/>
      <c r="AH252" s="127"/>
      <c r="AI252" s="127"/>
      <c r="AJ252" s="127"/>
      <c r="AK252" s="127"/>
      <c r="AL252" s="127"/>
      <c r="AM252" s="127"/>
      <c r="AN252" s="127"/>
      <c r="AO252" s="127"/>
      <c r="AP252" s="127"/>
      <c r="AQ252" s="127"/>
      <c r="AR252" s="127"/>
      <c r="AS252" s="127"/>
      <c r="AT252" s="127"/>
      <c r="AU252" s="127"/>
      <c r="AV252" s="127"/>
      <c r="AW252" s="127"/>
      <c r="AX252" s="127"/>
      <c r="AY252" s="127"/>
      <c r="AZ252" s="127"/>
    </row>
    <row r="253" spans="31:52" x14ac:dyDescent="0.2">
      <c r="AF253" s="127"/>
      <c r="AG253" s="127"/>
      <c r="AH253" s="127"/>
      <c r="AI253" s="127"/>
      <c r="AJ253" s="127"/>
      <c r="AK253" s="127"/>
      <c r="AL253" s="127"/>
      <c r="AM253" s="127"/>
      <c r="AN253" s="127"/>
      <c r="AO253" s="127"/>
      <c r="AP253" s="127"/>
      <c r="AQ253" s="127"/>
      <c r="AR253" s="127"/>
      <c r="AS253" s="127"/>
      <c r="AT253" s="127"/>
      <c r="AU253" s="127"/>
      <c r="AV253" s="127"/>
      <c r="AW253" s="127"/>
      <c r="AX253" s="127"/>
      <c r="AY253" s="127"/>
      <c r="AZ253" s="127"/>
    </row>
    <row r="255" spans="31:52" x14ac:dyDescent="0.2">
      <c r="AE255" s="207"/>
      <c r="AF255" s="127"/>
      <c r="AG255" s="127"/>
      <c r="AH255" s="127"/>
      <c r="AI255" s="127"/>
      <c r="AJ255" s="127"/>
      <c r="AK255" s="127"/>
      <c r="AL255" s="127"/>
      <c r="AM255" s="127"/>
      <c r="AN255" s="127"/>
      <c r="AO255" s="127"/>
      <c r="AP255" s="127"/>
      <c r="AQ255" s="127"/>
      <c r="AR255" s="127"/>
      <c r="AS255" s="127"/>
      <c r="AT255" s="127"/>
      <c r="AU255" s="127"/>
      <c r="AV255" s="127"/>
      <c r="AW255" s="127"/>
      <c r="AX255" s="127"/>
      <c r="AY255" s="127"/>
      <c r="AZ255" s="127"/>
    </row>
    <row r="256" spans="31:52" x14ac:dyDescent="0.2">
      <c r="AF256" s="127"/>
      <c r="AG256" s="127"/>
      <c r="AH256" s="127"/>
      <c r="AI256" s="127"/>
      <c r="AJ256" s="127"/>
      <c r="AK256" s="127"/>
      <c r="AL256" s="127"/>
      <c r="AM256" s="127"/>
      <c r="AN256" s="127"/>
      <c r="AO256" s="127"/>
      <c r="AP256" s="127"/>
      <c r="AQ256" s="127"/>
      <c r="AR256" s="127"/>
      <c r="AS256" s="127"/>
      <c r="AT256" s="127"/>
      <c r="AU256" s="127"/>
      <c r="AV256" s="127"/>
      <c r="AW256" s="127"/>
      <c r="AX256" s="127"/>
      <c r="AY256" s="127"/>
      <c r="AZ256" s="127"/>
    </row>
    <row r="257" spans="32:52" x14ac:dyDescent="0.2">
      <c r="AF257" s="127"/>
      <c r="AG257" s="127"/>
      <c r="AH257" s="127"/>
      <c r="AI257" s="127"/>
      <c r="AJ257" s="127"/>
      <c r="AK257" s="127"/>
      <c r="AL257" s="127"/>
      <c r="AM257" s="127"/>
      <c r="AN257" s="127"/>
      <c r="AO257" s="127"/>
      <c r="AP257" s="127"/>
      <c r="AQ257" s="127"/>
      <c r="AR257" s="127"/>
      <c r="AS257" s="127"/>
      <c r="AT257" s="127"/>
      <c r="AU257" s="127"/>
      <c r="AV257" s="127"/>
      <c r="AW257" s="127"/>
      <c r="AX257" s="127"/>
      <c r="AY257" s="127"/>
      <c r="AZ257" s="127"/>
    </row>
    <row r="258" spans="32:52" x14ac:dyDescent="0.2">
      <c r="AF258" s="127"/>
      <c r="AG258" s="127"/>
      <c r="AH258" s="127"/>
      <c r="AI258" s="127"/>
      <c r="AJ258" s="127"/>
      <c r="AK258" s="127"/>
      <c r="AL258" s="127"/>
      <c r="AM258" s="127"/>
      <c r="AN258" s="127"/>
      <c r="AO258" s="127"/>
      <c r="AP258" s="127"/>
      <c r="AQ258" s="127"/>
      <c r="AR258" s="127"/>
      <c r="AS258" s="127"/>
      <c r="AT258" s="127"/>
      <c r="AU258" s="127"/>
      <c r="AV258" s="127"/>
      <c r="AW258" s="127"/>
      <c r="AX258" s="127"/>
      <c r="AY258" s="127"/>
      <c r="AZ258" s="127"/>
    </row>
    <row r="259" spans="32:52" x14ac:dyDescent="0.2">
      <c r="AF259" s="127"/>
      <c r="AG259" s="127"/>
      <c r="AH259" s="127"/>
      <c r="AI259" s="127"/>
      <c r="AJ259" s="127"/>
      <c r="AK259" s="127"/>
      <c r="AL259" s="127"/>
      <c r="AM259" s="127"/>
      <c r="AN259" s="127"/>
      <c r="AO259" s="127"/>
      <c r="AP259" s="127"/>
      <c r="AQ259" s="127"/>
      <c r="AR259" s="127"/>
      <c r="AS259" s="127"/>
      <c r="AT259" s="127"/>
      <c r="AU259" s="127"/>
      <c r="AV259" s="127"/>
      <c r="AW259" s="127"/>
      <c r="AX259" s="127"/>
      <c r="AY259" s="127"/>
      <c r="AZ259" s="127"/>
    </row>
    <row r="260" spans="32:52" x14ac:dyDescent="0.2">
      <c r="AF260" s="127"/>
      <c r="AG260" s="127"/>
      <c r="AH260" s="127"/>
      <c r="AI260" s="127"/>
      <c r="AJ260" s="127"/>
      <c r="AK260" s="127"/>
      <c r="AL260" s="127"/>
      <c r="AM260" s="127"/>
      <c r="AN260" s="127"/>
      <c r="AO260" s="127"/>
      <c r="AP260" s="127"/>
      <c r="AQ260" s="127"/>
      <c r="AR260" s="127"/>
      <c r="AS260" s="127"/>
      <c r="AT260" s="127"/>
      <c r="AU260" s="127"/>
      <c r="AV260" s="127"/>
      <c r="AW260" s="127"/>
      <c r="AX260" s="127"/>
      <c r="AY260" s="127"/>
      <c r="AZ260" s="127"/>
    </row>
    <row r="261" spans="32:52" x14ac:dyDescent="0.2">
      <c r="AF261" s="127"/>
      <c r="AG261" s="127"/>
      <c r="AH261" s="127"/>
      <c r="AI261" s="127"/>
      <c r="AJ261" s="127"/>
      <c r="AK261" s="127"/>
      <c r="AL261" s="127"/>
      <c r="AM261" s="127"/>
      <c r="AN261" s="127"/>
      <c r="AO261" s="127"/>
      <c r="AP261" s="127"/>
      <c r="AQ261" s="127"/>
      <c r="AR261" s="127"/>
      <c r="AS261" s="127"/>
      <c r="AT261" s="127"/>
      <c r="AU261" s="127"/>
      <c r="AV261" s="127"/>
      <c r="AW261" s="127"/>
      <c r="AX261" s="127"/>
      <c r="AY261" s="127"/>
      <c r="AZ261" s="127"/>
    </row>
    <row r="262" spans="32:52" x14ac:dyDescent="0.2">
      <c r="AF262" s="127"/>
      <c r="AG262" s="127"/>
      <c r="AH262" s="127"/>
      <c r="AI262" s="127"/>
      <c r="AJ262" s="127"/>
      <c r="AK262" s="127"/>
      <c r="AL262" s="127"/>
      <c r="AM262" s="127"/>
      <c r="AN262" s="127"/>
      <c r="AO262" s="127"/>
      <c r="AP262" s="127"/>
      <c r="AQ262" s="127"/>
      <c r="AR262" s="127"/>
      <c r="AS262" s="127"/>
      <c r="AT262" s="127"/>
      <c r="AU262" s="127"/>
      <c r="AV262" s="127"/>
      <c r="AW262" s="127"/>
      <c r="AX262" s="127"/>
      <c r="AY262" s="127"/>
      <c r="AZ262" s="127"/>
    </row>
    <row r="263" spans="32:52" x14ac:dyDescent="0.2">
      <c r="AF263" s="127"/>
      <c r="AG263" s="127"/>
      <c r="AH263" s="127"/>
      <c r="AI263" s="127"/>
      <c r="AJ263" s="127"/>
      <c r="AK263" s="127"/>
      <c r="AL263" s="127"/>
      <c r="AM263" s="127"/>
      <c r="AN263" s="127"/>
      <c r="AO263" s="127"/>
      <c r="AP263" s="127"/>
      <c r="AQ263" s="127"/>
      <c r="AR263" s="127"/>
      <c r="AS263" s="127"/>
      <c r="AT263" s="127"/>
      <c r="AU263" s="127"/>
      <c r="AV263" s="127"/>
      <c r="AW263" s="127"/>
      <c r="AX263" s="127"/>
      <c r="AY263" s="127"/>
      <c r="AZ263" s="127"/>
    </row>
    <row r="264" spans="32:52" x14ac:dyDescent="0.2">
      <c r="AF264" s="127"/>
      <c r="AG264" s="127"/>
      <c r="AH264" s="127"/>
      <c r="AI264" s="127"/>
      <c r="AJ264" s="127"/>
      <c r="AK264" s="127"/>
      <c r="AL264" s="127"/>
      <c r="AM264" s="127"/>
      <c r="AN264" s="127"/>
      <c r="AO264" s="127"/>
      <c r="AP264" s="127"/>
      <c r="AQ264" s="127"/>
      <c r="AR264" s="127"/>
      <c r="AS264" s="127"/>
      <c r="AT264" s="127"/>
      <c r="AU264" s="127"/>
      <c r="AV264" s="127"/>
      <c r="AW264" s="127"/>
      <c r="AX264" s="127"/>
      <c r="AY264" s="127"/>
      <c r="AZ264" s="127"/>
    </row>
    <row r="265" spans="32:52" x14ac:dyDescent="0.2">
      <c r="AF265" s="127"/>
      <c r="AG265" s="127"/>
      <c r="AH265" s="127"/>
      <c r="AI265" s="127"/>
      <c r="AJ265" s="127"/>
      <c r="AK265" s="127"/>
      <c r="AL265" s="127"/>
      <c r="AM265" s="127"/>
      <c r="AN265" s="127"/>
      <c r="AO265" s="127"/>
      <c r="AP265" s="127"/>
      <c r="AQ265" s="127"/>
      <c r="AR265" s="127"/>
      <c r="AS265" s="127"/>
      <c r="AT265" s="127"/>
      <c r="AU265" s="127"/>
      <c r="AV265" s="127"/>
      <c r="AW265" s="127"/>
      <c r="AX265" s="127"/>
      <c r="AY265" s="127"/>
      <c r="AZ265" s="127"/>
    </row>
    <row r="266" spans="32:52" x14ac:dyDescent="0.2">
      <c r="AF266" s="127"/>
      <c r="AG266" s="127"/>
      <c r="AH266" s="127"/>
      <c r="AI266" s="127"/>
      <c r="AJ266" s="127"/>
      <c r="AK266" s="127"/>
      <c r="AL266" s="127"/>
      <c r="AM266" s="127"/>
      <c r="AN266" s="127"/>
      <c r="AO266" s="127"/>
      <c r="AP266" s="127"/>
      <c r="AQ266" s="127"/>
      <c r="AR266" s="127"/>
      <c r="AS266" s="127"/>
      <c r="AT266" s="127"/>
      <c r="AU266" s="127"/>
      <c r="AV266" s="127"/>
      <c r="AW266" s="127"/>
      <c r="AX266" s="127"/>
      <c r="AY266" s="127"/>
      <c r="AZ266" s="127"/>
    </row>
    <row r="267" spans="32:52" x14ac:dyDescent="0.2">
      <c r="AF267" s="127"/>
      <c r="AG267" s="127"/>
      <c r="AH267" s="127"/>
      <c r="AI267" s="127"/>
      <c r="AJ267" s="127"/>
      <c r="AK267" s="127"/>
      <c r="AL267" s="127"/>
      <c r="AM267" s="127"/>
      <c r="AN267" s="127"/>
      <c r="AO267" s="127"/>
      <c r="AP267" s="127"/>
      <c r="AQ267" s="127"/>
      <c r="AR267" s="127"/>
      <c r="AS267" s="127"/>
      <c r="AT267" s="127"/>
      <c r="AU267" s="127"/>
      <c r="AV267" s="127"/>
      <c r="AW267" s="127"/>
      <c r="AX267" s="127"/>
      <c r="AY267" s="127"/>
      <c r="AZ267" s="127"/>
    </row>
    <row r="268" spans="32:52" x14ac:dyDescent="0.2">
      <c r="AF268" s="127"/>
      <c r="AG268" s="127"/>
      <c r="AH268" s="127"/>
      <c r="AI268" s="127"/>
      <c r="AJ268" s="127"/>
      <c r="AK268" s="127"/>
      <c r="AL268" s="127"/>
      <c r="AM268" s="127"/>
      <c r="AN268" s="127"/>
      <c r="AO268" s="127"/>
      <c r="AP268" s="127"/>
      <c r="AQ268" s="127"/>
      <c r="AR268" s="127"/>
      <c r="AS268" s="127"/>
      <c r="AT268" s="127"/>
      <c r="AU268" s="127"/>
      <c r="AV268" s="127"/>
      <c r="AW268" s="127"/>
      <c r="AX268" s="127"/>
      <c r="AY268" s="127"/>
      <c r="AZ268" s="127"/>
    </row>
    <row r="269" spans="32:52" x14ac:dyDescent="0.2">
      <c r="AF269" s="127"/>
      <c r="AG269" s="127"/>
      <c r="AH269" s="127"/>
      <c r="AI269" s="127"/>
      <c r="AJ269" s="127"/>
      <c r="AK269" s="127"/>
      <c r="AL269" s="127"/>
      <c r="AM269" s="127"/>
      <c r="AN269" s="127"/>
      <c r="AO269" s="127"/>
      <c r="AP269" s="127"/>
      <c r="AQ269" s="127"/>
      <c r="AR269" s="127"/>
      <c r="AS269" s="127"/>
      <c r="AT269" s="127"/>
      <c r="AU269" s="127"/>
      <c r="AV269" s="127"/>
      <c r="AW269" s="127"/>
      <c r="AX269" s="127"/>
      <c r="AY269" s="127"/>
      <c r="AZ269" s="127"/>
    </row>
    <row r="270" spans="32:52" x14ac:dyDescent="0.2">
      <c r="AF270" s="127"/>
      <c r="AG270" s="127"/>
      <c r="AH270" s="127"/>
      <c r="AI270" s="127"/>
      <c r="AJ270" s="127"/>
      <c r="AK270" s="127"/>
      <c r="AL270" s="127"/>
      <c r="AM270" s="127"/>
      <c r="AN270" s="127"/>
      <c r="AO270" s="127"/>
      <c r="AP270" s="127"/>
      <c r="AQ270" s="127"/>
      <c r="AR270" s="127"/>
      <c r="AS270" s="127"/>
      <c r="AT270" s="127"/>
      <c r="AU270" s="127"/>
      <c r="AV270" s="127"/>
      <c r="AW270" s="127"/>
      <c r="AX270" s="127"/>
      <c r="AY270" s="127"/>
      <c r="AZ270" s="127"/>
    </row>
    <row r="271" spans="32:52" x14ac:dyDescent="0.2">
      <c r="AF271" s="127"/>
      <c r="AG271" s="127"/>
      <c r="AH271" s="127"/>
      <c r="AI271" s="127"/>
      <c r="AJ271" s="127"/>
      <c r="AK271" s="127"/>
      <c r="AL271" s="127"/>
      <c r="AM271" s="127"/>
      <c r="AN271" s="127"/>
      <c r="AO271" s="127"/>
      <c r="AP271" s="127"/>
      <c r="AQ271" s="127"/>
      <c r="AR271" s="127"/>
      <c r="AS271" s="127"/>
      <c r="AT271" s="127"/>
      <c r="AU271" s="127"/>
      <c r="AV271" s="127"/>
      <c r="AW271" s="127"/>
      <c r="AX271" s="127"/>
      <c r="AY271" s="127"/>
      <c r="AZ271" s="127"/>
    </row>
    <row r="272" spans="32:52" x14ac:dyDescent="0.2">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row>
    <row r="273" spans="31:52" x14ac:dyDescent="0.2">
      <c r="AF273" s="127"/>
      <c r="AG273" s="127"/>
      <c r="AH273" s="127"/>
      <c r="AI273" s="127"/>
      <c r="AJ273" s="127"/>
      <c r="AK273" s="127"/>
      <c r="AL273" s="127"/>
      <c r="AM273" s="127"/>
      <c r="AN273" s="127"/>
      <c r="AO273" s="127"/>
      <c r="AP273" s="127"/>
      <c r="AQ273" s="127"/>
      <c r="AR273" s="127"/>
      <c r="AS273" s="127"/>
      <c r="AT273" s="127"/>
      <c r="AU273" s="127"/>
      <c r="AV273" s="127"/>
      <c r="AW273" s="127"/>
      <c r="AX273" s="127"/>
      <c r="AY273" s="127"/>
      <c r="AZ273" s="127"/>
    </row>
    <row r="274" spans="31:52" x14ac:dyDescent="0.2">
      <c r="AF274" s="127"/>
      <c r="AG274" s="127"/>
      <c r="AH274" s="127"/>
      <c r="AI274" s="127"/>
      <c r="AJ274" s="127"/>
      <c r="AK274" s="127"/>
      <c r="AL274" s="127"/>
      <c r="AM274" s="127"/>
      <c r="AN274" s="127"/>
      <c r="AO274" s="127"/>
      <c r="AP274" s="127"/>
      <c r="AQ274" s="127"/>
      <c r="AR274" s="127"/>
      <c r="AS274" s="127"/>
      <c r="AT274" s="127"/>
      <c r="AU274" s="127"/>
      <c r="AV274" s="127"/>
      <c r="AW274" s="127"/>
      <c r="AX274" s="127"/>
      <c r="AY274" s="127"/>
      <c r="AZ274" s="127"/>
    </row>
    <row r="275" spans="31:52" x14ac:dyDescent="0.2">
      <c r="AF275" s="127"/>
      <c r="AG275" s="127"/>
      <c r="AH275" s="127"/>
      <c r="AI275" s="127"/>
      <c r="AJ275" s="127"/>
      <c r="AK275" s="127"/>
      <c r="AL275" s="127"/>
      <c r="AM275" s="127"/>
      <c r="AN275" s="127"/>
      <c r="AO275" s="127"/>
      <c r="AP275" s="127"/>
      <c r="AQ275" s="127"/>
      <c r="AR275" s="127"/>
      <c r="AS275" s="127"/>
      <c r="AT275" s="127"/>
      <c r="AU275" s="127"/>
      <c r="AV275" s="127"/>
      <c r="AW275" s="127"/>
      <c r="AX275" s="127"/>
      <c r="AY275" s="127"/>
      <c r="AZ275" s="127"/>
    </row>
    <row r="276" spans="31:52" x14ac:dyDescent="0.2">
      <c r="AF276" s="127"/>
      <c r="AG276" s="127"/>
      <c r="AH276" s="127"/>
      <c r="AI276" s="127"/>
      <c r="AJ276" s="127"/>
      <c r="AK276" s="127"/>
      <c r="AL276" s="127"/>
      <c r="AM276" s="127"/>
      <c r="AN276" s="127"/>
      <c r="AO276" s="127"/>
      <c r="AP276" s="127"/>
      <c r="AQ276" s="127"/>
      <c r="AR276" s="127"/>
      <c r="AS276" s="127"/>
      <c r="AT276" s="127"/>
      <c r="AU276" s="127"/>
      <c r="AV276" s="127"/>
      <c r="AW276" s="127"/>
      <c r="AX276" s="127"/>
      <c r="AY276" s="127"/>
      <c r="AZ276" s="127"/>
    </row>
    <row r="277" spans="31:52" x14ac:dyDescent="0.2">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row>
    <row r="278" spans="31:52" x14ac:dyDescent="0.2">
      <c r="AF278" s="127"/>
      <c r="AG278" s="127"/>
      <c r="AH278" s="127"/>
      <c r="AI278" s="127"/>
      <c r="AJ278" s="127"/>
      <c r="AK278" s="127"/>
      <c r="AL278" s="127"/>
      <c r="AM278" s="127"/>
      <c r="AN278" s="127"/>
      <c r="AO278" s="127"/>
      <c r="AP278" s="127"/>
      <c r="AQ278" s="127"/>
      <c r="AR278" s="127"/>
      <c r="AS278" s="127"/>
      <c r="AT278" s="127"/>
      <c r="AU278" s="127"/>
      <c r="AV278" s="127"/>
      <c r="AW278" s="127"/>
      <c r="AX278" s="127"/>
      <c r="AY278" s="127"/>
      <c r="AZ278" s="127"/>
    </row>
    <row r="279" spans="31:52" x14ac:dyDescent="0.2">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row>
    <row r="281" spans="31:52" x14ac:dyDescent="0.2">
      <c r="AE281" s="207"/>
      <c r="AF281" s="127"/>
      <c r="AG281" s="127"/>
      <c r="AH281" s="127"/>
      <c r="AI281" s="127"/>
      <c r="AJ281" s="127"/>
      <c r="AK281" s="127"/>
      <c r="AL281" s="127"/>
      <c r="AM281" s="127"/>
      <c r="AN281" s="127"/>
      <c r="AO281" s="127"/>
      <c r="AP281" s="127"/>
      <c r="AQ281" s="127"/>
      <c r="AR281" s="127"/>
      <c r="AS281" s="127"/>
      <c r="AT281" s="127"/>
      <c r="AU281" s="127"/>
      <c r="AV281" s="127"/>
      <c r="AW281" s="127"/>
      <c r="AX281" s="127"/>
      <c r="AY281" s="127"/>
      <c r="AZ281" s="127"/>
    </row>
    <row r="282" spans="31:52" x14ac:dyDescent="0.2">
      <c r="AF282" s="127"/>
      <c r="AG282" s="127"/>
      <c r="AH282" s="127"/>
      <c r="AI282" s="127"/>
      <c r="AJ282" s="127"/>
      <c r="AK282" s="127"/>
      <c r="AL282" s="127"/>
      <c r="AM282" s="127"/>
      <c r="AN282" s="127"/>
      <c r="AO282" s="127"/>
      <c r="AP282" s="127"/>
      <c r="AQ282" s="127"/>
      <c r="AR282" s="127"/>
      <c r="AS282" s="127"/>
      <c r="AT282" s="127"/>
      <c r="AU282" s="127"/>
      <c r="AV282" s="127"/>
      <c r="AW282" s="127"/>
      <c r="AX282" s="127"/>
      <c r="AY282" s="127"/>
      <c r="AZ282" s="127"/>
    </row>
    <row r="283" spans="31:52" x14ac:dyDescent="0.2">
      <c r="AF283" s="127"/>
      <c r="AG283" s="127"/>
      <c r="AH283" s="127"/>
      <c r="AI283" s="127"/>
      <c r="AJ283" s="127"/>
      <c r="AK283" s="127"/>
      <c r="AL283" s="127"/>
      <c r="AM283" s="127"/>
      <c r="AN283" s="127"/>
      <c r="AO283" s="127"/>
      <c r="AP283" s="127"/>
      <c r="AQ283" s="127"/>
      <c r="AR283" s="127"/>
      <c r="AS283" s="127"/>
      <c r="AT283" s="127"/>
      <c r="AU283" s="127"/>
      <c r="AV283" s="127"/>
      <c r="AW283" s="127"/>
      <c r="AX283" s="127"/>
      <c r="AY283" s="127"/>
      <c r="AZ283" s="127"/>
    </row>
    <row r="284" spans="31:52" x14ac:dyDescent="0.2">
      <c r="AF284" s="127"/>
      <c r="AG284" s="127"/>
      <c r="AH284" s="127"/>
      <c r="AI284" s="127"/>
      <c r="AJ284" s="127"/>
      <c r="AK284" s="127"/>
      <c r="AL284" s="127"/>
      <c r="AM284" s="127"/>
      <c r="AN284" s="127"/>
      <c r="AO284" s="127"/>
      <c r="AP284" s="127"/>
      <c r="AQ284" s="127"/>
      <c r="AR284" s="127"/>
      <c r="AS284" s="127"/>
      <c r="AT284" s="127"/>
      <c r="AU284" s="127"/>
      <c r="AV284" s="127"/>
      <c r="AW284" s="127"/>
      <c r="AX284" s="127"/>
      <c r="AY284" s="127"/>
      <c r="AZ284" s="127"/>
    </row>
    <row r="285" spans="31:52" x14ac:dyDescent="0.2">
      <c r="AF285" s="127"/>
      <c r="AG285" s="127"/>
      <c r="AH285" s="127"/>
      <c r="AI285" s="127"/>
      <c r="AJ285" s="127"/>
      <c r="AK285" s="127"/>
      <c r="AL285" s="127"/>
      <c r="AM285" s="127"/>
      <c r="AN285" s="127"/>
      <c r="AO285" s="127"/>
      <c r="AP285" s="127"/>
      <c r="AQ285" s="127"/>
      <c r="AR285" s="127"/>
      <c r="AS285" s="127"/>
      <c r="AT285" s="127"/>
      <c r="AU285" s="127"/>
      <c r="AV285" s="127"/>
      <c r="AW285" s="127"/>
      <c r="AX285" s="127"/>
      <c r="AY285" s="127"/>
      <c r="AZ285" s="127"/>
    </row>
    <row r="286" spans="31:52" x14ac:dyDescent="0.2">
      <c r="AF286" s="127"/>
      <c r="AG286" s="127"/>
      <c r="AH286" s="127"/>
      <c r="AI286" s="127"/>
      <c r="AJ286" s="127"/>
      <c r="AK286" s="127"/>
      <c r="AL286" s="127"/>
      <c r="AM286" s="127"/>
      <c r="AN286" s="127"/>
      <c r="AO286" s="127"/>
      <c r="AP286" s="127"/>
      <c r="AQ286" s="127"/>
      <c r="AR286" s="127"/>
      <c r="AS286" s="127"/>
      <c r="AT286" s="127"/>
      <c r="AU286" s="127"/>
      <c r="AV286" s="127"/>
      <c r="AW286" s="127"/>
      <c r="AX286" s="127"/>
      <c r="AY286" s="127"/>
      <c r="AZ286" s="127"/>
    </row>
    <row r="287" spans="31:52" x14ac:dyDescent="0.2">
      <c r="AF287" s="127"/>
      <c r="AG287" s="127"/>
      <c r="AH287" s="127"/>
      <c r="AI287" s="127"/>
      <c r="AJ287" s="127"/>
      <c r="AK287" s="127"/>
      <c r="AL287" s="127"/>
      <c r="AM287" s="127"/>
      <c r="AN287" s="127"/>
      <c r="AO287" s="127"/>
      <c r="AP287" s="127"/>
      <c r="AQ287" s="127"/>
      <c r="AR287" s="127"/>
      <c r="AS287" s="127"/>
      <c r="AT287" s="127"/>
      <c r="AU287" s="127"/>
      <c r="AV287" s="127"/>
      <c r="AW287" s="127"/>
      <c r="AX287" s="127"/>
      <c r="AY287" s="127"/>
      <c r="AZ287" s="127"/>
    </row>
    <row r="288" spans="31:52" x14ac:dyDescent="0.2">
      <c r="AF288" s="127"/>
      <c r="AG288" s="127"/>
      <c r="AH288" s="127"/>
      <c r="AI288" s="127"/>
      <c r="AJ288" s="127"/>
      <c r="AK288" s="127"/>
      <c r="AL288" s="127"/>
      <c r="AM288" s="127"/>
      <c r="AN288" s="127"/>
      <c r="AO288" s="127"/>
      <c r="AP288" s="127"/>
      <c r="AQ288" s="127"/>
      <c r="AR288" s="127"/>
      <c r="AS288" s="127"/>
      <c r="AT288" s="127"/>
      <c r="AU288" s="127"/>
      <c r="AV288" s="127"/>
      <c r="AW288" s="127"/>
      <c r="AX288" s="127"/>
      <c r="AY288" s="127"/>
      <c r="AZ288" s="127"/>
    </row>
    <row r="289" spans="32:52" x14ac:dyDescent="0.2">
      <c r="AF289" s="127"/>
      <c r="AG289" s="127"/>
      <c r="AH289" s="127"/>
      <c r="AI289" s="127"/>
      <c r="AJ289" s="127"/>
      <c r="AK289" s="127"/>
      <c r="AL289" s="127"/>
      <c r="AM289" s="127"/>
      <c r="AN289" s="127"/>
      <c r="AO289" s="127"/>
      <c r="AP289" s="127"/>
      <c r="AQ289" s="127"/>
      <c r="AR289" s="127"/>
      <c r="AS289" s="127"/>
      <c r="AT289" s="127"/>
      <c r="AU289" s="127"/>
      <c r="AV289" s="127"/>
      <c r="AW289" s="127"/>
      <c r="AX289" s="127"/>
      <c r="AY289" s="127"/>
      <c r="AZ289" s="127"/>
    </row>
    <row r="290" spans="32:52" x14ac:dyDescent="0.2">
      <c r="AF290" s="127"/>
      <c r="AG290" s="127"/>
      <c r="AH290" s="127"/>
      <c r="AI290" s="127"/>
      <c r="AJ290" s="127"/>
      <c r="AK290" s="127"/>
      <c r="AL290" s="127"/>
      <c r="AM290" s="127"/>
      <c r="AN290" s="127"/>
      <c r="AO290" s="127"/>
      <c r="AP290" s="127"/>
      <c r="AQ290" s="127"/>
      <c r="AR290" s="127"/>
      <c r="AS290" s="127"/>
      <c r="AT290" s="127"/>
      <c r="AU290" s="127"/>
      <c r="AV290" s="127"/>
      <c r="AW290" s="127"/>
      <c r="AX290" s="127"/>
      <c r="AY290" s="127"/>
      <c r="AZ290" s="127"/>
    </row>
    <row r="291" spans="32:52" x14ac:dyDescent="0.2">
      <c r="AF291" s="127"/>
      <c r="AG291" s="127"/>
      <c r="AH291" s="127"/>
      <c r="AI291" s="127"/>
      <c r="AJ291" s="127"/>
      <c r="AK291" s="127"/>
      <c r="AL291" s="127"/>
      <c r="AM291" s="127"/>
      <c r="AN291" s="127"/>
      <c r="AO291" s="127"/>
      <c r="AP291" s="127"/>
      <c r="AQ291" s="127"/>
      <c r="AR291" s="127"/>
      <c r="AS291" s="127"/>
      <c r="AT291" s="127"/>
      <c r="AU291" s="127"/>
      <c r="AV291" s="127"/>
      <c r="AW291" s="127"/>
      <c r="AX291" s="127"/>
      <c r="AY291" s="127"/>
      <c r="AZ291" s="127"/>
    </row>
    <row r="292" spans="32:52" x14ac:dyDescent="0.2">
      <c r="AF292" s="127"/>
      <c r="AG292" s="127"/>
      <c r="AH292" s="127"/>
      <c r="AI292" s="127"/>
      <c r="AJ292" s="127"/>
      <c r="AK292" s="127"/>
      <c r="AL292" s="127"/>
      <c r="AM292" s="127"/>
      <c r="AN292" s="127"/>
      <c r="AO292" s="127"/>
      <c r="AP292" s="127"/>
      <c r="AQ292" s="127"/>
      <c r="AR292" s="127"/>
      <c r="AS292" s="127"/>
      <c r="AT292" s="127"/>
      <c r="AU292" s="127"/>
      <c r="AV292" s="127"/>
      <c r="AW292" s="127"/>
      <c r="AX292" s="127"/>
      <c r="AY292" s="127"/>
      <c r="AZ292" s="127"/>
    </row>
    <row r="293" spans="32:52" x14ac:dyDescent="0.2">
      <c r="AF293" s="127"/>
      <c r="AG293" s="127"/>
      <c r="AH293" s="127"/>
      <c r="AI293" s="127"/>
      <c r="AJ293" s="127"/>
      <c r="AK293" s="127"/>
      <c r="AL293" s="127"/>
      <c r="AM293" s="127"/>
      <c r="AN293" s="127"/>
      <c r="AO293" s="127"/>
      <c r="AP293" s="127"/>
      <c r="AQ293" s="127"/>
      <c r="AR293" s="127"/>
      <c r="AS293" s="127"/>
      <c r="AT293" s="127"/>
      <c r="AU293" s="127"/>
      <c r="AV293" s="127"/>
      <c r="AW293" s="127"/>
      <c r="AX293" s="127"/>
      <c r="AY293" s="127"/>
      <c r="AZ293" s="127"/>
    </row>
    <row r="294" spans="32:52" x14ac:dyDescent="0.2">
      <c r="AF294" s="127"/>
      <c r="AG294" s="127"/>
      <c r="AH294" s="127"/>
      <c r="AI294" s="127"/>
      <c r="AJ294" s="127"/>
      <c r="AK294" s="127"/>
      <c r="AL294" s="127"/>
      <c r="AM294" s="127"/>
      <c r="AN294" s="127"/>
      <c r="AO294" s="127"/>
      <c r="AP294" s="127"/>
      <c r="AQ294" s="127"/>
      <c r="AR294" s="127"/>
      <c r="AS294" s="127"/>
      <c r="AT294" s="127"/>
      <c r="AU294" s="127"/>
      <c r="AV294" s="127"/>
      <c r="AW294" s="127"/>
      <c r="AX294" s="127"/>
      <c r="AY294" s="127"/>
      <c r="AZ294" s="127"/>
    </row>
    <row r="295" spans="32:52" x14ac:dyDescent="0.2">
      <c r="AF295" s="127"/>
      <c r="AG295" s="127"/>
      <c r="AH295" s="127"/>
      <c r="AI295" s="127"/>
      <c r="AJ295" s="127"/>
      <c r="AK295" s="127"/>
      <c r="AL295" s="127"/>
      <c r="AM295" s="127"/>
      <c r="AN295" s="127"/>
      <c r="AO295" s="127"/>
      <c r="AP295" s="127"/>
      <c r="AQ295" s="127"/>
      <c r="AR295" s="127"/>
      <c r="AS295" s="127"/>
      <c r="AT295" s="127"/>
      <c r="AU295" s="127"/>
      <c r="AV295" s="127"/>
      <c r="AW295" s="127"/>
      <c r="AX295" s="127"/>
      <c r="AY295" s="127"/>
      <c r="AZ295" s="127"/>
    </row>
    <row r="296" spans="32:52" x14ac:dyDescent="0.2">
      <c r="AF296" s="127"/>
      <c r="AG296" s="127"/>
      <c r="AH296" s="127"/>
      <c r="AI296" s="127"/>
      <c r="AJ296" s="127"/>
      <c r="AK296" s="127"/>
      <c r="AL296" s="127"/>
      <c r="AM296" s="127"/>
      <c r="AN296" s="127"/>
      <c r="AO296" s="127"/>
      <c r="AP296" s="127"/>
      <c r="AQ296" s="127"/>
      <c r="AR296" s="127"/>
      <c r="AS296" s="127"/>
      <c r="AT296" s="127"/>
      <c r="AU296" s="127"/>
      <c r="AV296" s="127"/>
      <c r="AW296" s="127"/>
      <c r="AX296" s="127"/>
      <c r="AY296" s="127"/>
      <c r="AZ296" s="127"/>
    </row>
    <row r="297" spans="32:52" x14ac:dyDescent="0.2">
      <c r="AF297" s="127"/>
      <c r="AG297" s="127"/>
      <c r="AH297" s="127"/>
      <c r="AI297" s="127"/>
      <c r="AJ297" s="127"/>
      <c r="AK297" s="127"/>
      <c r="AL297" s="127"/>
      <c r="AM297" s="127"/>
      <c r="AN297" s="127"/>
      <c r="AO297" s="127"/>
      <c r="AP297" s="127"/>
      <c r="AQ297" s="127"/>
      <c r="AR297" s="127"/>
      <c r="AS297" s="127"/>
      <c r="AT297" s="127"/>
      <c r="AU297" s="127"/>
      <c r="AV297" s="127"/>
      <c r="AW297" s="127"/>
      <c r="AX297" s="127"/>
      <c r="AY297" s="127"/>
      <c r="AZ297" s="127"/>
    </row>
    <row r="298" spans="32:52" x14ac:dyDescent="0.2">
      <c r="AF298" s="127"/>
      <c r="AG298" s="127"/>
      <c r="AH298" s="127"/>
      <c r="AI298" s="127"/>
      <c r="AJ298" s="127"/>
      <c r="AK298" s="127"/>
      <c r="AL298" s="127"/>
      <c r="AM298" s="127"/>
      <c r="AN298" s="127"/>
      <c r="AO298" s="127"/>
      <c r="AP298" s="127"/>
      <c r="AQ298" s="127"/>
      <c r="AR298" s="127"/>
      <c r="AS298" s="127"/>
      <c r="AT298" s="127"/>
      <c r="AU298" s="127"/>
      <c r="AV298" s="127"/>
      <c r="AW298" s="127"/>
      <c r="AX298" s="127"/>
      <c r="AY298" s="127"/>
      <c r="AZ298" s="127"/>
    </row>
    <row r="299" spans="32:52" x14ac:dyDescent="0.2">
      <c r="AF299" s="127"/>
      <c r="AG299" s="127"/>
      <c r="AH299" s="127"/>
      <c r="AI299" s="127"/>
      <c r="AJ299" s="127"/>
      <c r="AK299" s="127"/>
      <c r="AL299" s="127"/>
      <c r="AM299" s="127"/>
      <c r="AN299" s="127"/>
      <c r="AO299" s="127"/>
      <c r="AP299" s="127"/>
      <c r="AQ299" s="127"/>
      <c r="AR299" s="127"/>
      <c r="AS299" s="127"/>
      <c r="AT299" s="127"/>
      <c r="AU299" s="127"/>
      <c r="AV299" s="127"/>
      <c r="AW299" s="127"/>
      <c r="AX299" s="127"/>
      <c r="AY299" s="127"/>
      <c r="AZ299" s="127"/>
    </row>
    <row r="300" spans="32:52" x14ac:dyDescent="0.2">
      <c r="AF300" s="127"/>
      <c r="AG300" s="127"/>
      <c r="AH300" s="127"/>
      <c r="AI300" s="127"/>
      <c r="AJ300" s="127"/>
      <c r="AK300" s="127"/>
      <c r="AL300" s="127"/>
      <c r="AM300" s="127"/>
      <c r="AN300" s="127"/>
      <c r="AO300" s="127"/>
      <c r="AP300" s="127"/>
      <c r="AQ300" s="127"/>
      <c r="AR300" s="127"/>
      <c r="AS300" s="127"/>
      <c r="AT300" s="127"/>
      <c r="AU300" s="127"/>
      <c r="AV300" s="127"/>
      <c r="AW300" s="127"/>
      <c r="AX300" s="127"/>
      <c r="AY300" s="127"/>
      <c r="AZ300" s="127"/>
    </row>
    <row r="301" spans="32:52" x14ac:dyDescent="0.2">
      <c r="AF301" s="127"/>
      <c r="AG301" s="127"/>
      <c r="AH301" s="127"/>
      <c r="AI301" s="127"/>
      <c r="AJ301" s="127"/>
      <c r="AK301" s="127"/>
      <c r="AL301" s="127"/>
      <c r="AM301" s="127"/>
      <c r="AN301" s="127"/>
      <c r="AO301" s="127"/>
      <c r="AP301" s="127"/>
      <c r="AQ301" s="127"/>
      <c r="AR301" s="127"/>
      <c r="AS301" s="127"/>
      <c r="AT301" s="127"/>
      <c r="AU301" s="127"/>
      <c r="AV301" s="127"/>
      <c r="AW301" s="127"/>
      <c r="AX301" s="127"/>
      <c r="AY301" s="127"/>
      <c r="AZ301" s="127"/>
    </row>
    <row r="302" spans="32:52" x14ac:dyDescent="0.2">
      <c r="AF302" s="127"/>
      <c r="AG302" s="127"/>
      <c r="AH302" s="127"/>
      <c r="AI302" s="127"/>
      <c r="AJ302" s="127"/>
      <c r="AK302" s="127"/>
      <c r="AL302" s="127"/>
      <c r="AM302" s="127"/>
      <c r="AN302" s="127"/>
      <c r="AO302" s="127"/>
      <c r="AP302" s="127"/>
      <c r="AQ302" s="127"/>
      <c r="AR302" s="127"/>
      <c r="AS302" s="127"/>
      <c r="AT302" s="127"/>
      <c r="AU302" s="127"/>
      <c r="AV302" s="127"/>
      <c r="AW302" s="127"/>
      <c r="AX302" s="127"/>
      <c r="AY302" s="127"/>
      <c r="AZ302" s="127"/>
    </row>
    <row r="303" spans="32:52" x14ac:dyDescent="0.2">
      <c r="AF303" s="127"/>
      <c r="AG303" s="127"/>
      <c r="AH303" s="127"/>
      <c r="AI303" s="127"/>
      <c r="AJ303" s="127"/>
      <c r="AK303" s="127"/>
      <c r="AL303" s="127"/>
      <c r="AM303" s="127"/>
      <c r="AN303" s="127"/>
      <c r="AO303" s="127"/>
      <c r="AP303" s="127"/>
      <c r="AQ303" s="127"/>
      <c r="AR303" s="127"/>
      <c r="AS303" s="127"/>
      <c r="AT303" s="127"/>
      <c r="AU303" s="127"/>
      <c r="AV303" s="127"/>
      <c r="AW303" s="127"/>
      <c r="AX303" s="127"/>
      <c r="AY303" s="127"/>
      <c r="AZ303" s="127"/>
    </row>
    <row r="304" spans="32:52" x14ac:dyDescent="0.2">
      <c r="AF304" s="127"/>
      <c r="AG304" s="127"/>
      <c r="AH304" s="127"/>
      <c r="AI304" s="127"/>
      <c r="AJ304" s="127"/>
      <c r="AK304" s="127"/>
      <c r="AL304" s="127"/>
      <c r="AM304" s="127"/>
      <c r="AN304" s="127"/>
      <c r="AO304" s="127"/>
      <c r="AP304" s="127"/>
      <c r="AQ304" s="127"/>
      <c r="AR304" s="127"/>
      <c r="AS304" s="127"/>
      <c r="AT304" s="127"/>
      <c r="AU304" s="127"/>
      <c r="AV304" s="127"/>
      <c r="AW304" s="127"/>
      <c r="AX304" s="127"/>
      <c r="AY304" s="127"/>
      <c r="AZ304" s="127"/>
    </row>
    <row r="305" spans="32:52" x14ac:dyDescent="0.2">
      <c r="AF305" s="127"/>
      <c r="AG305" s="127"/>
      <c r="AH305" s="127"/>
      <c r="AI305" s="127"/>
      <c r="AJ305" s="127"/>
      <c r="AK305" s="127"/>
      <c r="AL305" s="127"/>
      <c r="AM305" s="127"/>
      <c r="AN305" s="127"/>
      <c r="AO305" s="127"/>
      <c r="AP305" s="127"/>
      <c r="AQ305" s="127"/>
      <c r="AR305" s="127"/>
      <c r="AS305" s="127"/>
      <c r="AT305" s="127"/>
      <c r="AU305" s="127"/>
      <c r="AV305" s="127"/>
      <c r="AW305" s="127"/>
      <c r="AX305" s="127"/>
      <c r="AY305" s="127"/>
      <c r="AZ305" s="127"/>
    </row>
  </sheetData>
  <sheetProtection algorithmName="SHA-512" hashValue="WSn4xKEF7Y87WpjYljHIKYGgYSYeY+5S+8nMYs+Eyt/MROA2TxXiRVjKEfVMKyIHiJs7qh+wtAODOJm688vkJg==" saltValue="wnLmRPsWWaqJmQmSN1XWmg==" spinCount="100000" sheet="1" objects="1" scenarios="1"/>
  <mergeCells count="218">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N14:O15"/>
    <mergeCell ref="R14:S15"/>
    <mergeCell ref="V14:W15"/>
    <mergeCell ref="Z14:AA15"/>
    <mergeCell ref="AD14:AE15"/>
    <mergeCell ref="AD16:AE17"/>
    <mergeCell ref="AH16:AI17"/>
    <mergeCell ref="AL16:AM17"/>
    <mergeCell ref="AP16:AQ17"/>
    <mergeCell ref="AX19:BA20"/>
    <mergeCell ref="G20:J20"/>
    <mergeCell ref="K20:N20"/>
    <mergeCell ref="O20:R20"/>
    <mergeCell ref="S20:V20"/>
    <mergeCell ref="W20:Z20"/>
    <mergeCell ref="AA20:AD20"/>
    <mergeCell ref="AE20:AH20"/>
    <mergeCell ref="AI20:AL20"/>
    <mergeCell ref="AM20:AP20"/>
    <mergeCell ref="H21:I21"/>
    <mergeCell ref="L21:M21"/>
    <mergeCell ref="N21:O21"/>
    <mergeCell ref="P21:Q21"/>
    <mergeCell ref="R21:S21"/>
    <mergeCell ref="T21:U21"/>
    <mergeCell ref="AH21:AI21"/>
    <mergeCell ref="AJ21:AK21"/>
    <mergeCell ref="AL21:AM21"/>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AX22:BA24"/>
    <mergeCell ref="E23:H23"/>
    <mergeCell ref="I23:L23"/>
    <mergeCell ref="M23:P23"/>
    <mergeCell ref="Q23:T23"/>
    <mergeCell ref="U23:X23"/>
    <mergeCell ref="Y23:AB23"/>
    <mergeCell ref="AC23:AF23"/>
    <mergeCell ref="AG23:AJ23"/>
    <mergeCell ref="AK23:AN23"/>
    <mergeCell ref="AO23:AR23"/>
    <mergeCell ref="E24:H24"/>
    <mergeCell ref="I24:L24"/>
    <mergeCell ref="M24:P24"/>
    <mergeCell ref="Q24:T24"/>
    <mergeCell ref="U24:X24"/>
    <mergeCell ref="Y24:AB24"/>
    <mergeCell ref="AC24:AF24"/>
    <mergeCell ref="AG24:AJ24"/>
    <mergeCell ref="AK24:AN24"/>
    <mergeCell ref="AO24:AR24"/>
    <mergeCell ref="E25:H25"/>
    <mergeCell ref="I25:L25"/>
    <mergeCell ref="M25:P25"/>
    <mergeCell ref="Q25:T25"/>
    <mergeCell ref="U25:X25"/>
    <mergeCell ref="Y25:AB25"/>
    <mergeCell ref="AC25:AF25"/>
    <mergeCell ref="AG25:AJ25"/>
    <mergeCell ref="AK25:AN25"/>
    <mergeCell ref="AO25:AR25"/>
    <mergeCell ref="AX25:AZ26"/>
    <mergeCell ref="AC26:AF26"/>
    <mergeCell ref="AG26:AJ26"/>
    <mergeCell ref="AK26:AN26"/>
    <mergeCell ref="AO26:AR26"/>
    <mergeCell ref="E28:H28"/>
    <mergeCell ref="I28:L28"/>
    <mergeCell ref="M28:P28"/>
    <mergeCell ref="Q28:T28"/>
    <mergeCell ref="U28:X28"/>
    <mergeCell ref="Y28:AB28"/>
    <mergeCell ref="E26:H26"/>
    <mergeCell ref="I26:L26"/>
    <mergeCell ref="M26:P26"/>
    <mergeCell ref="Q26:T26"/>
    <mergeCell ref="U26:X26"/>
    <mergeCell ref="Y26:AB26"/>
    <mergeCell ref="AX34:AY34"/>
    <mergeCell ref="AX35:AY35"/>
    <mergeCell ref="AX36:AY36"/>
    <mergeCell ref="AX37:AY37"/>
    <mergeCell ref="AF38:AL38"/>
    <mergeCell ref="AM38:AN38"/>
    <mergeCell ref="AX38:AY38"/>
    <mergeCell ref="AC28:AF28"/>
    <mergeCell ref="AG28:AJ28"/>
    <mergeCell ref="AK28:AN28"/>
    <mergeCell ref="AO28:AR28"/>
    <mergeCell ref="AW30:BA32"/>
    <mergeCell ref="AX33:AY33"/>
    <mergeCell ref="AL39:AS39"/>
    <mergeCell ref="AX39:AY39"/>
    <mergeCell ref="Z40:Z41"/>
    <mergeCell ref="AX40:AY40"/>
    <mergeCell ref="AX41:AY41"/>
    <mergeCell ref="Z42:Z45"/>
    <mergeCell ref="AX42:AY42"/>
    <mergeCell ref="AM43:AQ43"/>
    <mergeCell ref="AR43:AS43"/>
    <mergeCell ref="P44:S45"/>
    <mergeCell ref="AO44:AS44"/>
    <mergeCell ref="T45:U45"/>
    <mergeCell ref="AM45:AS45"/>
    <mergeCell ref="I46:K46"/>
    <mergeCell ref="Z46:Z54"/>
    <mergeCell ref="AM46:AS46"/>
    <mergeCell ref="I47:K47"/>
    <mergeCell ref="AM47:AS47"/>
    <mergeCell ref="I48:K48"/>
    <mergeCell ref="AF48:AL50"/>
    <mergeCell ref="AW48:AX48"/>
    <mergeCell ref="I49:K49"/>
    <mergeCell ref="AM49:AP49"/>
    <mergeCell ref="AE53:AG53"/>
    <mergeCell ref="AI53:AJ53"/>
    <mergeCell ref="AK53:AL53"/>
    <mergeCell ref="AM53:AN53"/>
    <mergeCell ref="AP53:AQ53"/>
    <mergeCell ref="F72:I72"/>
    <mergeCell ref="L72:O72"/>
    <mergeCell ref="X72:AA72"/>
    <mergeCell ref="AN78:AP78"/>
    <mergeCell ref="AN79:AP79"/>
    <mergeCell ref="AN80:AS80"/>
    <mergeCell ref="AE55:AN55"/>
    <mergeCell ref="AO55:AP55"/>
    <mergeCell ref="AI57:AS57"/>
    <mergeCell ref="Q59:AB60"/>
    <mergeCell ref="AE70:AL70"/>
    <mergeCell ref="AN70:AS70"/>
    <mergeCell ref="Z87:AB89"/>
    <mergeCell ref="AM87:AO87"/>
    <mergeCell ref="AM88:AR88"/>
    <mergeCell ref="AE90:AS92"/>
    <mergeCell ref="Z91:AB93"/>
    <mergeCell ref="H96:K96"/>
    <mergeCell ref="O96:R96"/>
    <mergeCell ref="AQ96:AR96"/>
    <mergeCell ref="AE84:AL84"/>
    <mergeCell ref="H85:K85"/>
    <mergeCell ref="O85:R85"/>
    <mergeCell ref="V85:Y85"/>
    <mergeCell ref="AE85:AL85"/>
    <mergeCell ref="AP86:AR86"/>
    <mergeCell ref="T110:Y110"/>
    <mergeCell ref="T112:Y112"/>
    <mergeCell ref="T114:U114"/>
    <mergeCell ref="E116:R118"/>
    <mergeCell ref="AW96:AX96"/>
    <mergeCell ref="V97:Y97"/>
    <mergeCell ref="C98:AO98"/>
    <mergeCell ref="T104:U104"/>
    <mergeCell ref="T106:U106"/>
    <mergeCell ref="T108:U108"/>
  </mergeCells>
  <conditionalFormatting sqref="AG45:AL45">
    <cfRule type="expression" dxfId="663" priority="299">
      <formula>$AC$43="x"</formula>
    </cfRule>
  </conditionalFormatting>
  <conditionalFormatting sqref="AO44:AS44">
    <cfRule type="expression" dxfId="662" priority="298">
      <formula>$AK$42="x"</formula>
    </cfRule>
  </conditionalFormatting>
  <conditionalFormatting sqref="AP7:AS7">
    <cfRule type="expression" dxfId="661" priority="297">
      <formula>$AM$5&gt;0</formula>
    </cfRule>
  </conditionalFormatting>
  <conditionalFormatting sqref="E28:AR28">
    <cfRule type="expression" dxfId="660" priority="284">
      <formula>AND($A$28&lt;&gt;"",F$10&lt;&gt;"")</formula>
    </cfRule>
  </conditionalFormatting>
  <conditionalFormatting sqref="F72:I72">
    <cfRule type="expression" dxfId="659" priority="318">
      <formula>$F$72=""</formula>
    </cfRule>
  </conditionalFormatting>
  <conditionalFormatting sqref="H85:K85">
    <cfRule type="expression" dxfId="658" priority="289">
      <formula>$H$85=""</formula>
    </cfRule>
  </conditionalFormatting>
  <conditionalFormatting sqref="O85:R85">
    <cfRule type="expression" dxfId="657" priority="316">
      <formula>$O$85=""</formula>
    </cfRule>
  </conditionalFormatting>
  <conditionalFormatting sqref="V85:Y85">
    <cfRule type="expression" dxfId="656" priority="288">
      <formula>$V$85=""</formula>
    </cfRule>
  </conditionalFormatting>
  <conditionalFormatting sqref="AM49:AP49">
    <cfRule type="expression" dxfId="655" priority="186">
      <formula>$AM$49=""</formula>
    </cfRule>
  </conditionalFormatting>
  <conditionalFormatting sqref="AH54">
    <cfRule type="expression" dxfId="654" priority="300">
      <formula>$AE$53=0</formula>
    </cfRule>
  </conditionalFormatting>
  <conditionalFormatting sqref="L72:O72">
    <cfRule type="expression" dxfId="653" priority="291">
      <formula>$L$72=""</formula>
    </cfRule>
  </conditionalFormatting>
  <conditionalFormatting sqref="X72:AA72">
    <cfRule type="expression" dxfId="652" priority="290">
      <formula>$X$72=""</formula>
    </cfRule>
  </conditionalFormatting>
  <conditionalFormatting sqref="AT5">
    <cfRule type="expression" dxfId="651" priority="161">
      <formula>$AT$5=1</formula>
    </cfRule>
  </conditionalFormatting>
  <conditionalFormatting sqref="AM43:AQ43">
    <cfRule type="expression" dxfId="650" priority="189">
      <formula>$AM$43=""</formula>
    </cfRule>
  </conditionalFormatting>
  <conditionalFormatting sqref="AR43:AS43">
    <cfRule type="expression" dxfId="649" priority="160">
      <formula>$AR$43=""</formula>
    </cfRule>
  </conditionalFormatting>
  <conditionalFormatting sqref="AM45:AS45">
    <cfRule type="expression" dxfId="648" priority="188">
      <formula>$AM$45=""</formula>
    </cfRule>
  </conditionalFormatting>
  <conditionalFormatting sqref="AE70:AL70">
    <cfRule type="expression" dxfId="647" priority="170">
      <formula>$AE$70=""</formula>
    </cfRule>
  </conditionalFormatting>
  <conditionalFormatting sqref="AN70:AS70">
    <cfRule type="expression" dxfId="646" priority="156">
      <formula>$AN$70=""</formula>
    </cfRule>
  </conditionalFormatting>
  <conditionalFormatting sqref="AO55:AP55">
    <cfRule type="expression" dxfId="645" priority="53">
      <formula>$AT$52=1</formula>
    </cfRule>
    <cfRule type="expression" dxfId="644" priority="154">
      <formula>$AO$55=""</formula>
    </cfRule>
  </conditionalFormatting>
  <conditionalFormatting sqref="AN80:AS80">
    <cfRule type="expression" dxfId="643" priority="151">
      <formula>$AN$80=""</formula>
    </cfRule>
  </conditionalFormatting>
  <conditionalFormatting sqref="H96:K96">
    <cfRule type="expression" dxfId="642" priority="302">
      <formula>$H$96=""</formula>
    </cfRule>
  </conditionalFormatting>
  <conditionalFormatting sqref="AM88:AR88">
    <cfRule type="expression" dxfId="641" priority="144">
      <formula>$AM$88=""</formula>
    </cfRule>
  </conditionalFormatting>
  <conditionalFormatting sqref="Y5:AF5">
    <cfRule type="expression" dxfId="640" priority="278">
      <formula>$Y$5=""</formula>
    </cfRule>
  </conditionalFormatting>
  <conditionalFormatting sqref="Y6:AF6">
    <cfRule type="expression" dxfId="639" priority="141">
      <formula>$Y$6=""</formula>
    </cfRule>
  </conditionalFormatting>
  <conditionalFormatting sqref="Y7:AF7">
    <cfRule type="expression" dxfId="638" priority="140">
      <formula>$Y$7=""</formula>
    </cfRule>
  </conditionalFormatting>
  <conditionalFormatting sqref="AJ5:AL5">
    <cfRule type="expression" dxfId="637" priority="274">
      <formula>$AJ$5=""</formula>
    </cfRule>
  </conditionalFormatting>
  <conditionalFormatting sqref="AJ6:AL6">
    <cfRule type="expression" dxfId="636" priority="138">
      <formula>$AJ$6=""</formula>
    </cfRule>
  </conditionalFormatting>
  <conditionalFormatting sqref="AJ7:AL7">
    <cfRule type="expression" dxfId="635" priority="137">
      <formula>$AJ$7=""</formula>
    </cfRule>
  </conditionalFormatting>
  <conditionalFormatting sqref="I49:K49">
    <cfRule type="expression" dxfId="634" priority="136">
      <formula>$I$49=""</formula>
    </cfRule>
  </conditionalFormatting>
  <conditionalFormatting sqref="T45:U45">
    <cfRule type="expression" dxfId="633" priority="135">
      <formula>$T$45=""</formula>
    </cfRule>
  </conditionalFormatting>
  <conditionalFormatting sqref="Z42:Z45">
    <cfRule type="expression" dxfId="632" priority="134">
      <formula>$Z$42=""</formula>
    </cfRule>
  </conditionalFormatting>
  <conditionalFormatting sqref="AX33:AY42">
    <cfRule type="expression" dxfId="631" priority="132">
      <formula>AW33=""</formula>
    </cfRule>
  </conditionalFormatting>
  <conditionalFormatting sqref="A9:A11">
    <cfRule type="expression" dxfId="630" priority="73">
      <formula>$C$11&lt;36</formula>
    </cfRule>
  </conditionalFormatting>
  <conditionalFormatting sqref="A28">
    <cfRule type="expression" dxfId="629" priority="130">
      <formula>$E$28&gt;0</formula>
    </cfRule>
  </conditionalFormatting>
  <conditionalFormatting sqref="AX33:AY42">
    <cfRule type="expression" dxfId="628" priority="133">
      <formula>AX33=""</formula>
    </cfRule>
  </conditionalFormatting>
  <conditionalFormatting sqref="R112:Y114">
    <cfRule type="expression" dxfId="627" priority="80">
      <formula>$T$110=""</formula>
    </cfRule>
  </conditionalFormatting>
  <conditionalFormatting sqref="AE53:AG53">
    <cfRule type="expression" dxfId="626" priority="54">
      <formula>$AT$52=1</formula>
    </cfRule>
    <cfRule type="expression" dxfId="625" priority="107">
      <formula>$AE$53=0</formula>
    </cfRule>
  </conditionalFormatting>
  <conditionalFormatting sqref="AW48:AX48">
    <cfRule type="expression" dxfId="624" priority="106">
      <formula>$AW$48=""</formula>
    </cfRule>
  </conditionalFormatting>
  <conditionalFormatting sqref="AE84:AL84">
    <cfRule type="expression" dxfId="623" priority="98">
      <formula>$AE$84=""</formula>
    </cfRule>
  </conditionalFormatting>
  <conditionalFormatting sqref="AB102:AB120">
    <cfRule type="expression" dxfId="622" priority="96">
      <formula>$T$104&lt;&gt;105</formula>
    </cfRule>
  </conditionalFormatting>
  <conditionalFormatting sqref="AB120:AG120">
    <cfRule type="expression" dxfId="621" priority="95">
      <formula>$T$104&lt;&gt;105</formula>
    </cfRule>
  </conditionalFormatting>
  <conditionalFormatting sqref="AG102:AG120">
    <cfRule type="expression" dxfId="620" priority="94">
      <formula>AND($T$104&lt;&gt;105,$T$104&lt;&gt;85)</formula>
    </cfRule>
  </conditionalFormatting>
  <conditionalFormatting sqref="AB102:AG102">
    <cfRule type="expression" dxfId="619" priority="93">
      <formula>$T$104&lt;&gt;105</formula>
    </cfRule>
  </conditionalFormatting>
  <conditionalFormatting sqref="AH120:AM120">
    <cfRule type="expression" dxfId="618" priority="92">
      <formula>$T$104&lt;&gt;85</formula>
    </cfRule>
  </conditionalFormatting>
  <conditionalFormatting sqref="AH102:AM102">
    <cfRule type="expression" dxfId="617" priority="91">
      <formula>$T$104&lt;&gt;85</formula>
    </cfRule>
  </conditionalFormatting>
  <conditionalFormatting sqref="AN102:AN120">
    <cfRule type="expression" dxfId="616" priority="90">
      <formula>AND($T$104&lt;&gt;85,$T$104&lt;&gt;110)</formula>
    </cfRule>
  </conditionalFormatting>
  <conditionalFormatting sqref="AN120:AT120">
    <cfRule type="expression" dxfId="615" priority="89">
      <formula>$T$104&lt;&gt;110</formula>
    </cfRule>
  </conditionalFormatting>
  <conditionalFormatting sqref="AT102:AT120">
    <cfRule type="expression" dxfId="614" priority="88">
      <formula>$T$104&lt;&gt;110</formula>
    </cfRule>
  </conditionalFormatting>
  <conditionalFormatting sqref="AN102:AT102">
    <cfRule type="expression" dxfId="613" priority="87">
      <formula>$T$104&lt;&gt;110</formula>
    </cfRule>
  </conditionalFormatting>
  <conditionalFormatting sqref="T104:U104">
    <cfRule type="expression" dxfId="612" priority="86">
      <formula>$T$104=""</formula>
    </cfRule>
  </conditionalFormatting>
  <conditionalFormatting sqref="T106:U106">
    <cfRule type="expression" dxfId="611" priority="85">
      <formula>$T$106=""</formula>
    </cfRule>
  </conditionalFormatting>
  <conditionalFormatting sqref="T108:U108">
    <cfRule type="expression" dxfId="610" priority="84">
      <formula>$T$108=""</formula>
    </cfRule>
  </conditionalFormatting>
  <conditionalFormatting sqref="T114:U114">
    <cfRule type="expression" dxfId="609" priority="83">
      <formula>$T$114=""</formula>
    </cfRule>
  </conditionalFormatting>
  <conditionalFormatting sqref="T110:Y110">
    <cfRule type="expression" dxfId="608" priority="81">
      <formula>$T$110=""</formula>
    </cfRule>
  </conditionalFormatting>
  <conditionalFormatting sqref="T112:Y112">
    <cfRule type="expression" dxfId="607" priority="82">
      <formula>$T$112=""</formula>
    </cfRule>
  </conditionalFormatting>
  <conditionalFormatting sqref="AI57:AS57">
    <cfRule type="expression" dxfId="606" priority="185">
      <formula>$AI$57=""</formula>
    </cfRule>
  </conditionalFormatting>
  <conditionalFormatting sqref="AX25:AZ26">
    <cfRule type="expression" dxfId="605" priority="75">
      <formula>$AX$25=""</formula>
    </cfRule>
  </conditionalFormatting>
  <conditionalFormatting sqref="AM87:AO87">
    <cfRule type="expression" dxfId="604" priority="71">
      <formula>$AM$87=""</formula>
    </cfRule>
  </conditionalFormatting>
  <conditionalFormatting sqref="AX76">
    <cfRule type="expression" dxfId="603" priority="60">
      <formula>$AN$80=""</formula>
    </cfRule>
  </conditionalFormatting>
  <conditionalFormatting sqref="AX77">
    <cfRule type="expression" dxfId="602" priority="59">
      <formula>$AN$80=""</formula>
    </cfRule>
  </conditionalFormatting>
  <conditionalFormatting sqref="AX78">
    <cfRule type="expression" dxfId="601" priority="58">
      <formula>$AN$80=""</formula>
    </cfRule>
  </conditionalFormatting>
  <conditionalFormatting sqref="AX79">
    <cfRule type="expression" dxfId="600" priority="57">
      <formula>$AN$80=""</formula>
    </cfRule>
  </conditionalFormatting>
  <conditionalFormatting sqref="AX80">
    <cfRule type="expression" dxfId="599" priority="56">
      <formula>$AN$80=""</formula>
    </cfRule>
  </conditionalFormatting>
  <conditionalFormatting sqref="AT52">
    <cfRule type="expression" dxfId="598" priority="55">
      <formula>$AT$52=1</formula>
    </cfRule>
  </conditionalFormatting>
  <conditionalFormatting sqref="M6:Q6">
    <cfRule type="expression" dxfId="597" priority="42">
      <formula>$M$6=""</formula>
    </cfRule>
  </conditionalFormatting>
  <conditionalFormatting sqref="AN78:AP78">
    <cfRule type="expression" dxfId="596" priority="153">
      <formula>$AN$78=""</formula>
    </cfRule>
  </conditionalFormatting>
  <conditionalFormatting sqref="AN79:AP79">
    <cfRule type="expression" dxfId="595" priority="152">
      <formula>$AN$79=""</formula>
    </cfRule>
  </conditionalFormatting>
  <conditionalFormatting sqref="AM46:AS46">
    <cfRule type="expression" dxfId="594" priority="157">
      <formula>$AM$46=""</formula>
    </cfRule>
  </conditionalFormatting>
  <conditionalFormatting sqref="AM47:AS47">
    <cfRule type="expression" dxfId="593" priority="34">
      <formula>$AM$47=""</formula>
    </cfRule>
  </conditionalFormatting>
  <conditionalFormatting sqref="AB62">
    <cfRule type="expression" dxfId="592" priority="20">
      <formula>$AB$62&gt;0</formula>
    </cfRule>
  </conditionalFormatting>
  <conditionalFormatting sqref="AB73">
    <cfRule type="expression" dxfId="591" priority="19">
      <formula>$AB$73&gt;0</formula>
    </cfRule>
  </conditionalFormatting>
  <conditionalFormatting sqref="AQ96:AR96">
    <cfRule type="expression" dxfId="590" priority="18">
      <formula>$AQ$96=""</formula>
    </cfRule>
  </conditionalFormatting>
  <conditionalFormatting sqref="BD2:BI10">
    <cfRule type="expression" dxfId="589" priority="9">
      <formula>$AW$2=""</formula>
    </cfRule>
  </conditionalFormatting>
  <conditionalFormatting sqref="AZ9:BA9">
    <cfRule type="expression" dxfId="588" priority="6">
      <formula>$AZ$9=""</formula>
    </cfRule>
  </conditionalFormatting>
  <conditionalFormatting sqref="AZ10:BA10">
    <cfRule type="expression" dxfId="587" priority="5">
      <formula>$AZ$10=""</formula>
    </cfRule>
  </conditionalFormatting>
  <dataValidations count="7">
    <dataValidation type="whole" allowBlank="1" showInputMessage="1" showErrorMessage="1" sqref="J58:M59 I46:K49" xr:uid="{C8B4258F-9F85-4A38-B164-45AEC8976D5F}">
      <formula1>0</formula1>
      <formula2>100000</formula2>
    </dataValidation>
    <dataValidation type="custom" operator="equal" allowBlank="1" showInputMessage="1" showErrorMessage="1" sqref="AA47:AA49 E33:E34 E40:E41 Q40:Q41 E6:E7 AN33 AN44" xr:uid="{0DB6FD65-19F5-44F7-B6CB-7B841AC5CFC7}">
      <formula1>E6="X"</formula1>
    </dataValidation>
    <dataValidation type="whole" allowBlank="1" showInputMessage="1" showErrorMessage="1" sqref="H21:I21 AJ21:AK21 L21:M21 P21:Q21 T21:U21 X21:Y21 AB21:AC21 AF21:AG21 AN21:AO21" xr:uid="{EB404E66-B077-4490-B200-2EFF7775F644}">
      <formula1>0</formula1>
      <formula2>360</formula2>
    </dataValidation>
    <dataValidation type="whole" allowBlank="1" showInputMessage="1" showErrorMessage="1" sqref="E28:AR28 Z42:Z45" xr:uid="{201463E6-70BC-4617-9F96-EA856B5D62EE}">
      <formula1>0</formula1>
      <formula2>10000</formula2>
    </dataValidation>
    <dataValidation type="whole" allowBlank="1" showInputMessage="1" showErrorMessage="1" sqref="T45:U45" xr:uid="{4440F23B-6DD5-49DA-97A0-469A25B509D3}">
      <formula1>0</formula1>
      <formula2>3000</formula2>
    </dataValidation>
    <dataValidation type="date" operator="greaterThanOrEqual" allowBlank="1" showInputMessage="1" showErrorMessage="1" sqref="Y7:AF7" xr:uid="{B0C58C70-6F36-4316-9735-B2AB665DBEFD}">
      <formula1>TODAY()-3</formula1>
    </dataValidation>
    <dataValidation type="whole" allowBlank="1" showInputMessage="1" showErrorMessage="1" sqref="AJ6:AL6" xr:uid="{05F6C71B-E4D0-4C8D-BAB9-0325CDC698C6}">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13314"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13315"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13316" r:id="rId7" name="Check Box 4">
              <controlPr locked="0"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13317" r:id="rId8" name="Check Box 5">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13318" r:id="rId9" name="Check Box 6">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13319" r:id="rId10" name="Check Box 7">
              <controlPr locked="0" defaultSize="0" autoFill="0" autoLine="0" autoPict="0">
                <anchor moveWithCells="1">
                  <from>
                    <xdr:col>29</xdr:col>
                    <xdr:colOff>219075</xdr:colOff>
                    <xdr:row>36</xdr:row>
                    <xdr:rowOff>0</xdr:rowOff>
                  </from>
                  <to>
                    <xdr:col>31</xdr:col>
                    <xdr:colOff>0</xdr:colOff>
                    <xdr:row>37</xdr:row>
                    <xdr:rowOff>9525</xdr:rowOff>
                  </to>
                </anchor>
              </controlPr>
            </control>
          </mc:Choice>
        </mc:AlternateContent>
        <mc:AlternateContent xmlns:mc="http://schemas.openxmlformats.org/markup-compatibility/2006">
          <mc:Choice Requires="x14">
            <control shapeId="13320" r:id="rId11" name="Check Box 8">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13321" r:id="rId12" name="Check Box 9">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from>
                    <xdr:col>30</xdr:col>
                    <xdr:colOff>0</xdr:colOff>
                    <xdr:row>31</xdr:row>
                    <xdr:rowOff>180975</xdr:rowOff>
                  </from>
                  <to>
                    <xdr:col>31</xdr:col>
                    <xdr:colOff>0</xdr:colOff>
                    <xdr:row>33</xdr:row>
                    <xdr:rowOff>9525</xdr:rowOff>
                  </to>
                </anchor>
              </controlPr>
            </control>
          </mc:Choice>
        </mc:AlternateContent>
        <mc:AlternateContent xmlns:mc="http://schemas.openxmlformats.org/markup-compatibility/2006">
          <mc:Choice Requires="x14">
            <control shapeId="13323" r:id="rId14" name="Check Box 11">
              <controlPr locked="0" defaultSize="0" autoFill="0" autoLine="0" autoPict="0">
                <anchor moveWithCells="1">
                  <from>
                    <xdr:col>39</xdr:col>
                    <xdr:colOff>0</xdr:colOff>
                    <xdr:row>32</xdr:row>
                    <xdr:rowOff>0</xdr:rowOff>
                  </from>
                  <to>
                    <xdr:col>40</xdr:col>
                    <xdr:colOff>0</xdr:colOff>
                    <xdr:row>33</xdr:row>
                    <xdr:rowOff>0</xdr:rowOff>
                  </to>
                </anchor>
              </controlPr>
            </control>
          </mc:Choice>
        </mc:AlternateContent>
        <mc:AlternateContent xmlns:mc="http://schemas.openxmlformats.org/markup-compatibility/2006">
          <mc:Choice Requires="x14">
            <control shapeId="13324" r:id="rId15" name="Check Box 12">
              <controlPr locked="0" defaultSize="0" autoFill="0" autoLine="0" autoPict="0">
                <anchor moveWithCells="1">
                  <from>
                    <xdr:col>42</xdr:col>
                    <xdr:colOff>0</xdr:colOff>
                    <xdr:row>4</xdr:row>
                    <xdr:rowOff>0</xdr:rowOff>
                  </from>
                  <to>
                    <xdr:col>43</xdr:col>
                    <xdr:colOff>0</xdr:colOff>
                    <xdr:row>5</xdr:row>
                    <xdr:rowOff>9525</xdr:rowOff>
                  </to>
                </anchor>
              </controlPr>
            </control>
          </mc:Choice>
        </mc:AlternateContent>
        <mc:AlternateContent xmlns:mc="http://schemas.openxmlformats.org/markup-compatibility/2006">
          <mc:Choice Requires="x14">
            <control shapeId="13325" r:id="rId16" name="Check Box 13">
              <controlPr locked="0" defaultSize="0" autoFill="0" autoLine="0" autoPict="0">
                <anchor moveWithCells="1">
                  <from>
                    <xdr:col>42</xdr:col>
                    <xdr:colOff>0</xdr:colOff>
                    <xdr:row>5</xdr:row>
                    <xdr:rowOff>0</xdr:rowOff>
                  </from>
                  <to>
                    <xdr:col>43</xdr:col>
                    <xdr:colOff>0</xdr:colOff>
                    <xdr:row>6</xdr:row>
                    <xdr:rowOff>19050</xdr:rowOff>
                  </to>
                </anchor>
              </controlPr>
            </control>
          </mc:Choice>
        </mc:AlternateContent>
        <mc:AlternateContent xmlns:mc="http://schemas.openxmlformats.org/markup-compatibility/2006">
          <mc:Choice Requires="x14">
            <control shapeId="13326" r:id="rId17" name="Check Box 14">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3327" r:id="rId18" name="Check Box 15">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3328" r:id="rId19" name="Check Box 16">
              <controlPr locked="0" defaultSize="0" autoFill="0" autoLine="0" autoPict="0">
                <anchor moveWithCells="1">
                  <from>
                    <xdr:col>4</xdr:col>
                    <xdr:colOff>0</xdr:colOff>
                    <xdr:row>5</xdr:row>
                    <xdr:rowOff>0</xdr:rowOff>
                  </from>
                  <to>
                    <xdr:col>5</xdr:col>
                    <xdr:colOff>0</xdr:colOff>
                    <xdr:row>6</xdr:row>
                    <xdr:rowOff>19050</xdr:rowOff>
                  </to>
                </anchor>
              </controlPr>
            </control>
          </mc:Choice>
        </mc:AlternateContent>
        <mc:AlternateContent xmlns:mc="http://schemas.openxmlformats.org/markup-compatibility/2006">
          <mc:Choice Requires="x14">
            <control shapeId="13329" r:id="rId20" name="Check Box 17">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13330" r:id="rId21" name="Check Box 18">
              <controlPr locked="0" defaultSize="0" autoFill="0" autoLine="0" autoPict="0">
                <anchor moveWithCells="1">
                  <from>
                    <xdr:col>6</xdr:col>
                    <xdr:colOff>9525</xdr:colOff>
                    <xdr:row>43</xdr:row>
                    <xdr:rowOff>114300</xdr:rowOff>
                  </from>
                  <to>
                    <xdr:col>7</xdr:col>
                    <xdr:colOff>38100</xdr:colOff>
                    <xdr:row>44</xdr:row>
                    <xdr:rowOff>114300</xdr:rowOff>
                  </to>
                </anchor>
              </controlPr>
            </control>
          </mc:Choice>
        </mc:AlternateContent>
        <mc:AlternateContent xmlns:mc="http://schemas.openxmlformats.org/markup-compatibility/2006">
          <mc:Choice Requires="x14">
            <control shapeId="13331" r:id="rId22" name="Check Box 19">
              <controlPr locked="0" defaultSize="0" autoFill="0" autoLine="0" autoPict="0">
                <anchor moveWithCells="1">
                  <from>
                    <xdr:col>11</xdr:col>
                    <xdr:colOff>152400</xdr:colOff>
                    <xdr:row>43</xdr:row>
                    <xdr:rowOff>114300</xdr:rowOff>
                  </from>
                  <to>
                    <xdr:col>12</xdr:col>
                    <xdr:colOff>152400</xdr:colOff>
                    <xdr:row>44</xdr:row>
                    <xdr:rowOff>104775</xdr:rowOff>
                  </to>
                </anchor>
              </controlPr>
            </control>
          </mc:Choice>
        </mc:AlternateContent>
        <mc:AlternateContent xmlns:mc="http://schemas.openxmlformats.org/markup-compatibility/2006">
          <mc:Choice Requires="x14">
            <control shapeId="13332" r:id="rId23" name="Check Box 20">
              <controlPr locked="0" defaultSize="0" autoFill="0" autoLine="0" autoPict="0">
                <anchor moveWithCells="1">
                  <from>
                    <xdr:col>7</xdr:col>
                    <xdr:colOff>171450</xdr:colOff>
                    <xdr:row>52</xdr:row>
                    <xdr:rowOff>85725</xdr:rowOff>
                  </from>
                  <to>
                    <xdr:col>8</xdr:col>
                    <xdr:colOff>171450</xdr:colOff>
                    <xdr:row>53</xdr:row>
                    <xdr:rowOff>85725</xdr:rowOff>
                  </to>
                </anchor>
              </controlPr>
            </control>
          </mc:Choice>
        </mc:AlternateContent>
        <mc:AlternateContent xmlns:mc="http://schemas.openxmlformats.org/markup-compatibility/2006">
          <mc:Choice Requires="x14">
            <control shapeId="13333" r:id="rId24" name="Check Box 21">
              <controlPr locked="0" defaultSize="0" autoFill="0" autoLine="0" autoPict="0">
                <anchor moveWithCells="1">
                  <from>
                    <xdr:col>9</xdr:col>
                    <xdr:colOff>219075</xdr:colOff>
                    <xdr:row>52</xdr:row>
                    <xdr:rowOff>85725</xdr:rowOff>
                  </from>
                  <to>
                    <xdr:col>11</xdr:col>
                    <xdr:colOff>0</xdr:colOff>
                    <xdr:row>53</xdr:row>
                    <xdr:rowOff>85725</xdr:rowOff>
                  </to>
                </anchor>
              </controlPr>
            </control>
          </mc:Choice>
        </mc:AlternateContent>
        <mc:AlternateContent xmlns:mc="http://schemas.openxmlformats.org/markup-compatibility/2006">
          <mc:Choice Requires="x14">
            <control shapeId="13334" r:id="rId25" name="Check Box 22">
              <controlPr locked="0" defaultSize="0" autoFill="0" autoLine="0" autoPict="0">
                <anchor moveWithCells="1">
                  <from>
                    <xdr:col>30</xdr:col>
                    <xdr:colOff>0</xdr:colOff>
                    <xdr:row>54</xdr:row>
                    <xdr:rowOff>142875</xdr:rowOff>
                  </from>
                  <to>
                    <xdr:col>31</xdr:col>
                    <xdr:colOff>0</xdr:colOff>
                    <xdr:row>55</xdr:row>
                    <xdr:rowOff>142875</xdr:rowOff>
                  </to>
                </anchor>
              </controlPr>
            </control>
          </mc:Choice>
        </mc:AlternateContent>
        <mc:AlternateContent xmlns:mc="http://schemas.openxmlformats.org/markup-compatibility/2006">
          <mc:Choice Requires="x14">
            <control shapeId="13335" r:id="rId26" name="Check Box 23">
              <controlPr locked="0" defaultSize="0" autoFill="0" autoLine="0" autoPict="0">
                <anchor moveWithCells="1">
                  <from>
                    <xdr:col>37</xdr:col>
                    <xdr:colOff>219075</xdr:colOff>
                    <xdr:row>55</xdr:row>
                    <xdr:rowOff>0</xdr:rowOff>
                  </from>
                  <to>
                    <xdr:col>39</xdr:col>
                    <xdr:colOff>0</xdr:colOff>
                    <xdr:row>56</xdr:row>
                    <xdr:rowOff>0</xdr:rowOff>
                  </to>
                </anchor>
              </controlPr>
            </control>
          </mc:Choice>
        </mc:AlternateContent>
        <mc:AlternateContent xmlns:mc="http://schemas.openxmlformats.org/markup-compatibility/2006">
          <mc:Choice Requires="x14">
            <control shapeId="13336" r:id="rId27" name="Check Box 24">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13337" r:id="rId28" name="Check Box 25">
              <controlPr locked="0" defaultSize="0" autoFill="0" autoLine="0" autoPict="0">
                <anchor moveWithCells="1">
                  <from>
                    <xdr:col>33</xdr:col>
                    <xdr:colOff>180975</xdr:colOff>
                    <xdr:row>62</xdr:row>
                    <xdr:rowOff>0</xdr:rowOff>
                  </from>
                  <to>
                    <xdr:col>34</xdr:col>
                    <xdr:colOff>190500</xdr:colOff>
                    <xdr:row>63</xdr:row>
                    <xdr:rowOff>9525</xdr:rowOff>
                  </to>
                </anchor>
              </controlPr>
            </control>
          </mc:Choice>
        </mc:AlternateContent>
        <mc:AlternateContent xmlns:mc="http://schemas.openxmlformats.org/markup-compatibility/2006">
          <mc:Choice Requires="x14">
            <control shapeId="13338" r:id="rId29" name="Check Box 26">
              <controlPr locked="0" defaultSize="0" autoFill="0" autoLine="0" autoPict="0">
                <anchor moveWithCells="1">
                  <from>
                    <xdr:col>37</xdr:col>
                    <xdr:colOff>104775</xdr:colOff>
                    <xdr:row>62</xdr:row>
                    <xdr:rowOff>0</xdr:rowOff>
                  </from>
                  <to>
                    <xdr:col>38</xdr:col>
                    <xdr:colOff>104775</xdr:colOff>
                    <xdr:row>63</xdr:row>
                    <xdr:rowOff>19050</xdr:rowOff>
                  </to>
                </anchor>
              </controlPr>
            </control>
          </mc:Choice>
        </mc:AlternateContent>
        <mc:AlternateContent xmlns:mc="http://schemas.openxmlformats.org/markup-compatibility/2006">
          <mc:Choice Requires="x14">
            <control shapeId="13339" r:id="rId30" name="Check Box 27">
              <controlPr locked="0" defaultSize="0" autoFill="0" autoLine="0" autoPict="0">
                <anchor moveWithCells="1">
                  <from>
                    <xdr:col>41</xdr:col>
                    <xdr:colOff>57150</xdr:colOff>
                    <xdr:row>62</xdr:row>
                    <xdr:rowOff>0</xdr:rowOff>
                  </from>
                  <to>
                    <xdr:col>42</xdr:col>
                    <xdr:colOff>57150</xdr:colOff>
                    <xdr:row>63</xdr:row>
                    <xdr:rowOff>9525</xdr:rowOff>
                  </to>
                </anchor>
              </controlPr>
            </control>
          </mc:Choice>
        </mc:AlternateContent>
        <mc:AlternateContent xmlns:mc="http://schemas.openxmlformats.org/markup-compatibility/2006">
          <mc:Choice Requires="x14">
            <control shapeId="13340" r:id="rId31" name="Check Box 28">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13341" r:id="rId32" name="Check Box 29">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13342" r:id="rId33" name="Check Box 30">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13343" r:id="rId34" name="Check Box 31">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13344" r:id="rId35" name="Check Box 32">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13345" r:id="rId36" name="Check Box 33">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13346" r:id="rId37" name="Check Box 34">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13347" r:id="rId38" name="Check Box 35">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13348" r:id="rId39" name="Check Box 36">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3349" r:id="rId40" name="Check Box 37">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13350" r:id="rId41" name="Check Box 38">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13351" r:id="rId42" name="Check Box 39">
              <controlPr locked="0" defaultSize="0" autoFill="0" autoLine="0" autoPict="0">
                <anchor moveWithCells="1">
                  <from>
                    <xdr:col>20</xdr:col>
                    <xdr:colOff>0</xdr:colOff>
                    <xdr:row>89</xdr:row>
                    <xdr:rowOff>0</xdr:rowOff>
                  </from>
                  <to>
                    <xdr:col>21</xdr:col>
                    <xdr:colOff>0</xdr:colOff>
                    <xdr:row>90</xdr:row>
                    <xdr:rowOff>0</xdr:rowOff>
                  </to>
                </anchor>
              </controlPr>
            </control>
          </mc:Choice>
        </mc:AlternateContent>
        <mc:AlternateContent xmlns:mc="http://schemas.openxmlformats.org/markup-compatibility/2006">
          <mc:Choice Requires="x14">
            <control shapeId="13352" r:id="rId43" name="Check Box 40">
              <controlPr locked="0" defaultSize="0" autoFill="0" autoLine="0" autoPict="0">
                <anchor moveWithCells="1">
                  <from>
                    <xdr:col>19</xdr:col>
                    <xdr:colOff>219075</xdr:colOff>
                    <xdr:row>95</xdr:row>
                    <xdr:rowOff>0</xdr:rowOff>
                  </from>
                  <to>
                    <xdr:col>21</xdr:col>
                    <xdr:colOff>0</xdr:colOff>
                    <xdr:row>96</xdr:row>
                    <xdr:rowOff>0</xdr:rowOff>
                  </to>
                </anchor>
              </controlPr>
            </control>
          </mc:Choice>
        </mc:AlternateContent>
        <mc:AlternateContent xmlns:mc="http://schemas.openxmlformats.org/markup-compatibility/2006">
          <mc:Choice Requires="x14">
            <control shapeId="13353" r:id="rId44" name="Check Box 41">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13354" r:id="rId45" name="Check Box 42">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13355" r:id="rId46" name="Check Box 43">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13356" r:id="rId47" name="Check Box 44">
              <controlPr locked="0" defaultSize="0" autoFill="0" autoLine="0" autoPict="0">
                <anchor moveWithCells="1">
                  <from>
                    <xdr:col>13</xdr:col>
                    <xdr:colOff>104775</xdr:colOff>
                    <xdr:row>80</xdr:row>
                    <xdr:rowOff>152400</xdr:rowOff>
                  </from>
                  <to>
                    <xdr:col>14</xdr:col>
                    <xdr:colOff>104775</xdr:colOff>
                    <xdr:row>82</xdr:row>
                    <xdr:rowOff>0</xdr:rowOff>
                  </to>
                </anchor>
              </controlPr>
            </control>
          </mc:Choice>
        </mc:AlternateContent>
        <mc:AlternateContent xmlns:mc="http://schemas.openxmlformats.org/markup-compatibility/2006">
          <mc:Choice Requires="x14">
            <control shapeId="13357" r:id="rId48" name="Check Box 45">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13358" r:id="rId49" name="Check Box 46">
              <controlPr locked="0" defaultSize="0" autoFill="0" autoLine="0" autoPict="0">
                <anchor moveWithCells="1">
                  <from>
                    <xdr:col>23</xdr:col>
                    <xdr:colOff>0</xdr:colOff>
                    <xdr:row>55</xdr:row>
                    <xdr:rowOff>0</xdr:rowOff>
                  </from>
                  <to>
                    <xdr:col>24</xdr:col>
                    <xdr:colOff>0</xdr:colOff>
                    <xdr:row>56</xdr:row>
                    <xdr:rowOff>38100</xdr:rowOff>
                  </to>
                </anchor>
              </controlPr>
            </control>
          </mc:Choice>
        </mc:AlternateContent>
        <mc:AlternateContent xmlns:mc="http://schemas.openxmlformats.org/markup-compatibility/2006">
          <mc:Choice Requires="x14">
            <control shapeId="13359" r:id="rId50" name="Check Box 47">
              <controlPr locked="0" defaultSize="0" autoFill="0" autoLine="0" autoPict="0">
                <anchor moveWithCells="1">
                  <from>
                    <xdr:col>39</xdr:col>
                    <xdr:colOff>0</xdr:colOff>
                    <xdr:row>33</xdr:row>
                    <xdr:rowOff>0</xdr:rowOff>
                  </from>
                  <to>
                    <xdr:col>40</xdr:col>
                    <xdr:colOff>0</xdr:colOff>
                    <xdr:row>34</xdr:row>
                    <xdr:rowOff>0</xdr:rowOff>
                  </to>
                </anchor>
              </controlPr>
            </control>
          </mc:Choice>
        </mc:AlternateContent>
        <mc:AlternateContent xmlns:mc="http://schemas.openxmlformats.org/markup-compatibility/2006">
          <mc:Choice Requires="x14">
            <control shapeId="13360" r:id="rId51" name="Check Box 48">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13361" r:id="rId52" name="Check Box 49">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13362" r:id="rId53" name="Check Box 50">
              <controlPr locked="0" defaultSize="0" autoFill="0" autoLine="0" autoPict="0">
                <anchor moveWithCells="1">
                  <from>
                    <xdr:col>29</xdr:col>
                    <xdr:colOff>219075</xdr:colOff>
                    <xdr:row>56</xdr:row>
                    <xdr:rowOff>19050</xdr:rowOff>
                  </from>
                  <to>
                    <xdr:col>31</xdr:col>
                    <xdr:colOff>0</xdr:colOff>
                    <xdr:row>57</xdr:row>
                    <xdr:rowOff>38100</xdr:rowOff>
                  </to>
                </anchor>
              </controlPr>
            </control>
          </mc:Choice>
        </mc:AlternateContent>
        <mc:AlternateContent xmlns:mc="http://schemas.openxmlformats.org/markup-compatibility/2006">
          <mc:Choice Requires="x14">
            <control shapeId="13363" r:id="rId54" name="Check Box 51">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mc:AlternateContent xmlns:mc="http://schemas.openxmlformats.org/markup-compatibility/2006">
          <mc:Choice Requires="x14">
            <control shapeId="13364" r:id="rId55" name="Check Box 52">
              <controlPr locked="0" defaultSize="0" autoFill="0" autoLine="0" autoPict="0">
                <anchor moveWithCells="1">
                  <from>
                    <xdr:col>39</xdr:col>
                    <xdr:colOff>0</xdr:colOff>
                    <xdr:row>33</xdr:row>
                    <xdr:rowOff>152400</xdr:rowOff>
                  </from>
                  <to>
                    <xdr:col>40</xdr:col>
                    <xdr:colOff>0</xdr:colOff>
                    <xdr:row>35</xdr:row>
                    <xdr:rowOff>0</xdr:rowOff>
                  </to>
                </anchor>
              </controlPr>
            </control>
          </mc:Choice>
        </mc:AlternateContent>
        <mc:AlternateContent xmlns:mc="http://schemas.openxmlformats.org/markup-compatibility/2006">
          <mc:Choice Requires="x14">
            <control shapeId="13365" r:id="rId56" name="Check Box 53">
              <controlPr locked="0" defaultSize="0" autoFill="0" autoLine="0" autoPict="0">
                <anchor moveWithCells="1">
                  <from>
                    <xdr:col>39</xdr:col>
                    <xdr:colOff>0</xdr:colOff>
                    <xdr:row>34</xdr:row>
                    <xdr:rowOff>142875</xdr:rowOff>
                  </from>
                  <to>
                    <xdr:col>40</xdr:col>
                    <xdr:colOff>0</xdr:colOff>
                    <xdr:row>36</xdr:row>
                    <xdr:rowOff>0</xdr:rowOff>
                  </to>
                </anchor>
              </controlPr>
            </control>
          </mc:Choice>
        </mc:AlternateContent>
        <mc:AlternateContent xmlns:mc="http://schemas.openxmlformats.org/markup-compatibility/2006">
          <mc:Choice Requires="x14">
            <control shapeId="13366" r:id="rId57" name="Check Box 54">
              <controlPr locked="0" defaultSize="0" autoFill="0" autoLine="0" autoPict="0">
                <anchor moveWithCells="1">
                  <from>
                    <xdr:col>39</xdr:col>
                    <xdr:colOff>0</xdr:colOff>
                    <xdr:row>35</xdr:row>
                    <xdr:rowOff>142875</xdr:rowOff>
                  </from>
                  <to>
                    <xdr:col>40</xdr:col>
                    <xdr:colOff>0</xdr:colOff>
                    <xdr:row>37</xdr:row>
                    <xdr:rowOff>0</xdr:rowOff>
                  </to>
                </anchor>
              </controlPr>
            </control>
          </mc:Choice>
        </mc:AlternateContent>
        <mc:AlternateContent xmlns:mc="http://schemas.openxmlformats.org/markup-compatibility/2006">
          <mc:Choice Requires="x14">
            <control shapeId="13367" r:id="rId58" name="Check Box 55">
              <controlPr locked="0" defaultSize="0" autoFill="0" autoLine="0" autoPict="0">
                <anchor moveWithCells="1">
                  <from>
                    <xdr:col>30</xdr:col>
                    <xdr:colOff>0</xdr:colOff>
                    <xdr:row>38</xdr:row>
                    <xdr:rowOff>142875</xdr:rowOff>
                  </from>
                  <to>
                    <xdr:col>31</xdr:col>
                    <xdr:colOff>0</xdr:colOff>
                    <xdr:row>40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72" id="{E0CA1922-649C-4D26-84B7-63804D48519D}">
            <xm:f>$A$9&lt;&gt;'Sprachen &amp; Rückgabewerte(4)'!$H$132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38" id="{BA6357CB-0989-4764-A97E-C3304B370BB7}">
            <xm:f>'Sprachen &amp; Rückgabewerte(4)'!$U$49=FALSE</xm:f>
            <x14:dxf>
              <border>
                <bottom style="thin">
                  <color rgb="FFFF0000"/>
                </bottom>
                <vertical/>
                <horizontal/>
              </border>
            </x14:dxf>
          </x14:cfRule>
          <x14:cfRule type="expression" priority="296" id="{DBA1C531-8556-47A0-8100-F5F303224D5E}">
            <xm:f>'Sprachen &amp; Rückgabewerte(4)'!$I$12=FALSE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295" id="{186AF921-6CA4-4C90-9133-588986E6C935}">
            <xm:f>AND('Sprachen &amp; Rückgabewerte(4)'!$I$11=FALSE,'Sprachen &amp; Rückgabewerte(4)'!$I$12=FALSE)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94" id="{59EF366E-7569-4F3C-94FF-E8CB682097DB}">
            <xm:f>AND('Sprachen &amp; Rückgabewerte(4)'!$I$10=FALSE,'Sprachen &amp; Rückgabewerte(4)'!$I$11=FALSE,'Sprachen &amp; Rückgabewerte(4)'!$I$12=FALSE)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43" id="{86BE23F7-D495-4E96-9870-2F2346BB54D3}">
            <xm:f>AND($AP$86="",'Sprachen &amp; Rückgabewerte(4)'!$I$51=TRUE)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93" id="{8920F0AF-F9FB-4DE6-B88C-EB75F32D5F84}">
            <xm:f>'Sprachen &amp; Rückgabewerte(4)'!$I$51=TRUE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92" id="{264086C4-18C4-48C3-9384-E0CA387A760B}">
            <xm:f>'Sprachen &amp; Rückgabewerte(4)'!$C$41=FALSE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28" id="{7608D02B-6CCD-42B7-9074-C23995C17350}">
            <xm:f>'Sprachen &amp; Rückgabewerte(4)'!$C$42=FALSE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66" id="{BC3EE696-94A0-4141-B569-7EF8F2DE9253}">
            <xm:f>'Sprachen &amp; Rückgabewerte(4)'!$C$44=FALSE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64" id="{A2466BB2-0BC0-4F7E-8E89-B4CAC3ABD31E}">
            <xm:f>'Sprachen &amp; Rückgabewerte(4)'!$C$45=FALSE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310" id="{A2AED698-E321-483A-A957-E33652986BC1}">
            <xm:f>'Sprachen &amp; Rückgabewerte(4)'!$C$46=FALSE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87" id="{AA2004D6-4E4B-49A5-8069-FEB2BD41EA53}">
            <xm:f>'Sprachen &amp; Rückgabewerte(4)'!$C$47=FALSE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63" id="{29491811-1DE8-41C7-B895-261B947F8D13}">
            <xm:f>'Sprachen &amp; Rückgabewerte(4)'!$C$49=FALSE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85" id="{A1468638-CEBD-46C0-8129-188EA129212D}">
            <xm:f>G$20='Sprachen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86" id="{57A947D6-14BF-4373-A2DD-0091009DFB8B}">
            <xm:f>G$20='Sprachen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83" id="{137F567B-86B1-4C20-9EBF-48EF2B49B61A}">
            <xm:f>'Sprachen &amp; Rückgabewerte(4)'!$L$41=0</xm:f>
            <x14:dxf>
              <border>
                <left style="thin">
                  <color rgb="FFFF0000"/>
                </left>
                <vertical/>
                <horizontal/>
              </border>
            </x14:dxf>
          </x14:cfRule>
          <xm:sqref>C5:C8</xm:sqref>
        </x14:conditionalFormatting>
        <x14:conditionalFormatting xmlns:xm="http://schemas.microsoft.com/office/excel/2006/main">
          <x14:cfRule type="expression" priority="282" id="{4ABCA62C-3EEC-4944-A28A-AD31BE494DF9}">
            <xm:f>'Sprachen &amp; Rückgabewerte(4)'!$L$41=0</xm:f>
            <x14:dxf>
              <border>
                <top style="thin">
                  <color rgb="FFFF0000"/>
                </top>
                <vertical/>
                <horizontal/>
              </border>
            </x14:dxf>
          </x14:cfRule>
          <xm:sqref>C5:R5</xm:sqref>
        </x14:conditionalFormatting>
        <x14:conditionalFormatting xmlns:xm="http://schemas.microsoft.com/office/excel/2006/main">
          <x14:cfRule type="expression" priority="281" id="{7DE1F084-809C-44E3-B0D9-0E37C609A613}">
            <xm:f>'Sprachen &amp; Rückgabewerte(4)'!$L$41=0</xm:f>
            <x14:dxf>
              <border>
                <right style="thin">
                  <color rgb="FFFF0000"/>
                </right>
                <vertical/>
                <horizontal/>
              </border>
            </x14:dxf>
          </x14:cfRule>
          <xm:sqref>R5:R8</xm:sqref>
        </x14:conditionalFormatting>
        <x14:conditionalFormatting xmlns:xm="http://schemas.microsoft.com/office/excel/2006/main">
          <x14:cfRule type="expression" priority="280" id="{23BED894-F8EF-46A9-8AB4-EE8DF8A1D61C}">
            <xm:f>'Sprachen &amp; Rückgabewerte(4)'!$L$41=0</xm:f>
            <x14:dxf>
              <border>
                <bottom style="thin">
                  <color rgb="FFFF0000"/>
                </bottom>
                <vertical/>
                <horizontal/>
              </border>
            </x14:dxf>
          </x14:cfRule>
          <xm:sqref>C8:R8</xm:sqref>
        </x14:conditionalFormatting>
        <x14:conditionalFormatting xmlns:xm="http://schemas.microsoft.com/office/excel/2006/main">
          <x14:cfRule type="expression" priority="279" id="{6CAF7354-E483-497F-9427-F575FC877D75}">
            <xm:f>'Sprachen &amp; Rückgabewerte(4)'!$L$42=0</xm:f>
            <x14:dxf>
              <border>
                <left style="thin">
                  <color rgb="FFFF0000"/>
                </left>
                <vertical/>
                <horizontal/>
              </border>
            </x14:dxf>
          </x14:cfRule>
          <xm:sqref>S5:S8</xm:sqref>
        </x14:conditionalFormatting>
        <x14:conditionalFormatting xmlns:xm="http://schemas.microsoft.com/office/excel/2006/main">
          <x14:cfRule type="expression" priority="142" id="{3020D112-9023-4D34-AEC6-42408943B19C}">
            <xm:f>'Sprachen &amp; Rückgabewerte(4)'!$L$42=0</xm:f>
            <x14:dxf>
              <border>
                <top style="thin">
                  <color rgb="FFFF0000"/>
                </top>
                <vertical/>
                <horizontal/>
              </border>
            </x14:dxf>
          </x14:cfRule>
          <xm:sqref>S5:AG5</xm:sqref>
        </x14:conditionalFormatting>
        <x14:conditionalFormatting xmlns:xm="http://schemas.microsoft.com/office/excel/2006/main">
          <x14:cfRule type="expression" priority="277" id="{8499AA45-C621-4A94-B04A-0C36BFF92D28}">
            <xm:f>'Sprachen &amp; Rückgabewerte(4)'!$L$42=0</xm:f>
            <x14:dxf>
              <border>
                <right style="thin">
                  <color rgb="FFFF0000"/>
                </right>
                <vertical/>
                <horizontal/>
              </border>
            </x14:dxf>
          </x14:cfRule>
          <xm:sqref>AG5:AG8</xm:sqref>
        </x14:conditionalFormatting>
        <x14:conditionalFormatting xmlns:xm="http://schemas.microsoft.com/office/excel/2006/main">
          <x14:cfRule type="expression" priority="276" id="{00096EC1-FFDA-4443-8271-098F407D1E59}">
            <xm:f>'Sprachen &amp; Rückgabewerte(4)'!$L$42=0</xm:f>
            <x14:dxf>
              <border>
                <bottom style="thin">
                  <color rgb="FFFF0000"/>
                </bottom>
                <vertical/>
                <horizontal/>
              </border>
            </x14:dxf>
          </x14:cfRule>
          <xm:sqref>S8:AG8</xm:sqref>
        </x14:conditionalFormatting>
        <x14:conditionalFormatting xmlns:xm="http://schemas.microsoft.com/office/excel/2006/main">
          <x14:cfRule type="expression" priority="275" id="{5A6D40E4-96C2-4910-8F47-57D216A68F20}">
            <xm:f>'Sprachen &amp; Rückgabewerte(4)'!$L$43=0</xm:f>
            <x14:dxf>
              <border>
                <left style="thin">
                  <color rgb="FFFF0000"/>
                </left>
                <vertical/>
                <horizontal/>
              </border>
            </x14:dxf>
          </x14:cfRule>
          <xm:sqref>AH5:AH8</xm:sqref>
        </x14:conditionalFormatting>
        <x14:conditionalFormatting xmlns:xm="http://schemas.microsoft.com/office/excel/2006/main">
          <x14:cfRule type="expression" priority="139" id="{CCBDC9A2-3882-46C9-8BFD-938280B934FD}">
            <xm:f>'Sprachen &amp; Rückgabewerte(4)'!$L$43=0</xm:f>
            <x14:dxf>
              <border>
                <top style="thin">
                  <color rgb="FFFF0000"/>
                </top>
                <vertical/>
                <horizontal/>
              </border>
            </x14:dxf>
          </x14:cfRule>
          <xm:sqref>AH5:AM5</xm:sqref>
        </x14:conditionalFormatting>
        <x14:conditionalFormatting xmlns:xm="http://schemas.microsoft.com/office/excel/2006/main">
          <x14:cfRule type="expression" priority="273" id="{4AE49FE7-4426-4C56-B48E-EBF34D0E4EEF}">
            <xm:f>'Sprachen &amp; Rückgabewerte(4)'!$L$43=0</xm:f>
            <x14:dxf>
              <border>
                <right style="thin">
                  <color rgb="FFFF0000"/>
                </right>
                <vertical/>
                <horizontal/>
              </border>
            </x14:dxf>
          </x14:cfRule>
          <xm:sqref>AM5:AM8</xm:sqref>
        </x14:conditionalFormatting>
        <x14:conditionalFormatting xmlns:xm="http://schemas.microsoft.com/office/excel/2006/main">
          <x14:cfRule type="expression" priority="272" id="{AB31BEE4-D707-47EA-AAA6-368D7D3D09C3}">
            <xm:f>'Sprachen &amp; Rückgabewerte(4)'!$L$43=0</xm:f>
            <x14:dxf>
              <border>
                <bottom style="thin">
                  <color rgb="FFFF0000"/>
                </bottom>
                <vertical/>
                <horizontal/>
              </border>
            </x14:dxf>
          </x14:cfRule>
          <xm:sqref>AH8:AM8</xm:sqref>
        </x14:conditionalFormatting>
        <x14:conditionalFormatting xmlns:xm="http://schemas.microsoft.com/office/excel/2006/main">
          <x14:cfRule type="expression" priority="271" id="{CABE5161-7270-450E-B94B-56BBD21E9984}">
            <xm:f>'Sprachen &amp; Rückgabewerte(4)'!$L$44=0</xm:f>
            <x14:dxf>
              <border>
                <left style="thin">
                  <color rgb="FFFF0000"/>
                </left>
                <vertical/>
                <horizontal/>
              </border>
            </x14:dxf>
          </x14:cfRule>
          <xm:sqref>AN5:AN8</xm:sqref>
        </x14:conditionalFormatting>
        <x14:conditionalFormatting xmlns:xm="http://schemas.microsoft.com/office/excel/2006/main">
          <x14:cfRule type="expression" priority="270" id="{C545A927-FFF9-4833-A549-1AB505FC7308}">
            <xm:f>'Sprachen &amp; Rückgabewerte(4)'!$L$44=0</xm:f>
            <x14:dxf>
              <border>
                <top style="thin">
                  <color rgb="FFFF0000"/>
                </top>
                <vertical/>
                <horizontal/>
              </border>
            </x14:dxf>
          </x14:cfRule>
          <xm:sqref>AN5:AT5</xm:sqref>
        </x14:conditionalFormatting>
        <x14:conditionalFormatting xmlns:xm="http://schemas.microsoft.com/office/excel/2006/main">
          <x14:cfRule type="expression" priority="269" id="{80760B3D-550D-452C-A3BE-F23904809310}">
            <xm:f>'Sprachen &amp; Rückgabewerte(4)'!$L$44=0</xm:f>
            <x14:dxf>
              <border>
                <right style="thin">
                  <color rgb="FFFF0000"/>
                </right>
                <vertical/>
                <horizontal/>
              </border>
            </x14:dxf>
          </x14:cfRule>
          <xm:sqref>AT5:AT8</xm:sqref>
        </x14:conditionalFormatting>
        <x14:conditionalFormatting xmlns:xm="http://schemas.microsoft.com/office/excel/2006/main">
          <x14:cfRule type="expression" priority="268" id="{AA9C4C2E-61BF-4B63-B3D6-1207BAF80DD0}">
            <xm:f>'Sprachen &amp; Rückgabewerte(4)'!$L$44=0</xm:f>
            <x14:dxf>
              <border>
                <bottom style="thin">
                  <color rgb="FFFF0000"/>
                </bottom>
                <vertical/>
                <horizontal/>
              </border>
            </x14:dxf>
          </x14:cfRule>
          <xm:sqref>AN8:AT8</xm:sqref>
        </x14:conditionalFormatting>
        <x14:conditionalFormatting xmlns:xm="http://schemas.microsoft.com/office/excel/2006/main">
          <x14:cfRule type="expression" priority="267" id="{40733D40-13C0-4BE8-A557-3731AE4616BB}">
            <xm:f>'Sprachen &amp; Rückgabewerte(4)'!$L$45=0</xm:f>
            <x14:dxf>
              <border>
                <left style="thin">
                  <color rgb="FFFF0000"/>
                </left>
                <vertical/>
                <horizontal/>
              </border>
            </x14:dxf>
          </x14:cfRule>
          <xm:sqref>C9:C30</xm:sqref>
        </x14:conditionalFormatting>
        <x14:conditionalFormatting xmlns:xm="http://schemas.microsoft.com/office/excel/2006/main">
          <x14:cfRule type="expression" priority="260" id="{8224F3AB-5F19-4FF1-B58F-2F802BD8237F}">
            <xm:f>'Sprachen &amp; Rückgabewerte(4)'!$L$46=0</xm:f>
            <x14:dxf>
              <border>
                <bottom style="thin">
                  <color rgb="FFFF0000"/>
                </bottom>
                <vertical/>
                <horizontal/>
              </border>
            </x14:dxf>
          </x14:cfRule>
          <x14:cfRule type="expression" priority="266" id="{834F5CE0-9AC6-4480-86EB-AD58FAEA7386}">
            <xm:f>'Sprachen &amp; Rückgabewerte(4)'!$L$45=0</xm:f>
            <x14:dxf>
              <border>
                <bottom style="thin">
                  <color rgb="FFFF0000"/>
                </bottom>
                <vertical/>
                <horizontal/>
              </border>
            </x14:dxf>
          </x14:cfRule>
          <xm:sqref>C30:AT30</xm:sqref>
        </x14:conditionalFormatting>
        <x14:conditionalFormatting xmlns:xm="http://schemas.microsoft.com/office/excel/2006/main">
          <x14:cfRule type="expression" priority="265" id="{977859EB-7050-4006-863E-64C64969F980}">
            <xm:f>'Sprachen &amp; Rückgabewerte(4)'!$L$45=0</xm:f>
            <x14:dxf>
              <border>
                <top style="thin">
                  <color rgb="FFFF0000"/>
                </top>
                <vertical/>
                <horizontal/>
              </border>
            </x14:dxf>
          </x14:cfRule>
          <xm:sqref>C9:AT9</xm:sqref>
        </x14:conditionalFormatting>
        <x14:conditionalFormatting xmlns:xm="http://schemas.microsoft.com/office/excel/2006/main">
          <x14:cfRule type="expression" priority="264" id="{25D9B7C3-2803-4A58-A6A5-C62AE097B1B0}">
            <xm:f>'Sprachen &amp; Rückgabewerte(4)'!$L$45=0</xm:f>
            <x14:dxf>
              <border>
                <right style="thin">
                  <color rgb="FFFF0000"/>
                </right>
                <vertical/>
                <horizontal/>
              </border>
            </x14:dxf>
          </x14:cfRule>
          <xm:sqref>AT9:AT30</xm:sqref>
        </x14:conditionalFormatting>
        <x14:conditionalFormatting xmlns:xm="http://schemas.microsoft.com/office/excel/2006/main">
          <x14:cfRule type="expression" priority="263" id="{8FDB35A5-A024-4BB2-9282-8E1ABF92AA2F}">
            <xm:f>'Sprachen &amp; Rückgabewerte(4)'!$L$46=0</xm:f>
            <x14:dxf>
              <border>
                <left style="thin">
                  <color rgb="FFFF0000"/>
                </left>
                <vertical/>
                <horizontal/>
              </border>
            </x14:dxf>
          </x14:cfRule>
          <xm:sqref>C27:C30</xm:sqref>
        </x14:conditionalFormatting>
        <x14:conditionalFormatting xmlns:xm="http://schemas.microsoft.com/office/excel/2006/main">
          <x14:cfRule type="expression" priority="262" id="{7CB8FED7-2A7B-4B8C-9030-B9AA9456F0B9}">
            <xm:f>'Sprachen &amp; Rückgabewerte(4)'!$L$46=0</xm:f>
            <x14:dxf>
              <border>
                <top style="thin">
                  <color rgb="FFFF0000"/>
                </top>
                <vertical/>
                <horizontal/>
              </border>
            </x14:dxf>
          </x14:cfRule>
          <xm:sqref>C27:AT27</xm:sqref>
        </x14:conditionalFormatting>
        <x14:conditionalFormatting xmlns:xm="http://schemas.microsoft.com/office/excel/2006/main">
          <x14:cfRule type="expression" priority="261" id="{6BE1CDF7-9551-4C82-8718-D6CB70711789}">
            <xm:f>'Sprachen &amp; Rückgabewerte(4)'!$L$46=0</xm:f>
            <x14:dxf>
              <border>
                <right style="thin">
                  <color rgb="FFFF0000"/>
                </right>
                <vertical/>
                <horizontal/>
              </border>
            </x14:dxf>
          </x14:cfRule>
          <xm:sqref>AT27:AT30</xm:sqref>
        </x14:conditionalFormatting>
        <x14:conditionalFormatting xmlns:xm="http://schemas.microsoft.com/office/excel/2006/main">
          <x14:cfRule type="expression" priority="259" id="{4EEC3E42-17FB-4C0F-8D10-5EDDFA7D0491}">
            <xm:f>'Sprachen &amp; Rückgabewerte(4)'!$L$47=0</xm:f>
            <x14:dxf>
              <border>
                <left style="thin">
                  <color rgb="FFFF0000"/>
                </left>
                <vertical/>
                <horizontal/>
              </border>
            </x14:dxf>
          </x14:cfRule>
          <xm:sqref>C32:C35</xm:sqref>
        </x14:conditionalFormatting>
        <x14:conditionalFormatting xmlns:xm="http://schemas.microsoft.com/office/excel/2006/main">
          <x14:cfRule type="expression" priority="258" id="{92EEF022-41C8-46AE-B8F5-ADB0C639C463}">
            <xm:f>'Sprachen &amp; Rückgabewerte(4)'!$L$47=0</xm:f>
            <x14:dxf>
              <border>
                <top style="thin">
                  <color rgb="FFFF0000"/>
                </top>
                <vertical/>
                <horizontal/>
              </border>
            </x14:dxf>
          </x14:cfRule>
          <xm:sqref>C32:AB32</xm:sqref>
        </x14:conditionalFormatting>
        <x14:conditionalFormatting xmlns:xm="http://schemas.microsoft.com/office/excel/2006/main">
          <x14:cfRule type="expression" priority="257" id="{F547A552-0499-4634-93C6-C1B8627AB634}">
            <xm:f>'Sprachen &amp; Rückgabewerte(4)'!$L$47=0</xm:f>
            <x14:dxf>
              <border>
                <right style="thin">
                  <color rgb="FFFF0000"/>
                </right>
                <vertical/>
                <horizontal/>
              </border>
            </x14:dxf>
          </x14:cfRule>
          <xm:sqref>AB32:AB35</xm:sqref>
        </x14:conditionalFormatting>
        <x14:conditionalFormatting xmlns:xm="http://schemas.microsoft.com/office/excel/2006/main">
          <x14:cfRule type="expression" priority="256" id="{2A6BABAA-A60D-4A2C-A114-88088A53B465}">
            <xm:f>'Sprachen &amp; Rückgabewerte(4)'!$L$47=0</xm:f>
            <x14:dxf>
              <border>
                <bottom style="thin">
                  <color rgb="FFFF0000"/>
                </bottom>
                <vertical/>
                <horizontal/>
              </border>
            </x14:dxf>
          </x14:cfRule>
          <xm:sqref>C35:AB35</xm:sqref>
        </x14:conditionalFormatting>
        <x14:conditionalFormatting xmlns:xm="http://schemas.microsoft.com/office/excel/2006/main">
          <x14:cfRule type="expression" priority="255" id="{9AC0B8B6-2188-467B-95ED-6423D196890E}">
            <xm:f>'Sprachen &amp; Rückgabewerte(4)'!$M$49=0</xm:f>
            <x14:dxf>
              <border>
                <left style="thin">
                  <color rgb="FFFF0000"/>
                </left>
                <vertical/>
                <horizontal/>
              </border>
            </x14:dxf>
          </x14:cfRule>
          <xm:sqref>C36:C60</xm:sqref>
        </x14:conditionalFormatting>
        <x14:conditionalFormatting xmlns:xm="http://schemas.microsoft.com/office/excel/2006/main">
          <x14:cfRule type="expression" priority="254" id="{C98AA93F-117A-4722-904F-A84D5D9397E1}">
            <xm:f>'Sprachen &amp; Rückgabewerte(4)'!$M$49=0</xm:f>
            <x14:dxf>
              <border>
                <top style="thin">
                  <color rgb="FFFF0000"/>
                </top>
                <vertical/>
                <horizontal/>
              </border>
            </x14:dxf>
          </x14:cfRule>
          <xm:sqref>C36:O36</xm:sqref>
        </x14:conditionalFormatting>
        <x14:conditionalFormatting xmlns:xm="http://schemas.microsoft.com/office/excel/2006/main">
          <x14:cfRule type="expression" priority="253" id="{CA4E9B17-D6F1-4CD4-86E6-D49235EC9408}">
            <xm:f>'Sprachen &amp; Rückgabewerte(4)'!$M$49=0</xm:f>
            <x14:dxf>
              <border>
                <right style="thin">
                  <color rgb="FFFF0000"/>
                </right>
                <vertical/>
                <horizontal/>
              </border>
            </x14:dxf>
          </x14:cfRule>
          <xm:sqref>O36:O60</xm:sqref>
        </x14:conditionalFormatting>
        <x14:conditionalFormatting xmlns:xm="http://schemas.microsoft.com/office/excel/2006/main">
          <x14:cfRule type="expression" priority="252" id="{D719BF81-5517-47F7-830A-82FB00C10467}">
            <xm:f>'Sprachen &amp; Rückgabewerte(4)'!$M$49=0</xm:f>
            <x14:dxf>
              <border>
                <bottom style="thin">
                  <color rgb="FFFF0000"/>
                </bottom>
                <vertical/>
                <horizontal/>
              </border>
            </x14:dxf>
          </x14:cfRule>
          <xm:sqref>C60:O60</xm:sqref>
        </x14:conditionalFormatting>
        <x14:conditionalFormatting xmlns:xm="http://schemas.microsoft.com/office/excel/2006/main">
          <x14:cfRule type="expression" priority="251" id="{BE8DEB35-478A-43C6-BC65-D49FF7386455}">
            <xm:f>'Sprachen &amp; Rückgabewerte(4)'!$L$50=0</xm:f>
            <x14:dxf>
              <border>
                <top style="thin">
                  <color rgb="FFFF0000"/>
                </top>
                <vertical/>
                <horizontal/>
              </border>
            </x14:dxf>
          </x14:cfRule>
          <xm:sqref>P36:AB36</xm:sqref>
        </x14:conditionalFormatting>
        <x14:conditionalFormatting xmlns:xm="http://schemas.microsoft.com/office/excel/2006/main">
          <x14:cfRule type="expression" priority="250" id="{73B5F78B-3E0C-48F2-8063-97AA71C464E7}">
            <xm:f>'Sprachen &amp; Rückgabewerte(4)'!$L$50=0</xm:f>
            <x14:dxf>
              <border>
                <right style="thin">
                  <color rgb="FFFF0000"/>
                </right>
              </border>
            </x14:dxf>
          </x14:cfRule>
          <xm:sqref>AB36:AB58</xm:sqref>
        </x14:conditionalFormatting>
        <x14:conditionalFormatting xmlns:xm="http://schemas.microsoft.com/office/excel/2006/main">
          <x14:cfRule type="expression" priority="249" id="{41F35C9E-8688-4DE0-8FB1-EB2B8C23B927}">
            <xm:f>'Sprachen &amp; Rückgabewerte(4)'!$L$50=0</xm:f>
            <x14:dxf>
              <border>
                <bottom style="thin">
                  <color rgb="FFFF0000"/>
                </bottom>
                <vertical/>
                <horizontal/>
              </border>
            </x14:dxf>
          </x14:cfRule>
          <xm:sqref>P60</xm:sqref>
        </x14:conditionalFormatting>
        <x14:conditionalFormatting xmlns:xm="http://schemas.microsoft.com/office/excel/2006/main">
          <x14:cfRule type="expression" priority="248" id="{DFBD3C69-0D27-415F-AD4C-83A303BA311D}">
            <xm:f>'Sprachen &amp; Rückgabewerte(4)'!$L$50=0</xm:f>
            <x14:dxf>
              <border>
                <left style="thin">
                  <color rgb="FFFF0000"/>
                </left>
                <vertical/>
                <horizontal/>
              </border>
            </x14:dxf>
          </x14:cfRule>
          <xm:sqref>P36:P43</xm:sqref>
        </x14:conditionalFormatting>
        <x14:conditionalFormatting xmlns:xm="http://schemas.microsoft.com/office/excel/2006/main">
          <x14:cfRule type="expression" priority="247" id="{04D24A7D-1E0F-4EBE-B620-3BC79C5B3F56}">
            <xm:f>'Sprachen &amp; Rückgabewerte(4)'!$L$50=0</xm:f>
            <x14:dxf>
              <border>
                <left style="thin">
                  <color rgb="FFFF0000"/>
                </left>
                <vertical/>
                <horizontal/>
              </border>
            </x14:dxf>
          </x14:cfRule>
          <xm:sqref>P44:S45</xm:sqref>
        </x14:conditionalFormatting>
        <x14:conditionalFormatting xmlns:xm="http://schemas.microsoft.com/office/excel/2006/main">
          <x14:cfRule type="expression" priority="246" id="{727BB7C1-5427-445B-B2ED-88F3390691CA}">
            <xm:f>'Sprachen &amp; Rückgabewerte(4)'!$L$50=0</xm:f>
            <x14:dxf>
              <border>
                <left style="thin">
                  <color rgb="FFFF0000"/>
                </left>
                <vertical/>
                <horizontal/>
              </border>
            </x14:dxf>
          </x14:cfRule>
          <xm:sqref>P46:P60</xm:sqref>
        </x14:conditionalFormatting>
        <x14:conditionalFormatting xmlns:xm="http://schemas.microsoft.com/office/excel/2006/main">
          <x14:cfRule type="expression" priority="245" id="{D09DC684-BF9C-4C8D-8E37-5B5B44132143}">
            <xm:f>'Sprachen &amp; Rückgabewerte(4)'!$L$51=0</xm:f>
            <x14:dxf>
              <border>
                <top style="thin">
                  <color rgb="FFFF0000"/>
                </top>
                <vertical/>
                <horizontal/>
              </border>
            </x14:dxf>
          </x14:cfRule>
          <xm:sqref>AE32:AT32</xm:sqref>
        </x14:conditionalFormatting>
        <x14:conditionalFormatting xmlns:xm="http://schemas.microsoft.com/office/excel/2006/main">
          <x14:cfRule type="expression" priority="121" id="{1981232D-CD24-4A7E-A1B8-8A5A2A305A64}">
            <xm:f>AND($AY$43&lt;&gt;0,'Sprachen &amp; Rückgabewerte(4)'!$I$19=TRUE)</xm:f>
            <x14:dxf>
              <border>
                <right style="thin">
                  <color rgb="FFFF0000"/>
                </right>
                <vertical/>
                <horizontal/>
              </border>
            </x14:dxf>
          </x14:cfRule>
          <x14:cfRule type="expression" priority="244" id="{F1AB8F1D-5721-4DDD-8756-A302BE50B187}">
            <xm:f>'Sprachen &amp; Rückgabewerte(4)'!$L$51=0</xm:f>
            <x14:dxf>
              <border>
                <right style="thin">
                  <color rgb="FFFF0000"/>
                </right>
                <vertical/>
                <horizontal/>
              </border>
            </x14:dxf>
          </x14:cfRule>
          <xm:sqref>AT32:AT40</xm:sqref>
        </x14:conditionalFormatting>
        <x14:conditionalFormatting xmlns:xm="http://schemas.microsoft.com/office/excel/2006/main">
          <x14:cfRule type="expression" priority="243" id="{6F4AB8AF-9A09-4BAD-B55D-129C5E121641}">
            <xm:f>'Sprachen &amp; Rückgabewerte(4)'!$L$51=0</xm:f>
            <x14:dxf>
              <border>
                <bottom style="thin">
                  <color rgb="FFFF0000"/>
                </bottom>
                <vertical/>
                <horizontal/>
              </border>
            </x14:dxf>
          </x14:cfRule>
          <xm:sqref>AE40:AT40</xm:sqref>
        </x14:conditionalFormatting>
        <x14:conditionalFormatting xmlns:xm="http://schemas.microsoft.com/office/excel/2006/main">
          <x14:cfRule type="expression" priority="242" id="{15B065C3-6650-4A2D-8121-65AD702AD467}">
            <xm:f>'Sprachen &amp; Rückgabewerte(4)'!$L$52=0</xm:f>
            <x14:dxf>
              <border>
                <top style="thin">
                  <color rgb="FFFF0000"/>
                </top>
                <vertical/>
                <horizontal/>
              </border>
            </x14:dxf>
          </x14:cfRule>
          <xm:sqref>AE42:AT42</xm:sqref>
        </x14:conditionalFormatting>
        <x14:conditionalFormatting xmlns:xm="http://schemas.microsoft.com/office/excel/2006/main">
          <x14:cfRule type="expression" priority="241" id="{107D437C-1E18-4A33-9E32-613FAB351F9E}">
            <xm:f>'Sprachen &amp; Rückgabewerte(4)'!$L$52=0</xm:f>
            <x14:dxf>
              <border>
                <right style="thin">
                  <color rgb="FFFF0000"/>
                </right>
                <vertical/>
                <horizontal/>
              </border>
            </x14:dxf>
          </x14:cfRule>
          <xm:sqref>AT42:AT50</xm:sqref>
        </x14:conditionalFormatting>
        <x14:conditionalFormatting xmlns:xm="http://schemas.microsoft.com/office/excel/2006/main">
          <x14:cfRule type="expression" priority="240" id="{AAC445B7-EBEC-4606-ABCF-7C96139E8E9E}">
            <xm:f>'Sprachen &amp; Rückgabewerte(4)'!$L$52=0</xm:f>
            <x14:dxf>
              <border>
                <bottom style="thin">
                  <color rgb="FFFF0000"/>
                </bottom>
                <vertical/>
                <horizontal/>
              </border>
            </x14:dxf>
          </x14:cfRule>
          <xm:sqref>AM50:AT50</xm:sqref>
        </x14:conditionalFormatting>
        <x14:conditionalFormatting xmlns:xm="http://schemas.microsoft.com/office/excel/2006/main">
          <x14:cfRule type="expression" priority="187" id="{168B5082-E9D2-4FC1-9016-8E34971C63CB}">
            <xm:f>OR('Sprachen &amp; Rückgabewerte(4)'!$I$36=TRUE,'Sprachen &amp; Rückgabewerte(4)'!$I$39=TRUE)</xm:f>
            <x14:dxf>
              <font>
                <color theme="1"/>
              </font>
            </x14:dxf>
          </x14:cfRule>
          <x14:cfRule type="expression" priority="239" id="{6352A248-D40D-4DB1-92BC-1FE1778CC434}">
            <xm:f>'Sprachen &amp; Rückgabewerte(4)'!$L$52=0</xm:f>
            <x14:dxf>
              <border>
                <bottom style="thin">
                  <color rgb="FFFF0000"/>
                </bottom>
                <vertical/>
                <horizontal/>
              </border>
            </x14:dxf>
          </x14:cfRule>
          <xm:sqref>AF48:AL50</xm:sqref>
        </x14:conditionalFormatting>
        <x14:conditionalFormatting xmlns:xm="http://schemas.microsoft.com/office/excel/2006/main">
          <x14:cfRule type="expression" priority="238" id="{ECB54D70-85B3-43E6-901B-B39B76B4C9D6}">
            <xm:f>'Sprachen &amp; Rückgabewerte(4)'!$L$52=0</xm:f>
            <x14:dxf>
              <border>
                <bottom style="thin">
                  <color rgb="FFFF0000"/>
                </bottom>
                <vertical/>
                <horizontal/>
              </border>
            </x14:dxf>
          </x14:cfRule>
          <xm:sqref>AE50</xm:sqref>
        </x14:conditionalFormatting>
        <x14:conditionalFormatting xmlns:xm="http://schemas.microsoft.com/office/excel/2006/main">
          <x14:cfRule type="expression" priority="237" id="{E7A10CCF-3DB4-47DE-8182-FEEF1C97D6F2}">
            <xm:f>'Sprachen &amp; Rückgabewerte(4)'!$L$53=0</xm:f>
            <x14:dxf>
              <border>
                <top style="thin">
                  <color rgb="FFFF0000"/>
                </top>
                <vertical/>
                <horizontal/>
              </border>
            </x14:dxf>
          </x14:cfRule>
          <xm:sqref>AE52:AT52</xm:sqref>
        </x14:conditionalFormatting>
        <x14:conditionalFormatting xmlns:xm="http://schemas.microsoft.com/office/excel/2006/main">
          <x14:cfRule type="expression" priority="236" id="{497862B7-311D-42CE-AA70-F2B1928D75CF}">
            <xm:f>'Sprachen &amp; Rückgabewerte(4)'!$L$53=0</xm:f>
            <x14:dxf>
              <border>
                <right style="thin">
                  <color rgb="FFFF0000"/>
                </right>
                <vertical/>
                <horizontal/>
              </border>
            </x14:dxf>
          </x14:cfRule>
          <xm:sqref>AT52:AT58</xm:sqref>
        </x14:conditionalFormatting>
        <x14:conditionalFormatting xmlns:xm="http://schemas.microsoft.com/office/excel/2006/main">
          <x14:cfRule type="expression" priority="235" id="{19862519-2498-4FFA-BDC1-BDDC5EAA5E35}">
            <xm:f>'Sprachen &amp; Rückgabewerte(4)'!$L$53=0</xm:f>
            <x14:dxf>
              <border>
                <bottom style="thin">
                  <color rgb="FFFF0000"/>
                </bottom>
                <vertical/>
                <horizontal/>
              </border>
            </x14:dxf>
          </x14:cfRule>
          <xm:sqref>AE58:AT58</xm:sqref>
        </x14:conditionalFormatting>
        <x14:conditionalFormatting xmlns:xm="http://schemas.microsoft.com/office/excel/2006/main">
          <x14:cfRule type="expression" priority="234" id="{7E74E11E-4AA9-401E-B1AE-E6C0A2179E11}">
            <xm:f>'Sprachen &amp; Rückgabewerte(4)'!$L$54=0</xm:f>
            <x14:dxf>
              <border>
                <top style="thin">
                  <color rgb="FFFF0000"/>
                </top>
                <vertical/>
                <horizontal/>
              </border>
            </x14:dxf>
          </x14:cfRule>
          <xm:sqref>AE60:AT60</xm:sqref>
        </x14:conditionalFormatting>
        <x14:conditionalFormatting xmlns:xm="http://schemas.microsoft.com/office/excel/2006/main">
          <x14:cfRule type="expression" priority="233" id="{7E2D1408-53BB-4208-AD13-52B787C30A94}">
            <xm:f>'Sprachen &amp; Rückgabewerte(4)'!$L$54=0</xm:f>
            <x14:dxf>
              <border>
                <right style="thin">
                  <color rgb="FFFF0000"/>
                </right>
                <vertical/>
                <horizontal/>
              </border>
            </x14:dxf>
          </x14:cfRule>
          <xm:sqref>AT60:AT71</xm:sqref>
        </x14:conditionalFormatting>
        <x14:conditionalFormatting xmlns:xm="http://schemas.microsoft.com/office/excel/2006/main">
          <x14:cfRule type="expression" priority="232" id="{03C72515-0E0D-4E83-9DD4-7800B484A350}">
            <xm:f>'Sprachen &amp; Rückgabewerte(4)'!$L$54=0</xm:f>
            <x14:dxf>
              <border>
                <bottom style="thin">
                  <color rgb="FFFF0000"/>
                </bottom>
                <vertical/>
                <horizontal/>
              </border>
            </x14:dxf>
          </x14:cfRule>
          <xm:sqref>AE71:AT71</xm:sqref>
        </x14:conditionalFormatting>
        <x14:conditionalFormatting xmlns:xm="http://schemas.microsoft.com/office/excel/2006/main">
          <x14:cfRule type="expression" priority="231" id="{5C6C2EBE-E25E-4664-828A-0E3ACF29F772}">
            <xm:f>'Sprachen &amp; Rückgabewerte(4)'!$L$55=0</xm:f>
            <x14:dxf>
              <border>
                <top style="thin">
                  <color rgb="FFFF0000"/>
                </top>
                <vertical/>
                <horizontal/>
              </border>
            </x14:dxf>
          </x14:cfRule>
          <xm:sqref>AE83:AT83</xm:sqref>
        </x14:conditionalFormatting>
        <x14:conditionalFormatting xmlns:xm="http://schemas.microsoft.com/office/excel/2006/main">
          <x14:cfRule type="expression" priority="230" id="{98A29154-F42C-4B8C-9829-A9B932D77B55}">
            <xm:f>'Sprachen &amp; Rückgabewerte(4)'!$L$55=0</xm:f>
            <x14:dxf>
              <border>
                <right style="thin">
                  <color rgb="FFFF0000"/>
                </right>
                <vertical/>
                <horizontal/>
              </border>
            </x14:dxf>
          </x14:cfRule>
          <xm:sqref>AT83:AT93</xm:sqref>
        </x14:conditionalFormatting>
        <x14:conditionalFormatting xmlns:xm="http://schemas.microsoft.com/office/excel/2006/main">
          <x14:cfRule type="expression" priority="229" id="{F0B7AF00-B190-4435-BB8A-6E0815C22135}">
            <xm:f>'Sprachen &amp; Rückgabewerte(4)'!$L$55=0</xm:f>
            <x14:dxf>
              <border>
                <bottom style="thin">
                  <color rgb="FFFF0000"/>
                </bottom>
                <vertical/>
                <horizontal/>
              </border>
            </x14:dxf>
          </x14:cfRule>
          <xm:sqref>AE93:AT93</xm:sqref>
        </x14:conditionalFormatting>
        <x14:conditionalFormatting xmlns:xm="http://schemas.microsoft.com/office/excel/2006/main">
          <x14:cfRule type="expression" priority="227" id="{AE486DEF-580B-41B6-8774-C4E64797083B}">
            <xm:f>'Sprachen &amp; Rückgabewerte(4)'!$M$59=0</xm:f>
            <x14:dxf>
              <border>
                <right style="thin">
                  <color rgb="FFFF0000"/>
                </right>
                <vertical/>
                <horizontal/>
              </border>
            </x14:dxf>
          </x14:cfRule>
          <xm:sqref>AB86</xm:sqref>
        </x14:conditionalFormatting>
        <x14:conditionalFormatting xmlns:xm="http://schemas.microsoft.com/office/excel/2006/main">
          <x14:cfRule type="expression" priority="226" id="{764EFDC9-96EE-449C-9D48-087664738425}">
            <xm:f>'Sprachen &amp; Rückgabewerte(4)'!$M$59=0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23" id="{630DB834-815A-4DEA-AF91-2FBB7D93ECCD}">
            <xm:f>K$20='Sprachen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4" id="{C5711EFC-E4C6-4574-8F12-695CDA1D2EDF}">
            <xm:f>K$20='Sprachen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21" id="{8676D8AA-6427-463D-8B01-C94FB36619C9}">
            <xm:f>O$20='Sprachen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2" id="{120A3BB0-074D-45E5-8795-A3B3B3C465CD}">
            <xm:f>O$20='Sprachen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219" id="{3F74FDD8-BD32-4C01-ABAD-2B525F58B3D7}">
            <xm:f>S$20='Sprachen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0" id="{A4D2F14A-FDDC-425A-9963-7369801DEFBC}">
            <xm:f>S$20='Sprachen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217" id="{00925E2A-8717-430E-87F4-9A78299A25F5}">
            <xm:f>W$20='Sprachen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8" id="{41BED4BC-40BB-4111-8EB5-354D9A5C85C5}">
            <xm:f>W$20='Sprachen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215" id="{5246254B-8895-40D3-B761-BFA3C821073C}">
            <xm:f>AA$20='Sprachen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6" id="{B4A9DBA8-7E9C-463D-81EA-A809ED9EBEC7}">
            <xm:f>AA$20='Sprachen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213" id="{C4805804-6EE5-4E10-994B-D321F51ED4A8}">
            <xm:f>AE$20='Sprachen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4" id="{FF55C96E-6500-4FA0-89EC-20A0F196695F}">
            <xm:f>AE$20='Sprachen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211" id="{E8AD97F0-996A-4957-B071-E3346CD9BDC6}">
            <xm:f>AI$20='Sprachen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2" id="{3440E27B-1121-4218-AD1A-61AD49517309}">
            <xm:f>AI$20='Sprachen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209" id="{B452975B-2BFF-4EB8-A583-B6FAEA99D4B7}">
            <xm:f>AM$20='Sprachen &amp; Rückgabewerte(4)'!$H$107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0" id="{B731FE83-708A-4F93-A039-CAF2441CE904}">
            <xm:f>AM$20='Sprachen &amp; Rückgabewerte(4)'!$H$106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208" id="{164F8F5D-964C-4A9B-950A-088CB68E4AEF}">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207" id="{75E350C0-BD47-48AF-8CED-FA2964BC7A61}">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206" id="{4C4EB68A-CB2A-4D56-BCBB-5E13F75016F4}">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205" id="{C220F3E6-B159-42E3-8B2D-AC5DED507238}">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204" id="{1FF3FF3E-C35E-4AD2-8849-5829CF5D78BF}">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203" id="{59586929-58F0-409D-8694-3D560B87D0C0}">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202" id="{8C92D769-533B-4341-854D-C34A0BF6EA73}">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201" id="{575565AB-74E7-43FA-A58B-6441016C3E47}">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200" id="{FC5FE604-3DBD-4E52-8858-1161C3B3B2DC}">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99" id="{92F8C497-370D-47E6-AD38-F047FD779A7B}">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98" id="{BB967C14-B170-4DB0-9A67-935796512A36}">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97" id="{15D39FBA-107B-4BBB-8F6E-0649D922CA22}">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96" id="{77108074-194C-41C7-897A-E80A044ED3A2}">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95" id="{8AF2B0B3-794F-4222-B2CE-B7626D2FECA6}">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94" id="{51518E25-789B-4CFD-BA56-05B3F79F689B}">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93" id="{3A1E584C-1597-4440-B923-81E192848279}">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92" id="{6A14BC88-59FF-402C-9DB1-866E447E574F}">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146" id="{DC63D0BC-F8D0-42ED-8608-06D3F8E589BD}">
            <xm:f>AND($AL$39="",'Sprachen &amp; Rückgabewerte(4)'!$I$22=TRUE)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90" id="{BCFA01C9-1E68-4001-B7DE-E22070E7F936}">
            <xm:f>'Sprachen &amp; Rückgabewerte(4)'!$I$22=FALSE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59" id="{47A59C4D-0AAF-4115-82B8-2E57E87E83F5}">
            <xm:f>'Sprachen &amp; Rückgabewerte(4)'!$I$36=FALSE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5" id="{6224A098-8AA2-4886-8CC8-7633E5FBCB1E}">
            <xm:f>'Sprachen &amp; Rückgabewerte(4)'!$I$39=FALSE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58" id="{A95FA04A-40A2-4817-9F6B-C2EEDB1DA1E5}">
            <xm:f>AND('Sprachen &amp; Rückgabewerte(4)'!$I$36=FALSE,'Sprachen &amp; Rückgabewerte(4)'!$I$39=FALSE)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76" id="{17651208-E0C9-4B97-AFE8-B2FC2BA15CED}">
            <xm:f>'Sprachen &amp; Rückgabewerte(4)'!$I$45=FALSE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84" id="{D3D6D19E-02A5-4F07-9C26-583DD9550271}">
            <xm:f>'Sprachen &amp; Rückgabewerte(4)'!$L$67=TRUE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83" id="{00CF3420-C5DF-47F6-8763-D7EC042CDC33}">
            <xm:f>'Sprachen &amp; Rückgabewerte(4)'!$L$68=TRUE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119" id="{1453AE89-1E13-4F89-8024-70D70693E618}">
            <xm:f>AND($AY$43&lt;&gt;0,'Sprachen &amp; Rückgabewerte(4)'!$I$19=TRUE)</xm:f>
            <x14:dxf>
              <border>
                <left style="thin">
                  <color rgb="FFFF0000"/>
                </left>
                <bottom/>
                <vertical/>
                <horizontal/>
              </border>
            </x14:dxf>
          </x14:cfRule>
          <x14:cfRule type="expression" priority="182" id="{C1DDF8E4-21C5-4F94-9065-1A5118C0E70C}">
            <xm:f>'Sprachen &amp; Rückgabewerte(4)'!$L$51=0</xm:f>
            <x14:dxf>
              <border>
                <left style="thin">
                  <color rgb="FFFF0000"/>
                </left>
                <vertical/>
                <horizontal/>
              </border>
            </x14:dxf>
          </x14:cfRule>
          <xm:sqref>AD32:AD40</xm:sqref>
        </x14:conditionalFormatting>
        <x14:conditionalFormatting xmlns:xm="http://schemas.microsoft.com/office/excel/2006/main">
          <x14:cfRule type="expression" priority="118" id="{E2596A2D-08CC-4F38-A8C8-1E26ED9DE27A}">
            <xm:f>AND($AY$43&lt;&gt;0,'Sprachen &amp; Rückgabewerte(4)'!$I$19=TRUE)</xm:f>
            <x14:dxf>
              <border>
                <bottom style="thin">
                  <color rgb="FFFF0000"/>
                </bottom>
                <vertical/>
                <horizontal/>
              </border>
            </x14:dxf>
          </x14:cfRule>
          <x14:cfRule type="expression" priority="181" id="{17B67238-E7D1-40A3-832B-6A079F6D982A}">
            <xm:f>'Sprachen &amp; Rückgabewerte(4)'!$L$51=0</xm:f>
            <x14:dxf>
              <border>
                <bottom style="thin">
                  <color rgb="FFFF0000"/>
                </bottom>
                <vertical/>
                <horizontal/>
              </border>
            </x14:dxf>
          </x14:cfRule>
          <xm:sqref>AD40</xm:sqref>
        </x14:conditionalFormatting>
        <x14:conditionalFormatting xmlns:xm="http://schemas.microsoft.com/office/excel/2006/main">
          <x14:cfRule type="expression" priority="180" id="{693A056D-51EC-4103-96DD-1558BBC6CE48}">
            <xm:f>'Sprachen &amp; Rückgabewerte(4)'!$L$51=0</xm:f>
            <x14:dxf>
              <border>
                <top style="thin">
                  <color rgb="FFFF0000"/>
                </top>
                <vertical/>
                <horizontal/>
              </border>
            </x14:dxf>
          </x14:cfRule>
          <xm:sqref>AD32</xm:sqref>
        </x14:conditionalFormatting>
        <x14:conditionalFormatting xmlns:xm="http://schemas.microsoft.com/office/excel/2006/main">
          <x14:cfRule type="expression" priority="179" id="{26B4D06E-87E2-4D25-A9B9-D58A50113F1D}">
            <xm:f>'Sprachen &amp; Rückgabewerte(4)'!$L$52=0</xm:f>
            <x14:dxf>
              <border>
                <left style="thin">
                  <color rgb="FFFF0000"/>
                </left>
                <vertical/>
                <horizontal/>
              </border>
            </x14:dxf>
          </x14:cfRule>
          <xm:sqref>AD42:AD50</xm:sqref>
        </x14:conditionalFormatting>
        <x14:conditionalFormatting xmlns:xm="http://schemas.microsoft.com/office/excel/2006/main">
          <x14:cfRule type="expression" priority="178" id="{0A28FDA0-18A3-4411-A48C-85C0902D4B8F}">
            <xm:f>'Sprachen &amp; Rückgabewerte(4)'!$L$52=0</xm:f>
            <x14:dxf>
              <border>
                <top style="thin">
                  <color rgb="FFFF0000"/>
                </top>
                <vertical/>
                <horizontal/>
              </border>
            </x14:dxf>
          </x14:cfRule>
          <xm:sqref>AD42</xm:sqref>
        </x14:conditionalFormatting>
        <x14:conditionalFormatting xmlns:xm="http://schemas.microsoft.com/office/excel/2006/main">
          <x14:cfRule type="expression" priority="177" id="{51D36BDF-9B15-4944-B0FE-394FBAD36B29}">
            <xm:f>'Sprachen &amp; Rückgabewerte(4)'!$L$52=0</xm:f>
            <x14:dxf>
              <border>
                <bottom style="thin">
                  <color rgb="FFFF0000"/>
                </bottom>
                <vertical/>
                <horizontal/>
              </border>
            </x14:dxf>
          </x14:cfRule>
          <xm:sqref>AD50</xm:sqref>
        </x14:conditionalFormatting>
        <x14:conditionalFormatting xmlns:xm="http://schemas.microsoft.com/office/excel/2006/main">
          <x14:cfRule type="expression" priority="176" id="{4A740306-892F-4D2F-883F-1AAF2889AA36}">
            <xm:f>'Sprachen &amp; Rückgabewerte(4)'!$L$53=0</xm:f>
            <x14:dxf>
              <border>
                <left style="thin">
                  <color rgb="FFFF0000"/>
                </left>
                <vertical/>
                <horizontal/>
              </border>
            </x14:dxf>
          </x14:cfRule>
          <xm:sqref>AD52:AD58</xm:sqref>
        </x14:conditionalFormatting>
        <x14:conditionalFormatting xmlns:xm="http://schemas.microsoft.com/office/excel/2006/main">
          <x14:cfRule type="expression" priority="175" id="{11FEB6EF-72E1-4108-94D7-6AA220D2E2E1}">
            <xm:f>'Sprachen &amp; Rückgabewerte(4)'!$L$53=0</xm:f>
            <x14:dxf>
              <border>
                <top style="thin">
                  <color rgb="FFFF0000"/>
                </top>
                <vertical/>
                <horizontal/>
              </border>
            </x14:dxf>
          </x14:cfRule>
          <xm:sqref>AD52</xm:sqref>
        </x14:conditionalFormatting>
        <x14:conditionalFormatting xmlns:xm="http://schemas.microsoft.com/office/excel/2006/main">
          <x14:cfRule type="expression" priority="174" id="{49657B25-A9B6-4ACE-88FF-790E3E597B02}">
            <xm:f>'Sprachen &amp; Rückgabewerte(4)'!$L$53=0</xm:f>
            <x14:dxf>
              <border>
                <bottom style="thin">
                  <color rgb="FFFF0000"/>
                </bottom>
                <vertical/>
                <horizontal/>
              </border>
            </x14:dxf>
          </x14:cfRule>
          <xm:sqref>AD58</xm:sqref>
        </x14:conditionalFormatting>
        <x14:conditionalFormatting xmlns:xm="http://schemas.microsoft.com/office/excel/2006/main">
          <x14:cfRule type="expression" priority="173" id="{F748CF71-C62E-4C33-BD5E-AB68969BF990}">
            <xm:f>'Sprachen &amp; Rückgabewerte(4)'!$L$54=0</xm:f>
            <x14:dxf>
              <border>
                <left style="thin">
                  <color rgb="FFFF0000"/>
                </left>
                <vertical/>
                <horizontal/>
              </border>
            </x14:dxf>
          </x14:cfRule>
          <xm:sqref>AD60:AD71</xm:sqref>
        </x14:conditionalFormatting>
        <x14:conditionalFormatting xmlns:xm="http://schemas.microsoft.com/office/excel/2006/main">
          <x14:cfRule type="expression" priority="172" id="{B3685950-2E81-448C-8366-E4E3773BDD1D}">
            <xm:f>'Sprachen &amp; Rückgabewerte(4)'!$L$54=0</xm:f>
            <x14:dxf>
              <border>
                <top style="thin">
                  <color rgb="FFFF0000"/>
                </top>
                <vertical/>
                <horizontal/>
              </border>
            </x14:dxf>
          </x14:cfRule>
          <xm:sqref>AD60</xm:sqref>
        </x14:conditionalFormatting>
        <x14:conditionalFormatting xmlns:xm="http://schemas.microsoft.com/office/excel/2006/main">
          <x14:cfRule type="expression" priority="171" id="{BACF900A-140E-41DA-BD3B-85BD22B3E9EE}">
            <xm:f>'Sprachen &amp; Rückgabewerte(4)'!$L$54=0</xm:f>
            <x14:dxf>
              <border>
                <bottom style="thin">
                  <color rgb="FFFF0000"/>
                </bottom>
                <vertical/>
                <horizontal/>
              </border>
            </x14:dxf>
          </x14:cfRule>
          <xm:sqref>AD71</xm:sqref>
        </x14:conditionalFormatting>
        <x14:conditionalFormatting xmlns:xm="http://schemas.microsoft.com/office/excel/2006/main">
          <x14:cfRule type="expression" priority="155" id="{B7BF10F6-D8DB-4600-87F0-DB59BD1DB702}">
            <xm:f>'Sprachen &amp; Rückgabewerte(4)'!$C$64=0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69" id="{1F2DFE7E-12B7-4D7A-B41E-CC9099DE250F}">
            <xm:f>'Sprachen &amp; Rückgabewerte(4)'!$L$55=0</xm:f>
            <x14:dxf>
              <border>
                <left style="thin">
                  <color rgb="FFFF0000"/>
                </left>
                <vertical/>
                <horizontal/>
              </border>
            </x14:dxf>
          </x14:cfRule>
          <xm:sqref>AD83:AD93</xm:sqref>
        </x14:conditionalFormatting>
        <x14:conditionalFormatting xmlns:xm="http://schemas.microsoft.com/office/excel/2006/main">
          <x14:cfRule type="expression" priority="168" id="{75E4970A-F2A7-4B3F-B220-B96BE979626D}">
            <xm:f>'Sprachen &amp; Rückgabewerte(4)'!$L$55=0</xm:f>
            <x14:dxf>
              <border>
                <top style="thin">
                  <color rgb="FFFF0000"/>
                </top>
                <vertical/>
                <horizontal/>
              </border>
            </x14:dxf>
          </x14:cfRule>
          <xm:sqref>AD83</xm:sqref>
        </x14:conditionalFormatting>
        <x14:conditionalFormatting xmlns:xm="http://schemas.microsoft.com/office/excel/2006/main">
          <x14:cfRule type="expression" priority="167" id="{B3823DDD-7B97-49DB-A05C-C7A64F80196E}">
            <xm:f>'Sprachen &amp; Rückgabewerte(4)'!$L$55=0</xm:f>
            <x14:dxf>
              <border>
                <bottom style="thin">
                  <color rgb="FFFF0000"/>
                </bottom>
                <vertical/>
                <horizontal/>
              </border>
            </x14:dxf>
          </x14:cfRule>
          <xm:sqref>AD93</xm:sqref>
        </x14:conditionalFormatting>
        <x14:conditionalFormatting xmlns:xm="http://schemas.microsoft.com/office/excel/2006/main">
          <x14:cfRule type="expression" priority="145" id="{A1928949-4077-47B8-88FB-5B12ABC10883}">
            <xm:f>AND($AE$85="",$AE$84='Sprachen &amp; Rückgabewerte(4)'!$H$89)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2" id="{159077C3-82F8-4DC3-935E-87F29D18FB77}">
            <xm:f>$AE$84='Sprachen &amp; Rückgabewerte(4)'!$H$89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301" id="{C38732A5-1AD5-4F02-9D28-D05A3C8ECAD0}">
            <xm:f>'Sprachen &amp; Rückgabewerte(4)'!$C$48=FALSE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303" id="{7E9B5C84-C863-4988-90FD-4D148E822248}">
            <xm:f>'Sprachen &amp; Rückgabewerte(4)'!$M$62=3</xm:f>
            <x14:dxf>
              <border>
                <left style="thin">
                  <color rgb="FFFF0000"/>
                </left>
                <vertical/>
                <horizontal/>
              </border>
            </x14:dxf>
          </x14:cfRule>
          <x14:cfRule type="expression" priority="304" id="{CCF2A977-E3BC-449C-A71C-0EA8A7B1AED5}">
            <xm:f>'Sprachen &amp; Rückgabewerte(4)'!$M$62=2</xm:f>
            <x14:dxf>
              <border>
                <left style="thin">
                  <color rgb="FFFF0000"/>
                </left>
                <vertical/>
                <horizontal/>
              </border>
            </x14:dxf>
          </x14:cfRule>
          <xm:sqref>C73:C97</xm:sqref>
        </x14:conditionalFormatting>
        <x14:conditionalFormatting xmlns:xm="http://schemas.microsoft.com/office/excel/2006/main">
          <x14:cfRule type="expression" priority="305" id="{429AA688-8016-4D33-AD25-230AC651AF1B}">
            <xm:f>'Sprachen &amp; Rückgabewerte(4)'!$M$62=2</xm:f>
            <x14:dxf>
              <border>
                <top style="thin">
                  <color rgb="FFFF0000"/>
                </top>
                <vertical/>
                <horizontal/>
              </border>
            </x14:dxf>
          </x14:cfRule>
          <x14:cfRule type="expression" priority="306" id="{CB637889-812D-4BC2-915D-2577792800BE}">
            <xm:f>'Sprachen &amp; Rückgabewerte(4)'!$M$62=3</xm:f>
            <x14:dxf>
              <border>
                <top style="thin">
                  <color rgb="FFFF0000"/>
                </top>
                <vertical/>
                <horizontal/>
              </border>
            </x14:dxf>
          </x14:cfRule>
          <xm:sqref>C73:AB73</xm:sqref>
        </x14:conditionalFormatting>
        <x14:conditionalFormatting xmlns:xm="http://schemas.microsoft.com/office/excel/2006/main">
          <x14:cfRule type="expression" priority="307" id="{F73E3241-DDCA-4946-B115-BDDA3D3727AD}">
            <xm:f>'Sprachen &amp; Rückgabewerte(4)'!$M$62=2</xm:f>
            <x14:dxf>
              <border>
                <right style="thin">
                  <color rgb="FFFF0000"/>
                </right>
                <vertical/>
                <horizontal/>
              </border>
            </x14:dxf>
          </x14:cfRule>
          <x14:cfRule type="expression" priority="308" id="{8244D146-3D7D-4FD5-89E0-7E96ABC1E796}">
            <xm:f>'Sprachen &amp; Rückgabewerte(4)'!$M$62=3</xm:f>
            <x14:dxf>
              <border>
                <right style="thin">
                  <color rgb="FFFF0000"/>
                </right>
                <vertical/>
                <horizontal/>
              </border>
            </x14:dxf>
          </x14:cfRule>
          <xm:sqref>AB73:AB85</xm:sqref>
        </x14:conditionalFormatting>
        <x14:conditionalFormatting xmlns:xm="http://schemas.microsoft.com/office/excel/2006/main">
          <x14:cfRule type="expression" priority="311" id="{1EFAA249-7728-452E-9818-4D01FE18F091}">
            <xm:f>'Sprachen &amp; Rückgabewerte(4)'!$M$62=3</xm:f>
            <x14:dxf>
              <border>
                <bottom style="thin">
                  <color rgb="FFFF0000"/>
                </bottom>
                <vertical/>
                <horizontal/>
              </border>
            </x14:dxf>
          </x14:cfRule>
          <x14:cfRule type="expression" priority="312" id="{5F8776F5-B11B-4F56-B583-63860E07DF6D}">
            <xm:f>'Sprachen &amp; Rückgabewerte(4)'!$M$62=2</xm:f>
            <x14:dxf>
              <border>
                <bottom style="thin">
                  <color rgb="FFFF0000"/>
                </bottom>
                <vertical/>
                <horizontal/>
              </border>
            </x14:dxf>
          </x14:cfRule>
          <xm:sqref>C97:K97</xm:sqref>
        </x14:conditionalFormatting>
        <x14:conditionalFormatting xmlns:xm="http://schemas.microsoft.com/office/excel/2006/main">
          <x14:cfRule type="expression" priority="313" id="{AC1F107B-3701-42D0-BD47-E65AC67C4956}">
            <xm:f>'Sprachen &amp; Rückgabewerte(4)'!$M$60=0</xm:f>
            <x14:dxf>
              <border>
                <left style="thin">
                  <color rgb="FFFF0000"/>
                </left>
                <vertical/>
                <horizontal/>
              </border>
            </x14:dxf>
          </x14:cfRule>
          <xm:sqref>M73:M85</xm:sqref>
        </x14:conditionalFormatting>
        <x14:conditionalFormatting xmlns:xm="http://schemas.microsoft.com/office/excel/2006/main">
          <x14:cfRule type="expression" priority="314" id="{7B6002A8-57C7-4589-B20F-BD97A67E18F6}">
            <xm:f>'Sprachen &amp; Rückgabewerte(4)'!$M$60=0</xm:f>
            <x14:dxf>
              <border>
                <top style="thin">
                  <color rgb="FFFF0000"/>
                </top>
                <vertical/>
                <horizontal/>
              </border>
            </x14:dxf>
          </x14:cfRule>
          <xm:sqref>M73:S73</xm:sqref>
        </x14:conditionalFormatting>
        <x14:conditionalFormatting xmlns:xm="http://schemas.microsoft.com/office/excel/2006/main">
          <x14:cfRule type="expression" priority="315" id="{B627F270-579B-4552-B4DC-D6F384BC5C51}">
            <xm:f>'Sprachen &amp; Rückgabewerte(4)'!$M$60=0</xm:f>
            <x14:dxf>
              <border>
                <right style="thin">
                  <color rgb="FFFF0000"/>
                </right>
                <vertical/>
                <horizontal/>
              </border>
            </x14:dxf>
          </x14:cfRule>
          <xm:sqref>S73:S85</xm:sqref>
        </x14:conditionalFormatting>
        <x14:conditionalFormatting xmlns:xm="http://schemas.microsoft.com/office/excel/2006/main">
          <x14:cfRule type="expression" priority="309" id="{D706B10A-41D4-46D6-9CB4-8A9224FB9D52}">
            <xm:f>'Sprachen &amp; Rückgabewerte(4)'!$M$60=0</xm:f>
            <x14:dxf>
              <border>
                <bottom style="thin">
                  <color rgb="FFFF0000"/>
                </bottom>
                <vertical/>
                <horizontal/>
              </border>
            </x14:dxf>
          </x14:cfRule>
          <xm:sqref>M85:S85</xm:sqref>
        </x14:conditionalFormatting>
        <x14:conditionalFormatting xmlns:xm="http://schemas.microsoft.com/office/excel/2006/main">
          <x14:cfRule type="expression" priority="317" id="{B385144B-B0ED-4920-8E97-3062EB59E16D}">
            <xm:f>'Sprachen &amp; Rückgabewerte(4)'!$M$56=0</xm:f>
            <x14:dxf>
              <border>
                <left style="thin">
                  <color rgb="FFFF0000"/>
                </left>
                <vertical/>
                <horizontal/>
              </border>
            </x14:dxf>
          </x14:cfRule>
          <xm:sqref>C62:C72</xm:sqref>
        </x14:conditionalFormatting>
        <x14:conditionalFormatting xmlns:xm="http://schemas.microsoft.com/office/excel/2006/main">
          <x14:cfRule type="expression" priority="165" id="{FE8E0309-624A-451C-B25F-C9256B42B246}">
            <xm:f>'Sprachen &amp; Rückgabewerte(4)'!$M$56=0</xm:f>
            <x14:dxf>
              <border>
                <bottom style="thin">
                  <color rgb="FFFF0000"/>
                </bottom>
                <vertical/>
                <horizontal/>
              </border>
            </x14:dxf>
          </x14:cfRule>
          <xm:sqref>C72:AB72</xm:sqref>
        </x14:conditionalFormatting>
        <x14:conditionalFormatting xmlns:xm="http://schemas.microsoft.com/office/excel/2006/main">
          <x14:cfRule type="expression" priority="319" id="{44560756-24F9-4391-B344-209584C3B19E}">
            <xm:f>'Sprachen &amp; Rückgabewerte(4)'!$M$56=0</xm:f>
            <x14:dxf>
              <border>
                <right style="thin">
                  <color rgb="FFFF0000"/>
                </right>
                <vertical/>
                <horizontal/>
              </border>
            </x14:dxf>
          </x14:cfRule>
          <xm:sqref>AB62:AB72</xm:sqref>
        </x14:conditionalFormatting>
        <x14:conditionalFormatting xmlns:xm="http://schemas.microsoft.com/office/excel/2006/main">
          <x14:cfRule type="expression" priority="320" id="{6F55238E-FB69-4E36-9F3D-961FFE9F78E7}">
            <xm:f>'Sprachen &amp; Rückgabewerte(4)'!$M$56=0</xm:f>
            <x14:dxf>
              <border>
                <top style="thin">
                  <color rgb="FFFF0000"/>
                </top>
                <vertical/>
                <horizontal/>
              </border>
            </x14:dxf>
          </x14:cfRule>
          <xm:sqref>C62:AB62</xm:sqref>
        </x14:conditionalFormatting>
        <x14:conditionalFormatting xmlns:xm="http://schemas.microsoft.com/office/excel/2006/main">
          <x14:cfRule type="expression" priority="150" id="{EF23A940-7B51-47AE-9CA7-132A3637EDBB}">
            <xm:f>'Sprachen &amp; Rückgabewerte(4)'!$M$66=FALSE</xm:f>
            <x14:dxf>
              <border>
                <left style="thin">
                  <color rgb="FFFF0000"/>
                </left>
                <vertical/>
                <horizontal/>
              </border>
            </x14:dxf>
          </x14:cfRule>
          <xm:sqref>AD73:AD81</xm:sqref>
        </x14:conditionalFormatting>
        <x14:conditionalFormatting xmlns:xm="http://schemas.microsoft.com/office/excel/2006/main">
          <x14:cfRule type="expression" priority="149" id="{2376A6F0-BEAD-422C-9FEE-7516F62355A4}">
            <xm:f>'Sprachen &amp; Rückgabewerte(4)'!$M$66=FALSE</xm:f>
            <x14:dxf>
              <border>
                <top style="thin">
                  <color rgb="FFFF0000"/>
                </top>
                <vertical/>
                <horizontal/>
              </border>
            </x14:dxf>
          </x14:cfRule>
          <xm:sqref>AD73:AT73</xm:sqref>
        </x14:conditionalFormatting>
        <x14:conditionalFormatting xmlns:xm="http://schemas.microsoft.com/office/excel/2006/main">
          <x14:cfRule type="expression" priority="148" id="{180118D6-3893-497F-BF8C-1E1C9779BA4C}">
            <xm:f>'Sprachen &amp; Rückgabewerte(4)'!$M$66=FALSE</xm:f>
            <x14:dxf>
              <border>
                <right style="thin">
                  <color rgb="FFFF0000"/>
                </right>
                <vertical/>
                <horizontal/>
              </border>
            </x14:dxf>
          </x14:cfRule>
          <xm:sqref>AT73:AT81</xm:sqref>
        </x14:conditionalFormatting>
        <x14:conditionalFormatting xmlns:xm="http://schemas.microsoft.com/office/excel/2006/main">
          <x14:cfRule type="expression" priority="147" id="{64C4B379-E641-4DE7-B10A-356BCBA374B0}">
            <xm:f>'Sprachen &amp; Rückgabewerte(4)'!$M$66=FALSE</xm:f>
            <x14:dxf>
              <border>
                <bottom style="thin">
                  <color rgb="FFFF0000"/>
                </bottom>
                <vertical/>
                <horizontal/>
              </border>
            </x14:dxf>
          </x14:cfRule>
          <xm:sqref>AD81:AT81</xm:sqref>
        </x14:conditionalFormatting>
        <x14:conditionalFormatting xmlns:xm="http://schemas.microsoft.com/office/excel/2006/main">
          <x14:cfRule type="expression" priority="124" id="{EFBDEDCA-5A1A-4DCE-8AF5-B1D4EFECE306}">
            <xm:f>'Sprachen &amp; Rückgabewerte(4)'!$I$19=FALSE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31" id="{1A5DD06E-90B6-463C-B3E4-CB8F3A4F515D}">
            <xm:f>'Sprachen &amp; Rückgabewerte(4)'!$I$13=FALSE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123" id="{2AD7A91D-4104-4AAB-A0C8-FAD27185FCCC}">
            <xm:f>AND($AY$43&lt;&gt;0,'Sprachen &amp; Rückgabewerte(4)'!$I$19=TRUE)</xm:f>
            <x14:dxf>
              <border>
                <top style="thin">
                  <color rgb="FFFF0000"/>
                </top>
                <vertical/>
                <horizontal/>
              </border>
            </x14:dxf>
          </x14:cfRule>
          <x14:cfRule type="expression" priority="128" id="{24B4F5F4-C745-4907-8CDE-2CFA65F44CEE}">
            <xm:f>'Sprachen &amp; Rückgabewerte(4)'!$I$19=FALSE</xm:f>
            <x14:dxf>
              <border>
                <top/>
                <vertical/>
                <horizontal/>
              </border>
            </x14:dxf>
          </x14:cfRule>
          <xm:sqref>AU32:AV32</xm:sqref>
        </x14:conditionalFormatting>
        <x14:conditionalFormatting xmlns:xm="http://schemas.microsoft.com/office/excel/2006/main">
          <x14:cfRule type="expression" priority="127" id="{8DD4C99D-5508-4357-93A5-041C871CFFD0}">
            <xm:f>AND($AY$43&lt;&gt;0,'Sprachen &amp; Rückgabewerte(4)'!$I$19=TRUE)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26" id="{98BDB38D-3E4D-4229-9C86-2E8C6E9A317A}">
            <xm:f>AND($AY$43&lt;&gt;0,'Sprachen &amp; Rückgabewerte(4)'!$I$19=TRUE)</xm:f>
            <x14:dxf>
              <border>
                <right style="thin">
                  <color rgb="FFFF0000"/>
                </right>
                <vertical/>
                <horizontal/>
              </border>
            </x14:dxf>
          </x14:cfRule>
          <xm:sqref>BA33:BA43</xm:sqref>
        </x14:conditionalFormatting>
        <x14:conditionalFormatting xmlns:xm="http://schemas.microsoft.com/office/excel/2006/main">
          <x14:cfRule type="expression" priority="125" id="{F8F37B39-A15F-48E9-B94C-CD4DD1420E50}">
            <xm:f>AND($AY$43&lt;&gt;0,'Sprachen &amp; Rückgabewerte(4)'!$I$19=TRUE)</xm:f>
            <x14:dxf>
              <border>
                <bottom style="thin">
                  <color rgb="FFFF0000"/>
                </bottom>
                <vertical/>
                <horizontal/>
              </border>
            </x14:dxf>
          </x14:cfRule>
          <xm:sqref>AW43:BA43</xm:sqref>
        </x14:conditionalFormatting>
        <x14:conditionalFormatting xmlns:xm="http://schemas.microsoft.com/office/excel/2006/main">
          <x14:cfRule type="expression" priority="129" id="{8E8D7F45-A5EF-4FD4-9C07-2A3EA98B9513}">
            <xm:f>AND($AY$43&lt;&gt;0,'Sprachen &amp; Rückgabewerte(4)'!$I$19=TRUE)</xm:f>
            <x14:dxf>
              <border>
                <left style="thin">
                  <color rgb="FFFF0000"/>
                </left>
                <vertical/>
                <horizontal/>
              </border>
            </x14:dxf>
          </x14:cfRule>
          <xm:sqref>AW33:AW43</xm:sqref>
        </x14:conditionalFormatting>
        <x14:conditionalFormatting xmlns:xm="http://schemas.microsoft.com/office/excel/2006/main">
          <x14:cfRule type="expression" priority="122" id="{62A8793C-770B-47E1-830B-D2A42924361F}">
            <xm:f>AND($AY$43&lt;&gt;0,'Sprachen &amp; Rückgabewerte(4)'!$I$19=TRUE)</xm:f>
            <x14:dxf>
              <border>
                <top style="thin">
                  <color rgb="FFFF0000"/>
                </top>
                <vertical/>
                <horizontal/>
              </border>
            </x14:dxf>
          </x14:cfRule>
          <xm:sqref>AD32:AT32</xm:sqref>
        </x14:conditionalFormatting>
        <x14:conditionalFormatting xmlns:xm="http://schemas.microsoft.com/office/excel/2006/main">
          <x14:cfRule type="expression" priority="120" id="{46CF40F8-E99C-47B9-A3AE-F6D28A46FB95}">
            <xm:f>AND($AY$43&lt;&gt;0,'Sprachen &amp; Rückgabewerte(4)'!$I$19=TRUE)</xm:f>
            <x14:dxf>
              <border>
                <bottom style="thin">
                  <color rgb="FFFF0000"/>
                </bottom>
                <vertical/>
                <horizontal/>
              </border>
            </x14:dxf>
          </x14:cfRule>
          <xm:sqref>AD40:AT40</xm:sqref>
        </x14:conditionalFormatting>
        <x14:conditionalFormatting xmlns:xm="http://schemas.microsoft.com/office/excel/2006/main">
          <x14:cfRule type="expression" priority="117" id="{77D37AF6-4071-431C-B382-29757AE236B0}">
            <xm:f>AND('Sprachen &amp; Rückgabewerte(4)'!$I$50=TRUE,'Sprachen &amp; Rückgabewerte(4)'!$C$95&lt;&gt;0)</xm:f>
            <x14:dxf>
              <border>
                <top style="thin">
                  <color rgb="FFFF0000"/>
                </top>
                <vertical/>
                <horizontal/>
              </border>
            </x14:dxf>
          </x14:cfRule>
          <xm:sqref>B101:AU101</xm:sqref>
        </x14:conditionalFormatting>
        <x14:conditionalFormatting xmlns:xm="http://schemas.microsoft.com/office/excel/2006/main">
          <x14:cfRule type="expression" priority="116" id="{9CCA073B-F608-4EAC-94E8-CC2C12E61C73}">
            <xm:f>AND('Sprachen &amp; Rückgabewerte(4)'!$I$50=TRUE,'Sprachen &amp; Rückgabewerte(4)'!$C$95&lt;&gt;0)</xm:f>
            <x14:dxf>
              <border>
                <right style="thin">
                  <color rgb="FFFF0000"/>
                </right>
                <vertical/>
                <horizontal/>
              </border>
            </x14:dxf>
          </x14:cfRule>
          <xm:sqref>AU101:AU136</xm:sqref>
        </x14:conditionalFormatting>
        <x14:conditionalFormatting xmlns:xm="http://schemas.microsoft.com/office/excel/2006/main">
          <x14:cfRule type="expression" priority="115" id="{98BF4FFA-1AE9-4F1A-933E-FEF2BB7A3110}">
            <xm:f>AND('Sprachen &amp; Rückgabewerte(4)'!$I$50=TRUE,'Sprachen &amp; Rückgabewerte(4)'!$C$95&lt;&gt;0)</xm:f>
            <x14:dxf>
              <border>
                <bottom style="thin">
                  <color rgb="FFFF0000"/>
                </bottom>
                <vertical/>
                <horizontal/>
              </border>
            </x14:dxf>
          </x14:cfRule>
          <xm:sqref>B136:AU136</xm:sqref>
        </x14:conditionalFormatting>
        <x14:conditionalFormatting xmlns:xm="http://schemas.microsoft.com/office/excel/2006/main">
          <x14:cfRule type="expression" priority="114" id="{7D745B62-5F05-42C0-9D3B-6E579B34CEC7}">
            <xm:f>AND('Sprachen &amp; Rückgabewerte(4)'!$I$50=TRUE,'Sprachen &amp; Rückgabewerte(4)'!$C$95&lt;&gt;0)</xm:f>
            <x14:dxf>
              <border>
                <left style="thin">
                  <color rgb="FFFF0000"/>
                </left>
                <vertical/>
                <horizontal/>
              </border>
            </x14:dxf>
          </x14:cfRule>
          <xm:sqref>B101:B136</xm:sqref>
        </x14:conditionalFormatting>
        <x14:conditionalFormatting xmlns:xm="http://schemas.microsoft.com/office/excel/2006/main">
          <x14:cfRule type="expression" priority="113" id="{05521EE4-9987-47BB-9F4E-DD45F94D0792}">
            <xm:f>AND('Sprachen &amp; Rückgabewerte(4)'!$I$50=TRUE,'Sprachen &amp; Rückgabewerte(4)'!$C$95&lt;&gt;0)</xm:f>
            <x14:dxf>
              <border>
                <top style="thin">
                  <color rgb="FFFF0000"/>
                </top>
                <bottom/>
                <vertical/>
                <horizontal/>
              </border>
            </x14:dxf>
          </x14:cfRule>
          <xm:sqref>AV101</xm:sqref>
        </x14:conditionalFormatting>
        <x14:conditionalFormatting xmlns:xm="http://schemas.microsoft.com/office/excel/2006/main">
          <x14:cfRule type="expression" priority="109" id="{AA85760E-3BF8-4526-A2D1-0BE086FA176B}">
            <xm:f>'Sprachen &amp; Rückgabewerte(4)'!$I$50=FALSE</xm:f>
            <x14:dxf>
              <border>
                <right/>
                <vertical/>
                <horizontal/>
              </border>
            </x14:dxf>
          </x14:cfRule>
          <x14:cfRule type="expression" priority="112" id="{CC258F4E-5211-473A-87C0-59EACC35DA1F}">
            <xm:f>AND('Sprachen &amp; Rückgabewerte(4)'!$I$50=TRUE,'Sprachen &amp; Rückgabewerte(4)'!$C$95&lt;&gt;0)</xm:f>
            <x14:dxf>
              <border>
                <right style="thin">
                  <color rgb="FFFF0000"/>
                </right>
                <vertical/>
                <horizontal/>
              </border>
            </x14:dxf>
          </x14:cfRule>
          <xm:sqref>AV84:AV100</xm:sqref>
        </x14:conditionalFormatting>
        <x14:conditionalFormatting xmlns:xm="http://schemas.microsoft.com/office/excel/2006/main">
          <x14:cfRule type="expression" priority="110" id="{01CCE43F-9552-46EB-BB60-ABBE82DB567E}">
            <xm:f>'Sprachen &amp; Rückgabewerte(4)'!$I$50=FALSE</xm:f>
            <x14:dxf>
              <border>
                <top/>
                <vertical/>
                <horizontal/>
              </border>
            </x14:dxf>
          </x14:cfRule>
          <x14:cfRule type="expression" priority="111" id="{3CA4993C-AE07-4E63-8161-8E49F1C1D066}">
            <xm:f>AND('Sprachen &amp; Rückgabewerte(4)'!$I$50=TRUE,'Sprachen &amp; Rückgabewerte(4)'!$C$95&lt;&gt;0)</xm:f>
            <x14:dxf>
              <border>
                <top style="thin">
                  <color rgb="FFFF0000"/>
                </top>
                <vertical/>
                <horizontal/>
              </border>
            </x14:dxf>
          </x14:cfRule>
          <xm:sqref>AU84:AV84</xm:sqref>
        </x14:conditionalFormatting>
        <x14:conditionalFormatting xmlns:xm="http://schemas.microsoft.com/office/excel/2006/main">
          <x14:cfRule type="expression" priority="108" id="{E0CF62FD-5AA7-49BE-9F65-14BEBDF316AD}">
            <xm:f>'Sprachen &amp; Rückgabewerte(4)'!$I$50=FALSE</xm:f>
            <x14:dxf>
              <border>
                <bottom/>
                <vertical/>
                <horizontal/>
              </border>
            </x14:dxf>
          </x14:cfRule>
          <xm:sqref>AV100</xm:sqref>
        </x14:conditionalFormatting>
        <x14:conditionalFormatting xmlns:xm="http://schemas.microsoft.com/office/excel/2006/main">
          <x14:cfRule type="expression" priority="97" id="{1C91FAA0-052B-4AF7-AA95-C44B1E5B7BA5}">
            <xm:f>'Sprachen &amp; Rückgabewerte(4)'!$S$41=3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1" id="{74D2D1DC-301D-4A99-B678-5523A406ADCC}">
            <xm:f>'Sprachen &amp; Rückgabewerte(4)'!$S$41=2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2" id="{63716484-85E1-4E9D-A87F-5B8ADEE25A14}">
            <xm:f>'Sprachen &amp; Rückgabewerte(4)'!$S$41=1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23" id="{E9754142-C5BB-48A1-80CE-E82685FFF62D}">
            <xm:f>'Sprachen &amp; Rückgabewerte(4)'!$S$41=3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4" id="{2B5E8E9C-B39C-4989-BA49-AA0F7D6E70B5}">
            <xm:f>'Sprachen &amp; Rückgabewerte(4)'!$S$41=2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25" id="{79C54E42-1413-4688-95AA-1BFB181159C3}">
            <xm:f>'Sprachen &amp; Rückgabewerte(4)'!$S$41=3</xm:f>
            <x14:dxf>
              <font>
                <b/>
                <i val="0"/>
                <color theme="1"/>
              </font>
            </x14:dxf>
          </x14:cfRule>
          <x14:cfRule type="expression" priority="326" id="{FDF6A8A5-516B-4B29-87AB-A5B33E1E29D7}">
            <xm:f>'Sprachen &amp; Rückgabewerte(4)'!$S$41=3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27" id="{B9B141F9-596A-4BBE-9376-A3CE6F68DE2A}">
            <xm:f>'Sprachen &amp; Rückgabewerte(4)'!$S$41=3</xm:f>
            <x14:dxf>
              <font>
                <b/>
                <i val="0"/>
                <color theme="1"/>
              </font>
            </x14:dxf>
          </x14:cfRule>
          <xm:sqref>L46</xm:sqref>
        </x14:conditionalFormatting>
        <x14:conditionalFormatting xmlns:xm="http://schemas.microsoft.com/office/excel/2006/main">
          <x14:cfRule type="expression" priority="328" id="{1C819660-4002-4AB6-911B-1DD67D2424AB}">
            <xm:f>'Sprachen &amp; Rückgabewerte(4)'!$S$41=2</xm:f>
            <x14:dxf>
              <font>
                <b/>
                <i val="0"/>
                <color theme="1"/>
              </font>
            </x14:dxf>
          </x14:cfRule>
          <x14:cfRule type="expression" priority="329" id="{22FC78F2-BAC4-4502-9621-0B6DE1612149}">
            <xm:f>'Sprachen &amp; Rückgabewerte(4)'!$S$41=3</xm:f>
            <x14:dxf>
              <font>
                <b/>
                <i val="0"/>
                <color theme="1"/>
              </font>
            </x14:dxf>
          </x14:cfRule>
          <xm:sqref>L47</xm:sqref>
        </x14:conditionalFormatting>
        <x14:conditionalFormatting xmlns:xm="http://schemas.microsoft.com/office/excel/2006/main">
          <x14:cfRule type="expression" priority="330" id="{A8A58488-7F57-43AB-8A74-BC596671BAAF}">
            <xm:f>'Sprachen &amp; Rückgabewerte(4)'!$S$41=3</xm:f>
            <x14:dxf>
              <font>
                <b/>
                <i val="0"/>
                <color theme="1"/>
              </font>
            </x14:dxf>
          </x14:cfRule>
          <x14:cfRule type="expression" priority="331" id="{58B9CA78-44D9-4770-AA01-B8542A3F276B}">
            <xm:f>'Sprachen &amp; Rückgabewerte(4)'!$S$41=2</xm:f>
            <x14:dxf>
              <font>
                <b/>
                <i val="0"/>
                <color theme="1"/>
              </font>
            </x14:dxf>
          </x14:cfRule>
          <x14:cfRule type="expression" priority="332" id="{58E56542-AD5F-43F0-AFA2-5F1C59C6E715}">
            <xm:f>'Sprachen &amp; Rückgabewerte(4)'!$S$41=1</xm:f>
            <x14:dxf>
              <font>
                <b/>
                <i val="0"/>
                <color theme="1"/>
              </font>
            </x14:dxf>
          </x14:cfRule>
          <xm:sqref>L48</xm:sqref>
        </x14:conditionalFormatting>
        <x14:conditionalFormatting xmlns:xm="http://schemas.microsoft.com/office/excel/2006/main">
          <x14:cfRule type="expression" priority="105" id="{6738B88A-3A0C-40F5-8E26-54488C46982F}">
            <xm:f>'Sprachen &amp; Rückgabewerte(4)'!$M$71=0</xm:f>
            <x14:dxf>
              <border>
                <top style="thin">
                  <color rgb="FFFF0000"/>
                </top>
                <vertical/>
                <horizontal/>
              </border>
            </x14:dxf>
          </x14:cfRule>
          <xm:sqref>AW45:AX45</xm:sqref>
        </x14:conditionalFormatting>
        <x14:conditionalFormatting xmlns:xm="http://schemas.microsoft.com/office/excel/2006/main">
          <x14:cfRule type="expression" priority="104" id="{24AE5C10-666F-4DC2-89BF-45F18008CBE9}">
            <xm:f>'Sprachen &amp; Rückgabewerte(4)'!$M$71=0</xm:f>
            <x14:dxf>
              <border>
                <right style="thin">
                  <color rgb="FFFF0000"/>
                </right>
                <vertical/>
                <horizontal/>
              </border>
            </x14:dxf>
          </x14:cfRule>
          <xm:sqref>AX45:AX47 AW48:AX48 AX49</xm:sqref>
        </x14:conditionalFormatting>
        <x14:conditionalFormatting xmlns:xm="http://schemas.microsoft.com/office/excel/2006/main">
          <x14:cfRule type="expression" priority="103" id="{A3CD154D-6B2F-431B-AC64-EDFB0A441BAE}">
            <xm:f>'Sprachen &amp; Rückgabewerte(4)'!$M$71=0</xm:f>
            <x14:dxf>
              <border>
                <bottom style="thin">
                  <color rgb="FFFF0000"/>
                </bottom>
                <vertical/>
                <horizontal/>
              </border>
            </x14:dxf>
          </x14:cfRule>
          <xm:sqref>AW49:AX49</xm:sqref>
        </x14:conditionalFormatting>
        <x14:conditionalFormatting xmlns:xm="http://schemas.microsoft.com/office/excel/2006/main">
          <x14:cfRule type="expression" priority="102" id="{282F272C-DB3B-4A86-9323-59443988C250}">
            <xm:f>'Sprachen &amp; Rückgabewerte(4)'!$M$71=0</xm:f>
            <x14:dxf>
              <border>
                <left style="thin">
                  <color rgb="FFFF0000"/>
                </left>
                <vertical/>
                <horizontal/>
              </border>
            </x14:dxf>
          </x14:cfRule>
          <xm:sqref>AW49 AW48:AX48 AW45:AW47</xm:sqref>
        </x14:conditionalFormatting>
        <x14:conditionalFormatting xmlns:xm="http://schemas.microsoft.com/office/excel/2006/main">
          <x14:cfRule type="expression" priority="99" id="{CE5915F1-A135-41E5-92E6-422CA8F34049}">
            <xm:f>'Sprachen &amp; Rückgabewerte(4)'!$L$71=1</xm:f>
            <x14:dxf>
              <font>
                <color theme="0" tint="-0.14996795556505021"/>
              </font>
              <fill>
                <patternFill>
                  <bgColor theme="0" tint="-0.14996795556505021"/>
                </patternFill>
              </fill>
              <border>
                <top/>
                <vertical/>
                <horizontal/>
              </border>
            </x14:dxf>
          </x14:cfRule>
          <x14:cfRule type="expression" priority="101" id="{6A15CB45-E184-407C-A55C-70680F5CC3DB}">
            <xm:f>'Sprachen &amp; Rückgabewerte(4)'!$M$71=0</xm:f>
            <x14:dxf>
              <border>
                <top style="thin">
                  <color rgb="FFFF0000"/>
                </top>
                <vertical/>
                <horizontal/>
              </border>
            </x14:dxf>
          </x14:cfRule>
          <xm:sqref>AU45:AV45</xm:sqref>
        </x14:conditionalFormatting>
        <x14:conditionalFormatting xmlns:xm="http://schemas.microsoft.com/office/excel/2006/main">
          <x14:cfRule type="expression" priority="100" id="{77614A8B-2E4B-4DBC-B9E3-14820B7850D5}">
            <xm:f>'Sprachen &amp; Rückgabewerte(4)'!$L$71=1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79" id="{8369F949-0985-4DA3-87D0-39DEEB54F583}">
            <xm:f>'Sprachen &amp; Rückgabewerte(4)'!$I$50=FALSE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78" id="{0EAD303B-616D-452A-98AE-B2C3B6DE3EE5}">
            <xm:f>'Sprachen &amp; Rückgabewerte(4)'!$I$50=FALSE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77" id="{683C23AC-7C94-4CF9-AD8D-2844B05D8FF0}">
            <xm:f>$AX$19='Sprachen &amp; Rückgabewerte(4)'!$H$155</xm:f>
            <x14:dxf>
              <font>
                <color rgb="FFFF0000"/>
              </font>
            </x14:dxf>
          </x14:cfRule>
          <xm:sqref>AX19:BA20</xm:sqref>
        </x14:conditionalFormatting>
        <x14:conditionalFormatting xmlns:xm="http://schemas.microsoft.com/office/excel/2006/main">
          <x14:cfRule type="expression" priority="74" id="{C831BB12-8152-40A8-BC7D-255C44B6989B}">
            <xm:f>$A$9='Sprachen &amp; Rückgabewerte(4)'!$H$132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70" id="{BE8823DB-083F-4403-8BE9-217ED9F957BF}">
            <xm:f>$AN$80&lt;&gt;'Sprachen &amp; Rückgabewerte(4)'!$H$85</xm:f>
            <x14:dxf>
              <border>
                <left style="thin">
                  <color auto="1"/>
                </left>
                <top style="thin">
                  <color auto="1"/>
                </top>
                <vertical/>
                <horizontal/>
              </border>
            </x14:dxf>
          </x14:cfRule>
          <xm:sqref>AW76</xm:sqref>
        </x14:conditionalFormatting>
        <x14:conditionalFormatting xmlns:xm="http://schemas.microsoft.com/office/excel/2006/main">
          <x14:cfRule type="expression" priority="69" id="{3A43FD01-761E-4A2F-AF2D-DB93827C6502}">
            <xm:f>$AN$80&lt;&gt;'Sprachen &amp; Rückgabewerte(4)'!$H$85</xm:f>
            <x14:dxf>
              <border>
                <left style="thin">
                  <color auto="1"/>
                </left>
                <vertical/>
                <horizontal/>
              </border>
            </x14:dxf>
          </x14:cfRule>
          <xm:sqref>AW77</xm:sqref>
        </x14:conditionalFormatting>
        <x14:conditionalFormatting xmlns:xm="http://schemas.microsoft.com/office/excel/2006/main">
          <x14:cfRule type="expression" priority="68" id="{4A2F2C50-E4DF-4878-A918-A692150002F5}">
            <xm:f>$AN$80&lt;&gt;'Sprachen &amp; Rückgabewerte(4)'!$H$85</xm:f>
            <x14:dxf>
              <border>
                <left style="thin">
                  <color auto="1"/>
                </left>
                <vertical/>
                <horizontal/>
              </border>
            </x14:dxf>
          </x14:cfRule>
          <xm:sqref>AW78</xm:sqref>
        </x14:conditionalFormatting>
        <x14:conditionalFormatting xmlns:xm="http://schemas.microsoft.com/office/excel/2006/main">
          <x14:cfRule type="expression" priority="67" id="{55924F94-C076-4DA3-8C91-648B1F749394}">
            <xm:f>$AN$80&lt;&gt;'Sprachen &amp; Rückgabewerte(4)'!$H$85</xm:f>
            <x14:dxf>
              <border>
                <left style="thin">
                  <color auto="1"/>
                </left>
                <vertical/>
                <horizontal/>
              </border>
            </x14:dxf>
          </x14:cfRule>
          <xm:sqref>AW79</xm:sqref>
        </x14:conditionalFormatting>
        <x14:conditionalFormatting xmlns:xm="http://schemas.microsoft.com/office/excel/2006/main">
          <x14:cfRule type="expression" priority="66" id="{2FBEE931-DA2C-428C-9A11-AE75E6CC637F}">
            <xm:f>$AN$80&lt;&gt;'Sprachen &amp; Rückgabewerte(4)'!$H$85</xm:f>
            <x14:dxf>
              <border>
                <left style="thin">
                  <color auto="1"/>
                </left>
                <bottom style="thin">
                  <color auto="1"/>
                </bottom>
                <vertical/>
                <horizontal/>
              </border>
            </x14:dxf>
          </x14:cfRule>
          <xm:sqref>AW80</xm:sqref>
        </x14:conditionalFormatting>
        <x14:conditionalFormatting xmlns:xm="http://schemas.microsoft.com/office/excel/2006/main">
          <x14:cfRule type="expression" priority="65" id="{189D96A1-AF95-4DC0-9C7D-38D372993377}">
            <xm:f>$AN$80&lt;&gt;'Sprachen &amp; Rückgabewerte(4)'!$H$86</xm:f>
            <x14:dxf>
              <border>
                <right style="thin">
                  <color auto="1"/>
                </right>
                <top style="thin">
                  <color auto="1"/>
                </top>
                <vertical/>
                <horizontal/>
              </border>
            </x14:dxf>
          </x14:cfRule>
          <xm:sqref>AX76</xm:sqref>
        </x14:conditionalFormatting>
        <x14:conditionalFormatting xmlns:xm="http://schemas.microsoft.com/office/excel/2006/main">
          <x14:cfRule type="expression" priority="64" id="{707346F0-DA9F-4E8C-A810-15C59A73E476}">
            <xm:f>$AN$80&lt;&gt;'Sprachen &amp; Rückgabewerte(4)'!$H$86</xm:f>
            <x14:dxf>
              <border>
                <right style="thin">
                  <color auto="1"/>
                </right>
                <vertical/>
                <horizontal/>
              </border>
            </x14:dxf>
          </x14:cfRule>
          <xm:sqref>AX77</xm:sqref>
        </x14:conditionalFormatting>
        <x14:conditionalFormatting xmlns:xm="http://schemas.microsoft.com/office/excel/2006/main">
          <x14:cfRule type="expression" priority="63" id="{57970431-1F06-4F6F-919E-BD5F3ADF425A}">
            <xm:f>$AN$80&lt;&gt;'Sprachen &amp; Rückgabewerte(4)'!$H$86</xm:f>
            <x14:dxf>
              <border>
                <right style="thin">
                  <color auto="1"/>
                </right>
                <vertical/>
                <horizontal/>
              </border>
            </x14:dxf>
          </x14:cfRule>
          <xm:sqref>AX78</xm:sqref>
        </x14:conditionalFormatting>
        <x14:conditionalFormatting xmlns:xm="http://schemas.microsoft.com/office/excel/2006/main">
          <x14:cfRule type="expression" priority="62" id="{3F697068-0CA9-4E51-8371-729DDCFBC46F}">
            <xm:f>$AN$80&lt;&gt;'Sprachen &amp; Rückgabewerte(4)'!$H$86</xm:f>
            <x14:dxf>
              <border>
                <right style="thin">
                  <color auto="1"/>
                </right>
                <vertical/>
                <horizontal/>
              </border>
            </x14:dxf>
          </x14:cfRule>
          <xm:sqref>AX79</xm:sqref>
        </x14:conditionalFormatting>
        <x14:conditionalFormatting xmlns:xm="http://schemas.microsoft.com/office/excel/2006/main">
          <x14:cfRule type="expression" priority="61" id="{CCCF8AF2-6CB7-42DB-BA10-52BE9DD90B89}">
            <xm:f>$AN$80&lt;&gt;'Sprachen &amp; Rückgabewerte(4)'!$H$86</xm:f>
            <x14:dxf>
              <border>
                <right style="thin">
                  <color auto="1"/>
                </right>
                <bottom style="thin">
                  <color auto="1"/>
                </bottom>
                <vertical/>
                <horizontal/>
              </border>
            </x14:dxf>
          </x14:cfRule>
          <xm:sqref>AX80</xm:sqref>
        </x14:conditionalFormatting>
        <x14:conditionalFormatting xmlns:xm="http://schemas.microsoft.com/office/excel/2006/main">
          <x14:cfRule type="expression" priority="52" id="{8AC96295-C37B-4279-9356-7D6DB3474A4E}">
            <xm:f>'Sprachen &amp; Rückgabewerte(4)'!$L$50=0</xm:f>
            <x14:dxf>
              <border>
                <right style="thin">
                  <color rgb="FFFF0000"/>
                </right>
                <bottom style="thin">
                  <color rgb="FFFF0000"/>
                </bottom>
                <vertical/>
                <horizontal/>
              </border>
            </x14:dxf>
          </x14:cfRule>
          <xm:sqref>Q59:AB60</xm:sqref>
        </x14:conditionalFormatting>
        <x14:conditionalFormatting xmlns:xm="http://schemas.microsoft.com/office/excel/2006/main">
          <x14:cfRule type="expression" priority="48" id="{C8378EBD-DE58-463B-83C8-7C30154BCBAE}">
            <xm:f>'Sprachen &amp; Rückgabewerte(4)'!$M$59=0</xm:f>
            <x14:dxf>
              <border>
                <top style="thin">
                  <color rgb="FFFF0000"/>
                </top>
                <vertical/>
                <horizontal/>
              </border>
            </x14:dxf>
          </x14:cfRule>
          <xm:sqref>M86</xm:sqref>
        </x14:conditionalFormatting>
        <x14:conditionalFormatting xmlns:xm="http://schemas.microsoft.com/office/excel/2006/main">
          <x14:cfRule type="expression" priority="47" id="{F04C4CF3-57F8-4626-9B12-5A75906EBA6E}">
            <xm:f>'Sprachen &amp; Rückgabewerte(4)'!$M$59=0</xm:f>
            <x14:dxf>
              <border>
                <bottom style="thin">
                  <color rgb="FFFF0000"/>
                </bottom>
                <vertical/>
                <horizontal/>
              </border>
            </x14:dxf>
          </x14:cfRule>
          <xm:sqref>M97</xm:sqref>
        </x14:conditionalFormatting>
        <x14:conditionalFormatting xmlns:xm="http://schemas.microsoft.com/office/excel/2006/main">
          <x14:cfRule type="expression" priority="49" id="{01A2167E-421F-4D2A-B0F6-24FA6C1BB97B}">
            <xm:f>'Sprachen &amp; Rückgabewerte(4)'!$M$62=2</xm:f>
            <x14:dxf>
              <border>
                <left style="thin">
                  <color rgb="FFFF0000"/>
                </left>
                <vertical/>
                <horizontal/>
              </border>
            </x14:dxf>
          </x14:cfRule>
          <x14:cfRule type="expression" priority="50" id="{E2882879-D50D-4771-8F4E-23DDF911958D}">
            <xm:f>'Sprachen &amp; Rückgabewerte(4)'!$M$62=3</xm:f>
            <x14:dxf>
              <border>
                <left style="thin">
                  <color rgb="FFFF0000"/>
                </left>
                <vertical/>
                <horizontal/>
              </border>
            </x14:dxf>
          </x14:cfRule>
          <x14:cfRule type="expression" priority="51" id="{7DEF70F9-E94A-45DA-A221-A388052070D8}">
            <xm:f>'Sprachen &amp; Rückgabewerte(4)'!$M$59=0</xm:f>
            <x14:dxf>
              <border>
                <left style="thin">
                  <color rgb="FFFF0000"/>
                </left>
                <vertical/>
                <horizontal/>
              </border>
            </x14:dxf>
          </x14:cfRule>
          <xm:sqref>M86:M97</xm:sqref>
        </x14:conditionalFormatting>
        <x14:conditionalFormatting xmlns:xm="http://schemas.microsoft.com/office/excel/2006/main">
          <x14:cfRule type="expression" priority="191" id="{30E28A2B-AD12-467A-9CBE-C406F8243D0E}">
            <xm:f>'Sprachen &amp; Rückgabewerte(4)'!$M$62=2</xm:f>
            <x14:dxf>
              <border>
                <bottom style="thin">
                  <color rgb="FFFF0000"/>
                </bottom>
                <vertical/>
                <horizontal/>
              </border>
            </x14:dxf>
          </x14:cfRule>
          <x14:cfRule type="expression" priority="225" id="{C7081A87-4DE6-46D7-BB09-5E8AC81372FA}">
            <xm:f>'Sprachen &amp; Rückgabewerte(4)'!$M$62=3</xm:f>
            <x14:dxf>
              <border>
                <bottom style="thin">
                  <color rgb="FFFF0000"/>
                </bottom>
                <vertical/>
                <horizontal/>
              </border>
            </x14:dxf>
          </x14:cfRule>
          <xm:sqref>M85:AB85</xm:sqref>
        </x14:conditionalFormatting>
        <x14:conditionalFormatting xmlns:xm="http://schemas.microsoft.com/office/excel/2006/main">
          <x14:cfRule type="expression" priority="45" id="{FE088E27-BED2-4872-AB0D-74CCF43557DE}">
            <xm:f>'Sprachen &amp; Rückgabewerte(4)'!$M$62=3</xm:f>
            <x14:dxf>
              <border>
                <bottom style="thin">
                  <color rgb="FFFF0000"/>
                </bottom>
                <vertical/>
                <horizontal/>
              </border>
            </x14:dxf>
          </x14:cfRule>
          <x14:cfRule type="expression" priority="46" id="{5535C5C7-7EA9-4B3B-8485-D3E50AE3C09C}">
            <xm:f>'Sprachen &amp; Rückgabewerte(4)'!$M$62=2</xm:f>
            <x14:dxf>
              <border>
                <bottom style="thin">
                  <color rgb="FFFF0000"/>
                </bottom>
                <vertical/>
                <horizontal/>
              </border>
            </x14:dxf>
          </x14:cfRule>
          <xm:sqref>L97</xm:sqref>
        </x14:conditionalFormatting>
        <x14:conditionalFormatting xmlns:xm="http://schemas.microsoft.com/office/excel/2006/main">
          <x14:cfRule type="expression" priority="44" id="{B20F9F2E-A626-44EF-8320-2FCE7E4C38F4}">
            <xm:f>'Sprachen &amp; Rückgabewerte(4)'!$M$59=0</xm:f>
            <x14:dxf>
              <border>
                <top style="thin">
                  <color rgb="FFFF0000"/>
                </top>
                <vertical/>
                <horizontal/>
              </border>
            </x14:dxf>
          </x14:cfRule>
          <xm:sqref>N86:AB86</xm:sqref>
        </x14:conditionalFormatting>
        <x14:conditionalFormatting xmlns:xm="http://schemas.microsoft.com/office/excel/2006/main">
          <x14:cfRule type="expression" priority="43" id="{6ABF820F-3973-449A-86C6-E1FD245CAFFA}">
            <xm:f>'Sprachen &amp; Rückgabewerte(4)'!$M$59=0</xm:f>
            <x14:dxf>
              <border>
                <bottom style="thin">
                  <color rgb="FFFF0000"/>
                </bottom>
                <vertical/>
                <horizontal/>
              </border>
            </x14:dxf>
          </x14:cfRule>
          <xm:sqref>N97:V97 Z97:AB97</xm:sqref>
        </x14:conditionalFormatting>
        <x14:conditionalFormatting xmlns:xm="http://schemas.microsoft.com/office/excel/2006/main">
          <x14:cfRule type="expression" priority="41" id="{B51592AC-8CFD-46E6-8A46-E20D94D482F9}">
            <xm:f>'Sprachen &amp; Rückgabewerte(4)'!$I$5=FALSE</xm:f>
            <x14:dxf>
              <font>
                <color theme="0" tint="-0.14996795556505021"/>
              </font>
              <fill>
                <patternFill>
                  <bgColor theme="0" tint="-0.14996795556505021"/>
                </patternFill>
              </fill>
              <border>
                <left/>
                <right/>
                <top/>
                <bottom/>
                <vertical/>
                <horizontal/>
              </border>
            </x14:dxf>
          </x14:cfRule>
          <xm:sqref>M6:Q6</xm:sqref>
        </x14:conditionalFormatting>
        <x14:conditionalFormatting xmlns:xm="http://schemas.microsoft.com/office/excel/2006/main">
          <x14:cfRule type="expression" priority="40" id="{F8B82305-967B-47BA-BD38-76AA8D12F302}">
            <xm:f>'Sprachen &amp; Rückgabewerte(4)'!$U$49=FALSE</xm:f>
            <x14:dxf>
              <border>
                <top style="thin">
                  <color rgb="FFFF0000"/>
                </top>
                <vertical/>
                <horizontal/>
              </border>
            </x14:dxf>
          </x14:cfRule>
          <xm:sqref>E23:AR23</xm:sqref>
        </x14:conditionalFormatting>
        <x14:conditionalFormatting xmlns:xm="http://schemas.microsoft.com/office/excel/2006/main">
          <x14:cfRule type="expression" priority="39" id="{4D6620EC-EB52-4F1D-A7D2-7AF25E7F69B4}">
            <xm:f>'Sprachen &amp; Rückgabewerte(4)'!$U$49=FALSE</xm:f>
            <x14:dxf>
              <border>
                <left style="thin">
                  <color rgb="FFFF0000"/>
                </left>
                <vertical/>
                <horizontal/>
              </border>
            </x14:dxf>
          </x14:cfRule>
          <xm:sqref>E23:H26</xm:sqref>
        </x14:conditionalFormatting>
        <x14:conditionalFormatting xmlns:xm="http://schemas.microsoft.com/office/excel/2006/main">
          <x14:cfRule type="expression" priority="37" id="{B98C6292-9E3F-4B14-9E83-A0C2CF9D327F}">
            <xm:f>'Sprachen &amp; Rückgabewerte(4)'!$U$49=FALSE</xm:f>
            <x14:dxf>
              <border>
                <right style="thin">
                  <color rgb="FFFF0000"/>
                </right>
                <vertical/>
                <horizontal/>
              </border>
            </x14:dxf>
          </x14:cfRule>
          <xm:sqref>AO23:AR26</xm:sqref>
        </x14:conditionalFormatting>
        <x14:conditionalFormatting xmlns:xm="http://schemas.microsoft.com/office/excel/2006/main">
          <x14:cfRule type="expression" priority="36" id="{3D93CC8C-4B0C-4E37-B9B0-4B4914585238}">
            <xm:f>'Sprachen &amp; Rückgabewerte(4)'!$I$39=FALSE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3" id="{E119B461-55EA-46B5-A494-0B789663EA9C}">
            <xm:f>'Sprachen &amp; Rückgabewerte(4)'!$I$39=FALSE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32" id="{ADC1327B-9735-4FE3-8059-689C34986A16}">
            <xm:f>AND('Sprachen &amp; Rückgabewerte(4)'!$C$16=1,$F$16="")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31" id="{3EBD019D-B81A-4C30-AA84-B44C1FAF1F90}">
            <xm:f>AND('Sprachen &amp; Rückgabewerte(4)'!$C$17=1,$J$16="")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30" id="{FC6D547A-2CF8-4CCE-8B63-3627252279B0}">
            <xm:f>AND('Sprachen &amp; Rückgabewerte(4)'!$C$18=1,$N$16="")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9" id="{E9270359-EABA-4103-AEE4-4793CF50A287}">
            <xm:f>AND('Sprachen &amp; Rückgabewerte(4)'!$C$19=1,$R$16="")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8" id="{A2849618-BFDF-45ED-999F-75E8F25EA384}">
            <xm:f>AND('Sprachen &amp; Rückgabewerte(4)'!$C$20=1,$V$16="")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7" id="{6AD31A65-3759-4F22-84E5-89DB80702F61}">
            <xm:f>AND('Sprachen &amp; Rückgabewerte(4)'!$C$21=1,$Z$16="")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6" id="{A0DC3A84-65A2-4B52-B6B4-9EA94BB2D2EB}">
            <xm:f>AND('Sprachen &amp; Rückgabewerte(4)'!$C$22=1,$AD$16="")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5" id="{829509E9-94DC-4B84-801A-322DD6A37A32}">
            <xm:f>AND('Sprachen &amp; Rückgabewerte(4)'!$C$23=1,$AH$16="")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4" id="{2B25CA7D-6563-4CC6-BDF7-01A6AE16ABF2}">
            <xm:f>AND('Sprachen &amp; Rückgabewerte(4)'!$C$24=1,$AL$16="")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3" id="{31A28573-16C6-4FFC-9952-F966382DCA41}">
            <xm:f>AND('Sprachen &amp; Rückgabewerte(4)'!$C$25=1,$AP$16="")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22" id="{0AB59CBB-B23C-43AF-9C5B-003FDBB6470A}">
            <xm:f>'Sprachen &amp; Rückgabewerte(4)'!$I$71=FALSE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21" id="{BA3882BE-F383-4758-A652-4CDEC969BE98}">
            <xm:f>AND('Sprachen &amp; Rückgabewerte(4)'!$I$71=TRUE,$AP$74="",$AP$75="",$AP$76="")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6" id="{659D2D68-B749-49B8-8FE6-E65127856371}">
            <xm:f>OR($AQ$96='Sprachen &amp; Rückgabewerte(4)'!$H$96,$AQ$96="")</xm:f>
            <x14:dxf>
              <border>
                <bottom/>
                <vertical/>
                <horizontal/>
              </border>
            </x14:dxf>
          </x14:cfRule>
          <x14:cfRule type="expression" priority="17" id="{C4F8C8E8-A19A-40CA-AD08-F309638B590E}">
            <xm:f>AND($AQ$96='Sprachen &amp; Rückgabewerte(4)'!$H$95,$AW$96="")</xm:f>
            <x14:dxf>
              <border>
                <bottom style="thin">
                  <color rgb="FFFF0000"/>
                </bottom>
                <vertical/>
                <horizontal/>
              </border>
            </x14:dxf>
          </x14:cfRule>
          <xm:sqref>AS96:AV96</xm:sqref>
        </x14:conditionalFormatting>
        <x14:conditionalFormatting xmlns:xm="http://schemas.microsoft.com/office/excel/2006/main">
          <x14:cfRule type="expression" priority="14" id="{91236C2A-F5BD-446E-BC17-F91100C5460C}">
            <xm:f>OR($AQ$96='Sprachen &amp; Rückgabewerte(4)'!$H$96,$AQ$96="")</xm:f>
            <x14:dxf>
              <fill>
                <patternFill>
                  <bgColor theme="0" tint="-0.14996795556505021"/>
                </patternFill>
              </fill>
              <border>
                <left/>
                <right/>
                <top/>
                <bottom/>
                <vertical/>
                <horizontal/>
              </border>
            </x14:dxf>
          </x14:cfRule>
          <x14:cfRule type="expression" priority="15" id="{C20BB8B3-F7C3-4E8C-9843-73E03FEA95EB}">
            <xm:f>AND($AQ$96='Sprachen &amp; Rückgabewerte(4)'!$H$95,$AW$96="")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3" id="{6C3B09FC-2E8D-4A9E-8808-306352AF0AC7}">
            <xm:f>'Sprachen &amp; Rückgabewerte(4)'!$W$68&gt;0</xm:f>
            <x14:dxf>
              <border>
                <bottom style="thin">
                  <color rgb="FFFF0000"/>
                </bottom>
                <vertical/>
                <horizontal/>
              </border>
            </x14:dxf>
          </x14:cfRule>
          <xm:sqref>AD97:AT97</xm:sqref>
        </x14:conditionalFormatting>
        <x14:conditionalFormatting xmlns:xm="http://schemas.microsoft.com/office/excel/2006/main">
          <x14:cfRule type="expression" priority="12" id="{5F1373F9-229A-407E-806B-FBE2081845D9}">
            <xm:f>'Sprachen &amp; Rückgabewerte(4)'!$W$68&gt;0</xm:f>
            <x14:dxf>
              <border>
                <top style="thin">
                  <color rgb="FFFF0000"/>
                </top>
                <vertical/>
                <horizontal/>
              </border>
            </x14:dxf>
          </x14:cfRule>
          <xm:sqref>AD95:AT95</xm:sqref>
        </x14:conditionalFormatting>
        <x14:conditionalFormatting xmlns:xm="http://schemas.microsoft.com/office/excel/2006/main">
          <x14:cfRule type="expression" priority="11" id="{C71D4018-169A-477F-ADCF-BB5B23C2C323}">
            <xm:f>'Sprachen &amp; Rückgabewerte(4)'!$W$68&gt;0</xm:f>
            <x14:dxf>
              <border>
                <left style="thin">
                  <color rgb="FFFF0000"/>
                </left>
                <vertical/>
                <horizontal/>
              </border>
            </x14:dxf>
          </x14:cfRule>
          <xm:sqref>AD95:AD97</xm:sqref>
        </x14:conditionalFormatting>
        <x14:conditionalFormatting xmlns:xm="http://schemas.microsoft.com/office/excel/2006/main">
          <x14:cfRule type="expression" priority="10" id="{059801AC-F616-4B5A-82F4-2E01C2719328}">
            <xm:f>'Sprachen &amp; Rückgabewerte(4)'!$W$68&gt;0</xm:f>
            <x14:dxf>
              <border>
                <right style="thin">
                  <color rgb="FFFF0000"/>
                </right>
                <vertical/>
                <horizontal/>
              </border>
            </x14:dxf>
          </x14:cfRule>
          <xm:sqref>AT95:AT97</xm:sqref>
        </x14:conditionalFormatting>
        <x14:conditionalFormatting xmlns:xm="http://schemas.microsoft.com/office/excel/2006/main">
          <x14:cfRule type="expression" priority="7" id="{69913946-8591-4F25-B15A-D97D15D04FF8}">
            <xm:f>'Sprachen &amp; Rückgabewerte(4)'!$C$51=FALSE</xm:f>
            <x14:dxf>
              <font>
                <color theme="0" tint="-0.14996795556505021"/>
              </font>
              <fill>
                <patternFill>
                  <bgColor theme="0" tint="-0.14996795556505021"/>
                </patternFill>
              </fill>
              <border>
                <left/>
                <right/>
                <top/>
                <bottom style="thin">
                  <color auto="1"/>
                </bottom>
                <vertical/>
                <horizontal/>
              </border>
            </x14:dxf>
          </x14:cfRule>
          <x14:cfRule type="expression" priority="8" id="{6BF313F3-F2EC-4014-93EE-74617084A759}">
            <xm:f>'Sprachen &amp; Rückgabewerte(4)'!$U$65=FALSE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V97:Y97</xm:sqref>
        </x14:conditionalFormatting>
        <x14:conditionalFormatting xmlns:xm="http://schemas.microsoft.com/office/excel/2006/main">
          <x14:cfRule type="expression" priority="4" id="{6FEA2904-E1A0-496F-B232-9CC9F95238AB}">
            <xm:f>'Sprachen &amp; Rückgabewerte(4)'!$W$78&lt;&gt;0</xm:f>
            <x14:dxf>
              <border>
                <bottom style="thin">
                  <color rgb="FFFF0000"/>
                </bottom>
                <vertical/>
                <horizontal/>
              </border>
            </x14:dxf>
          </x14:cfRule>
          <xm:sqref>AW11:BB11</xm:sqref>
        </x14:conditionalFormatting>
        <x14:conditionalFormatting xmlns:xm="http://schemas.microsoft.com/office/excel/2006/main">
          <x14:cfRule type="expression" priority="3" id="{16B22D0B-63DB-402C-8F61-3080FCB6A235}">
            <xm:f>'Sprachen &amp; Rückgabewerte(4)'!$W$78&lt;&gt;0</xm:f>
            <x14:dxf>
              <border>
                <top style="thin">
                  <color rgb="FFFF0000"/>
                </top>
                <vertical/>
                <horizontal/>
              </border>
            </x14:dxf>
          </x14:cfRule>
          <xm:sqref>AW6:BB6</xm:sqref>
        </x14:conditionalFormatting>
        <x14:conditionalFormatting xmlns:xm="http://schemas.microsoft.com/office/excel/2006/main">
          <x14:cfRule type="expression" priority="2" id="{C442105F-464C-463B-BA8E-C9BE5F807247}">
            <xm:f>'Sprachen &amp; Rückgabewerte(4)'!$W$78&lt;&gt;0</xm:f>
            <x14:dxf>
              <border>
                <left style="thin">
                  <color rgb="FFFF0000"/>
                </left>
                <vertical/>
                <horizontal/>
              </border>
            </x14:dxf>
          </x14:cfRule>
          <xm:sqref>AW6:AW11</xm:sqref>
        </x14:conditionalFormatting>
        <x14:conditionalFormatting xmlns:xm="http://schemas.microsoft.com/office/excel/2006/main">
          <x14:cfRule type="expression" priority="1" id="{28B23CAD-52B4-4EF5-BD35-269CC7579634}">
            <xm:f>'Sprachen &amp; Rückgabewerte(4)'!$W$78&lt;&gt;0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3">
        <x14:dataValidation type="list" allowBlank="1" showInputMessage="1" showErrorMessage="1" xr:uid="{8026121A-76C4-470A-8BA9-6DC6956F2DA4}">
          <x14:formula1>
            <xm:f>'Sprachen &amp; Rückgabewerte(4)'!$M$86:$M$138</xm:f>
          </x14:formula1>
          <xm:sqref>AM88:AR88</xm:sqref>
        </x14:dataValidation>
        <x14:dataValidation type="list" showInputMessage="1" showErrorMessage="1" xr:uid="{AFF50E71-5B1C-4439-8976-2895092EBC0B}">
          <x14:formula1>
            <xm:f>'Sprachen &amp; Rückgabewerte(4)'!$B$70:$B$72</xm:f>
          </x14:formula1>
          <xm:sqref>H85:K85 V85:Y85 O85:R85 X72:AA72</xm:sqref>
        </x14:dataValidation>
        <x14:dataValidation type="list" allowBlank="1" showInputMessage="1" showErrorMessage="1" xr:uid="{62930E68-5565-4A40-AB44-F567EA3EFB74}">
          <x14:formula1>
            <xm:f>'Sprachen &amp; Rückgabewerte(4)'!$H$103:$H$107</xm:f>
          </x14:formula1>
          <xm:sqref>G20:AP20</xm:sqref>
        </x14:dataValidation>
        <x14:dataValidation type="list" showInputMessage="1" showErrorMessage="1" xr:uid="{96341C8E-CB9F-4329-8FCE-7DE1B368CAD8}">
          <x14:formula1>
            <xm:f>'Sprachen &amp; Rückgabewerte(4)'!$B$33:$B$34</xm:f>
          </x14:formula1>
          <xm:sqref>E23:AR26</xm:sqref>
        </x14:dataValidation>
        <x14:dataValidation type="list" showInputMessage="1" showErrorMessage="1" xr:uid="{A5AC331A-B5B8-454D-8A77-D7D93495F542}">
          <x14:formula1>
            <xm:f>'Sprachen &amp; Rückgabewerte(4)'!$A$11:$A$18</xm:f>
          </x14:formula1>
          <xm:sqref>AM43:AQ43</xm:sqref>
        </x14:dataValidation>
        <x14:dataValidation type="list" showInputMessage="1" showErrorMessage="1" xr:uid="{6691DC89-9025-4DDC-B499-3855BC64E811}">
          <x14:formula1>
            <xm:f>'Sprachen &amp; Rückgabewerte(4)'!$A$19:$A$21</xm:f>
          </x14:formula1>
          <xm:sqref>AR43:AS43</xm:sqref>
        </x14:dataValidation>
        <x14:dataValidation type="list" allowBlank="1" showInputMessage="1" showErrorMessage="1" xr:uid="{463ADA90-95A0-4D80-92FA-6793DB197983}">
          <x14:formula1>
            <xm:f>'Sprachen &amp; Rückgabewerte(4)'!$J$67:$J$69</xm:f>
          </x14:formula1>
          <xm:sqref>AN70:AS70</xm:sqref>
        </x14:dataValidation>
        <x14:dataValidation type="list" allowBlank="1" showInputMessage="1" showErrorMessage="1" xr:uid="{0A302D61-6B3D-4923-9027-DCA625C9765D}">
          <x14:formula1>
            <xm:f>'Sprachen &amp; Rückgabewerte(4)'!$J$77:$J$79</xm:f>
          </x14:formula1>
          <xm:sqref>AN78:AP78</xm:sqref>
        </x14:dataValidation>
        <x14:dataValidation type="list" allowBlank="1" showInputMessage="1" showErrorMessage="1" xr:uid="{ADFB4C70-4278-4BF6-BE80-01BD2A4E1C30}">
          <x14:formula1>
            <xm:f>'Sprachen &amp; Rückgabewerte(4)'!$J$80:$J$81</xm:f>
          </x14:formula1>
          <xm:sqref>AN79:AP79</xm:sqref>
        </x14:dataValidation>
        <x14:dataValidation type="list" allowBlank="1" showInputMessage="1" showErrorMessage="1" xr:uid="{325F875C-0C05-4BC3-818D-D89C878C8050}">
          <x14:formula1>
            <xm:f>'Sprachen &amp; Rückgabewerte(4)'!$J$84:$J$86</xm:f>
          </x14:formula1>
          <xm:sqref>AN80:AS80</xm:sqref>
        </x14:dataValidation>
        <x14:dataValidation type="list" allowBlank="1" showInputMessage="1" showErrorMessage="1" xr:uid="{4E2865D0-DC71-4587-A5C7-484040BE9AD1}">
          <x14:formula1>
            <xm:f>'Sprachen &amp; Rückgabewerte(4)'!$J$94:$J$96</xm:f>
          </x14:formula1>
          <xm:sqref>AO55:AP55</xm:sqref>
        </x14:dataValidation>
        <x14:dataValidation type="list" showInputMessage="1" showErrorMessage="1" xr:uid="{A74631D9-BBD5-4389-8985-2C8E4AA9609E}">
          <x14:formula1>
            <xm:f>'Sprachen &amp; Rückgabewerte(4)'!$B$73:$B$75</xm:f>
          </x14:formula1>
          <xm:sqref>H96:K96</xm:sqref>
        </x14:dataValidation>
        <x14:dataValidation type="list" allowBlank="1" showInputMessage="1" showErrorMessage="1" xr:uid="{C6C41946-8F90-43F3-A0C3-CE4A55EF7C04}">
          <x14:formula1>
            <xm:f>'Sprachen &amp; Rückgabewerte(4)'!$B$9:$B$14</xm:f>
          </x14:formula1>
          <xm:sqref>F10:G10 J10:K10 N10:O10 R10:S10 V10:W10 Z10:AA10 AD10:AE10 AH10:AI10 AL10:AM10 AP10:AQ10</xm:sqref>
        </x14:dataValidation>
        <x14:dataValidation type="list" showInputMessage="1" showErrorMessage="1" xr:uid="{F11EF9F9-1FB9-4416-8A3D-9AE978ECB9F9}">
          <x14:formula1>
            <xm:f>'Sprachen &amp; Rückgabewerte(4)'!$B$67:$B$69</xm:f>
          </x14:formula1>
          <xm:sqref>F72:I72 L72:O72</xm:sqref>
        </x14:dataValidation>
        <x14:dataValidation type="list" allowBlank="1" showInputMessage="1" showErrorMessage="1" xr:uid="{1C1A9EA2-2295-470B-AC82-943A07E966EC}">
          <x14:formula1>
            <xm:f>'Sprachen &amp; Rückgabewerte(4)'!$J$91:$J$93</xm:f>
          </x14:formula1>
          <xm:sqref>AM49:AP49</xm:sqref>
        </x14:dataValidation>
        <x14:dataValidation type="list" allowBlank="1" showInputMessage="1" showErrorMessage="1" xr:uid="{CE15203E-9BEF-4D08-B931-237BD9506BAA}">
          <x14:formula1>
            <xm:f>'Sprachen &amp; Rückgabewerte(4)'!$N$78:$N$80</xm:f>
          </x14:formula1>
          <xm:sqref>AE70:AL70</xm:sqref>
        </x14:dataValidation>
        <x14:dataValidation type="list" allowBlank="1" showInputMessage="1" showErrorMessage="1" xr:uid="{2BADED3A-C7D4-4B3B-8DAC-B15744FD5B0D}">
          <x14:formula1>
            <xm:f>'Sprachen &amp; Rückgabewerte(4)'!$J$134:$J$136</xm:f>
          </x14:formula1>
          <xm:sqref>AX34:AY42</xm:sqref>
        </x14:dataValidation>
        <x14:dataValidation type="list" allowBlank="1" showInputMessage="1" showErrorMessage="1" xr:uid="{5F192ED2-006A-4322-8F26-D9909B8A3832}">
          <x14:formula1>
            <xm:f>'Sprachen &amp; Rückgabewerte(4)'!$B$81:$B$84</xm:f>
          </x14:formula1>
          <xm:sqref>T104</xm:sqref>
        </x14:dataValidation>
        <x14:dataValidation type="list" allowBlank="1" showInputMessage="1" showErrorMessage="1" xr:uid="{03B9AC7E-5BBB-4D87-96DC-43840C2634B2}">
          <x14:formula1>
            <xm:f>'Sprachen &amp; Rückgabewerte(4)'!$J$142:$J$144</xm:f>
          </x14:formula1>
          <xm:sqref>T110</xm:sqref>
        </x14:dataValidation>
        <x14:dataValidation type="list" allowBlank="1" showInputMessage="1" showErrorMessage="1" xr:uid="{953929EA-5991-4D0C-96A8-028B3A4D94EF}">
          <x14:formula1>
            <xm:f>'Sprachen &amp; Rückgabewerte(4)'!$J$145:$J$147</xm:f>
          </x14:formula1>
          <xm:sqref>T114</xm:sqref>
        </x14:dataValidation>
        <x14:dataValidation type="list" showInputMessage="1" showErrorMessage="1" xr:uid="{2CB312C2-B4DE-4FEE-995C-1EC91C0F1DC3}">
          <x14:formula1>
            <xm:f>'Sprachen &amp; Rückgabewerte(4)'!$R$41:$R$43</xm:f>
          </x14:formula1>
          <xm:sqref>AF11:AG11 AN11:AO11 X11:Y11 T11:U11 P11:Q11 L11:M11 AB11:AC11 AJ11:AK11 H11:I11</xm:sqref>
        </x14:dataValidation>
        <x14:dataValidation type="list" allowBlank="1" showInputMessage="1" showErrorMessage="1" xr:uid="{383F1B7A-375C-4A17-B5F7-9A2682690D42}">
          <x14:formula1>
            <xm:f>'Sprachen &amp; Rückgabewerte(4)'!$Q$41:$Q$51</xm:f>
          </x14:formula1>
          <xm:sqref>AP74:AP76</xm:sqref>
        </x14:dataValidation>
        <x14:dataValidation type="list" allowBlank="1" showInputMessage="1" showErrorMessage="1" xr:uid="{116BA869-D4B5-4A17-9817-E8385BA2B187}">
          <x14:formula1>
            <xm:f>'Sprachen &amp; Rückgabewerte(4)'!$J$150:$J$153</xm:f>
          </x14:formula1>
          <xm:sqref>AW48:AX48</xm:sqref>
        </x14:dataValidation>
        <x14:dataValidation type="list" allowBlank="1" showInputMessage="1" showErrorMessage="1" xr:uid="{4250BDD1-B223-4893-8116-7897EE61F7E2}">
          <x14:formula1>
            <xm:f>'Sprachen &amp; Rückgabewerte(4)'!$J$87:$J$89</xm:f>
          </x14:formula1>
          <xm:sqref>AE84:AL84</xm:sqref>
        </x14:dataValidation>
        <x14:dataValidation type="list" allowBlank="1" showInputMessage="1" showErrorMessage="1" xr:uid="{08A449CE-CE48-4F3E-8166-6AE2BD8D4505}">
          <x14:formula1>
            <xm:f>'Sprachen &amp; Rückgabewerte(4)'!$J$133:$J$136</xm:f>
          </x14:formula1>
          <xm:sqref>AX33:AY33</xm:sqref>
        </x14:dataValidation>
        <x14:dataValidation type="list" showInputMessage="1" showErrorMessage="1" errorTitle="SG-Typ auswählen" error="Bitte wählen Sie einen Sky-Glass Typ aus. Spezialaufbau bitte im Feld Speziell eingeben!" xr:uid="{86A20AEA-AC62-46D3-9CC6-EA278ED47654}">
          <x14:formula1>
            <xm:f>'Sprachen &amp; Rückgabewerte(4)'!$AI$3:$AI$45</xm:f>
          </x14:formula1>
          <xm:sqref>AE53:AG53</xm:sqref>
        </x14:dataValidation>
        <x14:dataValidation type="list" allowBlank="1" showInputMessage="1" showErrorMessage="1" xr:uid="{BB17E6B8-9B10-4CF2-B195-7343542A32FC}">
          <x14:formula1>
            <xm:f>'Sprachen &amp; Rückgabewerte(4)'!$J$174:$J$175</xm:f>
          </x14:formula1>
          <xm:sqref>AM46:AS46</xm:sqref>
        </x14:dataValidation>
        <x14:dataValidation type="list" allowBlank="1" showInputMessage="1" showErrorMessage="1" xr:uid="{0F3DB707-7E59-4205-A58A-8475B29CEDB0}">
          <x14:formula1>
            <xm:f>'Sprachen &amp; Rückgabewerte(4)'!$J$177:$J$178</xm:f>
          </x14:formula1>
          <xm:sqref>AM47:AS47</xm:sqref>
        </x14:dataValidation>
        <x14:dataValidation type="list" allowBlank="1" showInputMessage="1" showErrorMessage="1" xr:uid="{62D4B614-3ED3-4638-97A2-5FB5F4DC902B}">
          <x14:formula1>
            <xm:f>'Sprachen &amp; Rückgabewerte(4)'!$A$28:$A$30</xm:f>
          </x14:formula1>
          <xm:sqref>F16:G17 J16:K17 N16:O17 R16:S17 V16:W17 Z16:AA17 AD16:AE17 AH16:AI17 AL16:AM17 AP16:AQ17</xm:sqref>
        </x14:dataValidation>
        <x14:dataValidation type="list" allowBlank="1" showInputMessage="1" showErrorMessage="1" xr:uid="{77E1F857-97C2-42B9-B57D-8F28F462CFD7}">
          <x14:formula1>
            <xm:f>'Sprachen &amp; Rückgabewerte(4)'!$H$95:$H$96</xm:f>
          </x14:formula1>
          <xm:sqref>AQ96:AR96</xm:sqref>
        </x14:dataValidation>
        <x14:dataValidation type="list" allowBlank="1" showInputMessage="1" showErrorMessage="1" xr:uid="{91FC5D89-F381-4481-B646-C1F71CF2D669}">
          <x14:formula1>
            <xm:f>'Sprachen &amp; Rückgabewerte(4)'!$H$191:$H$192</xm:f>
          </x14:formula1>
          <xm:sqref>V97:Y97</xm:sqref>
        </x14:dataValidation>
        <x14:dataValidation type="list" allowBlank="1" showInputMessage="1" showErrorMessage="1" xr:uid="{00D34C68-5AD3-4B25-9297-CD7F2F483489}">
          <x14:formula1>
            <xm:f>'Sprachen &amp; Rückgabewerte(4)'!$H$198:$H$199</xm:f>
          </x14:formula1>
          <xm:sqref>AZ9:BA9</xm:sqref>
        </x14:dataValidation>
        <x14:dataValidation type="list" allowBlank="1" showInputMessage="1" showErrorMessage="1" xr:uid="{C332506D-70F0-4BFC-94AD-2BA6796AFC0A}">
          <x14:formula1>
            <xm:f>'Sprachen &amp; Rückgabewerte(4)'!$H$196:$H$197</xm:f>
          </x14:formula1>
          <xm:sqref>AZ10:BA10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DAB0D-48FA-404B-9D0D-54CD2563120D}">
  <dimension ref="A1:AN209"/>
  <sheetViews>
    <sheetView showGridLines="0" topLeftCell="A104" zoomScale="70" zoomScaleNormal="70" workbookViewId="0">
      <selection activeCell="F120" sqref="F120"/>
    </sheetView>
  </sheetViews>
  <sheetFormatPr baseColWidth="10" defaultColWidth="11.42578125" defaultRowHeight="12.75" x14ac:dyDescent="0.2"/>
  <cols>
    <col min="1" max="1" width="19.140625" style="272" customWidth="1"/>
    <col min="2" max="2" width="16.7109375" style="272" customWidth="1"/>
    <col min="3" max="3" width="11.42578125" style="272" customWidth="1"/>
    <col min="4" max="7" width="40.7109375" style="272" customWidth="1"/>
    <col min="8" max="8" width="34.28515625" style="272" customWidth="1"/>
    <col min="9" max="9" width="30.42578125" style="272" customWidth="1"/>
    <col min="10" max="10" width="25.7109375" style="272" customWidth="1"/>
    <col min="11" max="11" width="15.5703125" style="272" customWidth="1"/>
    <col min="12" max="12" width="13.42578125" style="272" customWidth="1"/>
    <col min="13" max="13" width="16.140625" style="272" customWidth="1"/>
    <col min="14" max="17" width="11.42578125" style="272"/>
    <col min="18" max="18" width="12.5703125" style="272" customWidth="1"/>
    <col min="19" max="19" width="10.140625" style="272" customWidth="1"/>
    <col min="20" max="20" width="10.28515625" style="272" customWidth="1"/>
    <col min="21" max="21" width="21.5703125" style="272" customWidth="1"/>
    <col min="22" max="22" width="11.42578125" style="272"/>
    <col min="23" max="23" width="11.42578125" style="272" customWidth="1"/>
    <col min="24" max="26" width="11.42578125" style="272"/>
    <col min="27" max="27" width="12.28515625" style="272" customWidth="1"/>
    <col min="28" max="28" width="11.42578125" style="272"/>
    <col min="29" max="29" width="13.7109375" style="272" customWidth="1"/>
    <col min="30" max="30" width="13.5703125" style="272" customWidth="1"/>
    <col min="31" max="31" width="11.5703125" style="272" customWidth="1"/>
    <col min="32" max="33" width="11.42578125" style="272"/>
    <col min="34" max="34" width="23.7109375" style="272" customWidth="1"/>
    <col min="35" max="37" width="11.42578125" style="272"/>
    <col min="38" max="38" width="14.42578125" style="272" customWidth="1"/>
    <col min="39" max="39" width="11.42578125" style="272"/>
    <col min="40" max="40" width="13.5703125" style="272" customWidth="1"/>
    <col min="41" max="16384" width="11.42578125" style="272"/>
  </cols>
  <sheetData>
    <row r="1" spans="1:40" ht="13.5" thickBot="1" x14ac:dyDescent="0.25">
      <c r="H1" s="46" t="s">
        <v>211</v>
      </c>
      <c r="Y1" s="272" t="s">
        <v>178</v>
      </c>
      <c r="Z1" s="272" t="s">
        <v>179</v>
      </c>
      <c r="AA1" s="272" t="s">
        <v>180</v>
      </c>
      <c r="AE1" s="272" t="s">
        <v>582</v>
      </c>
      <c r="AF1" s="272" t="s">
        <v>583</v>
      </c>
      <c r="AG1" s="272" t="s">
        <v>584</v>
      </c>
      <c r="AJ1" s="309" t="str">
        <f>IF($I$125=TRUE,AE1,Y1)</f>
        <v>Ug=</v>
      </c>
      <c r="AK1" s="318" t="str">
        <f>IF($I$125=TRUE,AF1,Z1)</f>
        <v>Lt=</v>
      </c>
      <c r="AL1" s="318" t="str">
        <f>IF($I$125=TRUE,AG1,AA1)</f>
        <v>g=</v>
      </c>
    </row>
    <row r="2" spans="1:40" x14ac:dyDescent="0.2">
      <c r="B2" s="29" t="s">
        <v>175</v>
      </c>
      <c r="C2" s="30" t="s">
        <v>91</v>
      </c>
      <c r="D2" s="16" t="s">
        <v>419</v>
      </c>
      <c r="E2" s="17" t="s">
        <v>420</v>
      </c>
      <c r="F2" s="17" t="s">
        <v>421</v>
      </c>
      <c r="G2" s="18" t="s">
        <v>422</v>
      </c>
      <c r="H2" s="448" t="str">
        <f>IF($B$3=$A$3,D2,IF($B$3=$A$4,E2,IF($B$3=$A$5,F2,IF($B$3=$A$6,G2,""))))</f>
        <v>Sprache:</v>
      </c>
      <c r="I2" s="46" t="s">
        <v>191</v>
      </c>
      <c r="X2" s="34" t="s">
        <v>585</v>
      </c>
      <c r="Y2" s="370"/>
      <c r="Z2" s="370"/>
      <c r="AA2" s="370"/>
      <c r="AB2" s="370"/>
      <c r="AC2" s="371"/>
      <c r="AD2" s="34" t="s">
        <v>586</v>
      </c>
      <c r="AE2" s="370"/>
      <c r="AF2" s="370"/>
      <c r="AG2" s="370"/>
      <c r="AH2" s="371"/>
      <c r="AI2" s="34" t="s">
        <v>587</v>
      </c>
      <c r="AJ2" s="370"/>
      <c r="AK2" s="370"/>
      <c r="AL2" s="370"/>
      <c r="AM2" s="370"/>
      <c r="AN2" s="371"/>
    </row>
    <row r="3" spans="1:40" x14ac:dyDescent="0.2">
      <c r="A3" s="272">
        <v>1</v>
      </c>
      <c r="B3" s="449">
        <v>1</v>
      </c>
      <c r="C3" s="450" t="s">
        <v>92</v>
      </c>
      <c r="D3" s="451" t="s">
        <v>92</v>
      </c>
      <c r="E3" s="452" t="s">
        <v>93</v>
      </c>
      <c r="F3" s="452" t="s">
        <v>94</v>
      </c>
      <c r="G3" s="453" t="s">
        <v>95</v>
      </c>
      <c r="H3" s="448" t="str">
        <f>IF($B$3=$A$3,D3,IF($B$3=$A$4,E3,IF($B$3=$A$5,F3,IF($B$3=$A$6,G3,""))))</f>
        <v>DEUTSCH</v>
      </c>
      <c r="I3" s="454"/>
      <c r="X3" s="317" t="s">
        <v>719</v>
      </c>
      <c r="Y3" s="318">
        <v>0.5</v>
      </c>
      <c r="Z3" s="318">
        <v>73</v>
      </c>
      <c r="AA3" s="318">
        <v>54</v>
      </c>
      <c r="AB3" s="318" t="s">
        <v>740</v>
      </c>
      <c r="AC3" s="325"/>
      <c r="AD3" s="317" t="s">
        <v>719</v>
      </c>
      <c r="AE3" s="455">
        <v>0.23</v>
      </c>
      <c r="AF3" s="318">
        <v>0.41</v>
      </c>
      <c r="AG3" s="318">
        <v>0.59</v>
      </c>
      <c r="AH3" s="325" t="s">
        <v>754</v>
      </c>
      <c r="AI3" s="317" t="str">
        <f t="shared" ref="AI3:AM25" si="0">IF($I$125=TRUE,AD3,X3)</f>
        <v>SG-31</v>
      </c>
      <c r="AJ3" s="309">
        <f t="shared" si="0"/>
        <v>0.5</v>
      </c>
      <c r="AK3" s="318">
        <f t="shared" si="0"/>
        <v>73</v>
      </c>
      <c r="AL3" s="318">
        <f t="shared" si="0"/>
        <v>54</v>
      </c>
      <c r="AM3" s="318" t="str">
        <f t="shared" si="0"/>
        <v>E6/18/E6/E6</v>
      </c>
      <c r="AN3" s="325"/>
    </row>
    <row r="4" spans="1:40" x14ac:dyDescent="0.2">
      <c r="A4" s="272">
        <v>2</v>
      </c>
      <c r="B4" s="456"/>
      <c r="C4" s="457" t="s">
        <v>93</v>
      </c>
      <c r="D4" s="317" t="s">
        <v>96</v>
      </c>
      <c r="E4" s="458" t="s">
        <v>97</v>
      </c>
      <c r="F4" s="458" t="s">
        <v>98</v>
      </c>
      <c r="G4" s="459" t="s">
        <v>99</v>
      </c>
      <c r="H4" s="448" t="str">
        <f>IF($B$3=$A$3,D4,IF($B$3=$A$4,E4,IF($B$3=$A$5,F4,IF($B$3=$A$6,G4,""))))</f>
        <v>BESTELLUNG</v>
      </c>
      <c r="I4" s="454"/>
      <c r="X4" s="273" t="s">
        <v>720</v>
      </c>
      <c r="Y4" s="309">
        <v>0.6</v>
      </c>
      <c r="Z4" s="309">
        <v>72</v>
      </c>
      <c r="AA4" s="309">
        <v>53</v>
      </c>
      <c r="AB4" s="309" t="s">
        <v>741</v>
      </c>
      <c r="AC4" s="310"/>
      <c r="AD4" s="273" t="s">
        <v>720</v>
      </c>
      <c r="AE4" s="309">
        <v>0.23</v>
      </c>
      <c r="AF4" s="309">
        <v>0.4</v>
      </c>
      <c r="AG4" s="309">
        <v>0.57999999999999996</v>
      </c>
      <c r="AH4" s="310" t="s">
        <v>755</v>
      </c>
      <c r="AI4" s="273" t="str">
        <f t="shared" si="0"/>
        <v>SG-32</v>
      </c>
      <c r="AJ4" s="309">
        <f t="shared" si="0"/>
        <v>0.6</v>
      </c>
      <c r="AK4" s="309">
        <f t="shared" si="0"/>
        <v>72</v>
      </c>
      <c r="AL4" s="309">
        <f t="shared" si="0"/>
        <v>53</v>
      </c>
      <c r="AM4" s="309" t="str">
        <f t="shared" si="0"/>
        <v>E8/16/E8/14/E8</v>
      </c>
      <c r="AN4" s="310"/>
    </row>
    <row r="5" spans="1:40" x14ac:dyDescent="0.2">
      <c r="A5" s="272">
        <v>3</v>
      </c>
      <c r="B5" s="456"/>
      <c r="C5" s="457" t="s">
        <v>94</v>
      </c>
      <c r="D5" s="273" t="s">
        <v>0</v>
      </c>
      <c r="E5" s="309" t="s">
        <v>1</v>
      </c>
      <c r="F5" s="309" t="s">
        <v>101</v>
      </c>
      <c r="G5" s="310" t="s">
        <v>100</v>
      </c>
      <c r="H5" s="448" t="str">
        <f>IF($B$3=$A$3,D5,IF($B$3=$A$4,E5,IF($B$3=$A$5,F5,IF($B$3=$A$6,G5,""))))</f>
        <v>Gemäss Zeichnung Nr.:</v>
      </c>
      <c r="I5" s="454" t="b">
        <v>0</v>
      </c>
      <c r="X5" s="273" t="s">
        <v>721</v>
      </c>
      <c r="Y5" s="309">
        <v>0.6</v>
      </c>
      <c r="Z5" s="309">
        <v>73</v>
      </c>
      <c r="AA5" s="309" t="s">
        <v>823</v>
      </c>
      <c r="AB5" s="309" t="s">
        <v>742</v>
      </c>
      <c r="AC5" s="310"/>
      <c r="AD5" s="273" t="s">
        <v>721</v>
      </c>
      <c r="AE5" s="309">
        <v>0.23</v>
      </c>
      <c r="AF5" s="309">
        <v>0.41</v>
      </c>
      <c r="AG5" s="309">
        <v>0.57999999999999996</v>
      </c>
      <c r="AH5" s="310" t="s">
        <v>756</v>
      </c>
      <c r="AI5" s="273" t="str">
        <f t="shared" si="0"/>
        <v>SG-33</v>
      </c>
      <c r="AJ5" s="309">
        <f t="shared" si="0"/>
        <v>0.6</v>
      </c>
      <c r="AK5" s="309">
        <f t="shared" si="0"/>
        <v>73</v>
      </c>
      <c r="AL5" s="309" t="str">
        <f t="shared" si="0"/>
        <v>54/52</v>
      </c>
      <c r="AM5" s="309" t="str">
        <f t="shared" si="0"/>
        <v>V-W8-2/16/E6/16/E6</v>
      </c>
      <c r="AN5" s="310"/>
    </row>
    <row r="6" spans="1:40" ht="13.5" thickBot="1" x14ac:dyDescent="0.25">
      <c r="A6" s="272">
        <v>4</v>
      </c>
      <c r="B6" s="460"/>
      <c r="C6" s="461" t="s">
        <v>95</v>
      </c>
      <c r="D6" s="273" t="s">
        <v>102</v>
      </c>
      <c r="E6" s="309" t="s">
        <v>103</v>
      </c>
      <c r="F6" s="309" t="s">
        <v>104</v>
      </c>
      <c r="G6" s="310" t="s">
        <v>344</v>
      </c>
      <c r="H6" s="448" t="str">
        <f>IF($B$3=$A$3,D6,IF($B$3=$A$4,E6,IF($B$3=$A$5,F6,IF($B$3=$A$6,G6,""))))</f>
        <v>Gemäss Skizze: (Ansicht von Aussen)</v>
      </c>
      <c r="I6" s="454" t="b">
        <v>0</v>
      </c>
      <c r="X6" s="273" t="s">
        <v>723</v>
      </c>
      <c r="Y6" s="309">
        <v>0.6</v>
      </c>
      <c r="Z6" s="309">
        <v>72</v>
      </c>
      <c r="AA6" s="309" t="s">
        <v>824</v>
      </c>
      <c r="AB6" s="309" t="s">
        <v>743</v>
      </c>
      <c r="AC6" s="310"/>
      <c r="AD6" s="273" t="s">
        <v>723</v>
      </c>
      <c r="AE6" s="309">
        <v>0.23</v>
      </c>
      <c r="AF6" s="309">
        <v>0.4</v>
      </c>
      <c r="AG6" s="309">
        <v>0.56999999999999995</v>
      </c>
      <c r="AH6" s="310" t="s">
        <v>757</v>
      </c>
      <c r="AI6" s="273" t="str">
        <f t="shared" si="0"/>
        <v>SG-34</v>
      </c>
      <c r="AJ6" s="309">
        <f t="shared" si="0"/>
        <v>0.6</v>
      </c>
      <c r="AK6" s="309">
        <f t="shared" si="0"/>
        <v>72</v>
      </c>
      <c r="AL6" s="309" t="str">
        <f t="shared" si="0"/>
        <v>52/53</v>
      </c>
      <c r="AM6" s="309" t="str">
        <f t="shared" si="0"/>
        <v>V-W8-2/14/E8/14/E8</v>
      </c>
      <c r="AN6" s="310"/>
    </row>
    <row r="7" spans="1:40" ht="13.5" thickBot="1" x14ac:dyDescent="0.25">
      <c r="D7" s="273" t="s">
        <v>473</v>
      </c>
      <c r="E7" s="309" t="s">
        <v>474</v>
      </c>
      <c r="F7" s="309" t="s">
        <v>475</v>
      </c>
      <c r="G7" s="310" t="s">
        <v>476</v>
      </c>
      <c r="H7" s="448" t="str">
        <f t="shared" ref="H7:H71" si="1">IF($B$3=$A$3,D7,IF($B$3=$A$4,E7,IF($B$3=$A$5,F7,IF($B$3=$A$6,G7,""))))</f>
        <v xml:space="preserve">Objekt: </v>
      </c>
      <c r="I7" s="454"/>
      <c r="X7" s="273" t="s">
        <v>724</v>
      </c>
      <c r="Y7" s="309">
        <v>0.6</v>
      </c>
      <c r="Z7" s="309">
        <v>71</v>
      </c>
      <c r="AA7" s="309">
        <v>51</v>
      </c>
      <c r="AB7" s="309" t="s">
        <v>744</v>
      </c>
      <c r="AC7" s="310"/>
      <c r="AD7" s="273" t="s">
        <v>724</v>
      </c>
      <c r="AE7" s="309">
        <v>0.22</v>
      </c>
      <c r="AF7" s="309">
        <v>0.37</v>
      </c>
      <c r="AG7" s="309">
        <v>0.56999999999999995</v>
      </c>
      <c r="AH7" s="310" t="s">
        <v>758</v>
      </c>
      <c r="AI7" s="273" t="str">
        <f t="shared" si="0"/>
        <v>SG-35</v>
      </c>
      <c r="AJ7" s="309">
        <f t="shared" si="0"/>
        <v>0.6</v>
      </c>
      <c r="AK7" s="309">
        <f t="shared" si="0"/>
        <v>71</v>
      </c>
      <c r="AL7" s="309">
        <f t="shared" si="0"/>
        <v>51</v>
      </c>
      <c r="AM7" s="309" t="str">
        <f t="shared" si="0"/>
        <v xml:space="preserve">E6/14/V-T12-2/14/E6 </v>
      </c>
      <c r="AN7" s="310"/>
    </row>
    <row r="8" spans="1:40" x14ac:dyDescent="0.2">
      <c r="B8" s="16" t="s">
        <v>183</v>
      </c>
      <c r="C8" s="18" t="s">
        <v>187</v>
      </c>
      <c r="D8" s="273" t="s">
        <v>181</v>
      </c>
      <c r="E8" s="309" t="s">
        <v>182</v>
      </c>
      <c r="F8" s="309" t="s">
        <v>105</v>
      </c>
      <c r="G8" s="310" t="s">
        <v>106</v>
      </c>
      <c r="H8" s="448" t="str">
        <f t="shared" si="1"/>
        <v>Bestelldatum:</v>
      </c>
      <c r="I8" s="454"/>
      <c r="X8" s="273" t="s">
        <v>725</v>
      </c>
      <c r="Y8" s="309">
        <v>0.6</v>
      </c>
      <c r="Z8" s="309">
        <v>72</v>
      </c>
      <c r="AA8" s="309">
        <v>51</v>
      </c>
      <c r="AB8" s="309" t="s">
        <v>745</v>
      </c>
      <c r="AC8" s="310"/>
      <c r="AD8" s="273" t="s">
        <v>725</v>
      </c>
      <c r="AE8" s="309">
        <v>0.23</v>
      </c>
      <c r="AF8" s="309">
        <v>0.37</v>
      </c>
      <c r="AG8" s="309">
        <v>0.56999999999999995</v>
      </c>
      <c r="AH8" s="310" t="s">
        <v>759</v>
      </c>
      <c r="AI8" s="273" t="str">
        <f t="shared" si="0"/>
        <v>SG-36</v>
      </c>
      <c r="AJ8" s="309">
        <f t="shared" si="0"/>
        <v>0.6</v>
      </c>
      <c r="AK8" s="309">
        <f t="shared" si="0"/>
        <v>72</v>
      </c>
      <c r="AL8" s="309">
        <f t="shared" si="0"/>
        <v>51</v>
      </c>
      <c r="AM8" s="309" t="str">
        <f t="shared" si="0"/>
        <v>E8/14/V-W8-2/14/E8</v>
      </c>
      <c r="AN8" s="310"/>
    </row>
    <row r="9" spans="1:40" ht="13.5" thickBot="1" x14ac:dyDescent="0.25">
      <c r="B9" s="317" t="s">
        <v>868</v>
      </c>
      <c r="C9" s="363" t="s">
        <v>869</v>
      </c>
      <c r="D9" s="273" t="s">
        <v>2</v>
      </c>
      <c r="E9" s="309" t="s">
        <v>3</v>
      </c>
      <c r="F9" s="309" t="s">
        <v>4</v>
      </c>
      <c r="G9" s="310" t="s">
        <v>107</v>
      </c>
      <c r="H9" s="448" t="str">
        <f t="shared" si="1"/>
        <v>Projekt-Nr.:</v>
      </c>
      <c r="I9" s="454"/>
      <c r="X9" s="273" t="s">
        <v>726</v>
      </c>
      <c r="Y9" s="309">
        <v>0.5</v>
      </c>
      <c r="Z9" s="309">
        <v>71</v>
      </c>
      <c r="AA9" s="309" t="s">
        <v>825</v>
      </c>
      <c r="AB9" s="309" t="s">
        <v>746</v>
      </c>
      <c r="AC9" s="310"/>
      <c r="AD9" s="273" t="s">
        <v>726</v>
      </c>
      <c r="AE9" s="309">
        <v>0.22</v>
      </c>
      <c r="AF9" s="309">
        <v>0.39</v>
      </c>
      <c r="AG9" s="309">
        <v>0.56999999999999995</v>
      </c>
      <c r="AH9" s="310" t="s">
        <v>760</v>
      </c>
      <c r="AI9" s="273" t="str">
        <f t="shared" si="0"/>
        <v>SG-37</v>
      </c>
      <c r="AJ9" s="309">
        <f t="shared" si="0"/>
        <v>0.5</v>
      </c>
      <c r="AK9" s="309">
        <f t="shared" si="0"/>
        <v>71</v>
      </c>
      <c r="AL9" s="309" t="str">
        <f t="shared" si="0"/>
        <v>52/49</v>
      </c>
      <c r="AM9" s="309" t="str">
        <f t="shared" si="0"/>
        <v xml:space="preserve">V-W8-P/12/E6/12/V-T12-P </v>
      </c>
      <c r="AN9" s="310"/>
    </row>
    <row r="10" spans="1:40" x14ac:dyDescent="0.2">
      <c r="A10" s="57" t="s">
        <v>44</v>
      </c>
      <c r="B10" s="462" t="s">
        <v>184</v>
      </c>
      <c r="C10" s="463" t="s">
        <v>188</v>
      </c>
      <c r="D10" s="273" t="s">
        <v>5</v>
      </c>
      <c r="E10" s="309" t="s">
        <v>6</v>
      </c>
      <c r="F10" s="309" t="s">
        <v>7</v>
      </c>
      <c r="G10" s="310" t="s">
        <v>319</v>
      </c>
      <c r="H10" s="448" t="str">
        <f t="shared" si="1"/>
        <v>2-gleisig</v>
      </c>
      <c r="I10" s="464" t="b">
        <v>0</v>
      </c>
      <c r="X10" s="273">
        <v>0</v>
      </c>
      <c r="Y10" s="52"/>
      <c r="Z10" s="309"/>
      <c r="AA10" s="309"/>
      <c r="AB10" s="309"/>
      <c r="AC10" s="310"/>
      <c r="AD10" s="273">
        <v>0</v>
      </c>
      <c r="AE10" s="309">
        <v>0</v>
      </c>
      <c r="AF10" s="309">
        <v>0</v>
      </c>
      <c r="AG10" s="309">
        <v>0</v>
      </c>
      <c r="AH10" s="310" t="str">
        <f>$H$54</f>
        <v>Glastyp wählen</v>
      </c>
      <c r="AI10" s="273">
        <f t="shared" si="0"/>
        <v>0</v>
      </c>
      <c r="AJ10" s="309">
        <f t="shared" si="0"/>
        <v>0</v>
      </c>
      <c r="AK10" s="309">
        <f t="shared" si="0"/>
        <v>0</v>
      </c>
      <c r="AL10" s="309">
        <f t="shared" si="0"/>
        <v>0</v>
      </c>
      <c r="AM10" s="309">
        <f t="shared" si="0"/>
        <v>0</v>
      </c>
      <c r="AN10" s="310"/>
    </row>
    <row r="11" spans="1:40" x14ac:dyDescent="0.2">
      <c r="A11" s="465"/>
      <c r="B11" s="466" t="s">
        <v>185</v>
      </c>
      <c r="C11" s="467" t="s">
        <v>189</v>
      </c>
      <c r="D11" s="273" t="s">
        <v>8</v>
      </c>
      <c r="E11" s="309" t="s">
        <v>9</v>
      </c>
      <c r="F11" s="309" t="s">
        <v>816</v>
      </c>
      <c r="G11" s="310" t="s">
        <v>320</v>
      </c>
      <c r="H11" s="448" t="str">
        <f t="shared" si="1"/>
        <v>3-gleisig</v>
      </c>
      <c r="I11" s="464" t="b">
        <v>0</v>
      </c>
      <c r="X11" s="273" t="s">
        <v>727</v>
      </c>
      <c r="Y11" s="309">
        <v>0.5</v>
      </c>
      <c r="Z11" s="309">
        <v>64</v>
      </c>
      <c r="AA11" s="309">
        <v>45</v>
      </c>
      <c r="AB11" s="318" t="s">
        <v>740</v>
      </c>
      <c r="AC11" s="310"/>
      <c r="AD11" s="273" t="s">
        <v>727</v>
      </c>
      <c r="AE11" s="309">
        <v>0.23</v>
      </c>
      <c r="AF11" s="309">
        <v>0.35</v>
      </c>
      <c r="AG11" s="309">
        <v>0.52</v>
      </c>
      <c r="AH11" s="310" t="s">
        <v>761</v>
      </c>
      <c r="AI11" s="273" t="str">
        <f t="shared" si="0"/>
        <v>SG-41</v>
      </c>
      <c r="AJ11" s="309">
        <f t="shared" si="0"/>
        <v>0.5</v>
      </c>
      <c r="AK11" s="309">
        <f t="shared" si="0"/>
        <v>64</v>
      </c>
      <c r="AL11" s="309">
        <f t="shared" si="0"/>
        <v>45</v>
      </c>
      <c r="AM11" s="309" t="str">
        <f t="shared" si="0"/>
        <v>E6/18/E6/E6</v>
      </c>
      <c r="AN11" s="310"/>
    </row>
    <row r="12" spans="1:40" x14ac:dyDescent="0.2">
      <c r="A12" s="448" t="s">
        <v>177</v>
      </c>
      <c r="B12" s="466" t="s">
        <v>186</v>
      </c>
      <c r="C12" s="467" t="s">
        <v>190</v>
      </c>
      <c r="D12" s="273" t="s">
        <v>10</v>
      </c>
      <c r="E12" s="309" t="s">
        <v>11</v>
      </c>
      <c r="F12" s="309" t="s">
        <v>817</v>
      </c>
      <c r="G12" s="310" t="s">
        <v>321</v>
      </c>
      <c r="H12" s="448" t="str">
        <f t="shared" si="1"/>
        <v>4-gleisig</v>
      </c>
      <c r="I12" s="464" t="b">
        <f>IF(AND(I11=TRUE,'Pos. 5'!AT5=1),TRUE,FALSE)</f>
        <v>0</v>
      </c>
      <c r="X12" s="273" t="s">
        <v>728</v>
      </c>
      <c r="Y12" s="309">
        <v>0.6</v>
      </c>
      <c r="Z12" s="309">
        <v>63</v>
      </c>
      <c r="AA12" s="309">
        <v>45</v>
      </c>
      <c r="AB12" s="309" t="s">
        <v>741</v>
      </c>
      <c r="AC12" s="310"/>
      <c r="AD12" s="273" t="s">
        <v>728</v>
      </c>
      <c r="AE12" s="309">
        <v>0.23</v>
      </c>
      <c r="AF12" s="309">
        <v>0.34</v>
      </c>
      <c r="AG12" s="309">
        <v>0.51</v>
      </c>
      <c r="AH12" s="310" t="s">
        <v>763</v>
      </c>
      <c r="AI12" s="273" t="str">
        <f t="shared" si="0"/>
        <v>SG-42</v>
      </c>
      <c r="AJ12" s="309">
        <f t="shared" si="0"/>
        <v>0.6</v>
      </c>
      <c r="AK12" s="309">
        <f t="shared" si="0"/>
        <v>63</v>
      </c>
      <c r="AL12" s="309">
        <f t="shared" si="0"/>
        <v>45</v>
      </c>
      <c r="AM12" s="309" t="str">
        <f t="shared" si="0"/>
        <v>E8/16/E8/14/E8</v>
      </c>
      <c r="AN12" s="310"/>
    </row>
    <row r="13" spans="1:40" x14ac:dyDescent="0.2">
      <c r="A13" s="448" t="s">
        <v>222</v>
      </c>
      <c r="B13" s="468" t="s">
        <v>416</v>
      </c>
      <c r="C13" s="469" t="s">
        <v>415</v>
      </c>
      <c r="D13" s="273" t="s">
        <v>12</v>
      </c>
      <c r="E13" s="309" t="s">
        <v>13</v>
      </c>
      <c r="F13" s="309" t="s">
        <v>14</v>
      </c>
      <c r="G13" s="310" t="s">
        <v>108</v>
      </c>
      <c r="H13" s="448" t="str">
        <f t="shared" si="1"/>
        <v>Teilung Achsmasse</v>
      </c>
      <c r="I13" s="454" t="b">
        <v>0</v>
      </c>
      <c r="X13" s="273" t="s">
        <v>729</v>
      </c>
      <c r="Y13" s="309">
        <v>0.5</v>
      </c>
      <c r="Z13" s="309">
        <v>64</v>
      </c>
      <c r="AA13" s="309" t="s">
        <v>828</v>
      </c>
      <c r="AB13" s="309" t="s">
        <v>742</v>
      </c>
      <c r="AC13" s="310"/>
      <c r="AD13" s="273" t="s">
        <v>729</v>
      </c>
      <c r="AE13" s="309">
        <v>0.22</v>
      </c>
      <c r="AF13" s="309">
        <v>0.35</v>
      </c>
      <c r="AG13" s="309">
        <v>0.51</v>
      </c>
      <c r="AH13" s="310" t="s">
        <v>762</v>
      </c>
      <c r="AI13" s="273" t="str">
        <f t="shared" si="0"/>
        <v>SG-43</v>
      </c>
      <c r="AJ13" s="309">
        <f t="shared" si="0"/>
        <v>0.5</v>
      </c>
      <c r="AK13" s="309">
        <f t="shared" si="0"/>
        <v>64</v>
      </c>
      <c r="AL13" s="309" t="str">
        <f t="shared" si="0"/>
        <v>44/46</v>
      </c>
      <c r="AM13" s="309" t="str">
        <f t="shared" si="0"/>
        <v>V-W8-2/16/E6/16/E6</v>
      </c>
      <c r="AN13" s="310"/>
    </row>
    <row r="14" spans="1:40" ht="13.5" thickBot="1" x14ac:dyDescent="0.25">
      <c r="A14" s="448" t="s">
        <v>221</v>
      </c>
      <c r="B14" s="377" t="s">
        <v>417</v>
      </c>
      <c r="C14" s="470" t="s">
        <v>414</v>
      </c>
      <c r="D14" s="273" t="s">
        <v>110</v>
      </c>
      <c r="E14" s="309" t="s">
        <v>109</v>
      </c>
      <c r="F14" s="5" t="s">
        <v>15</v>
      </c>
      <c r="G14" s="59" t="s">
        <v>345</v>
      </c>
      <c r="H14" s="448" t="str">
        <f t="shared" si="1"/>
        <v>alle Gläser gleiche Breite (Empfehlung)</v>
      </c>
      <c r="I14" s="454" t="b">
        <v>0</v>
      </c>
      <c r="X14" s="273" t="s">
        <v>722</v>
      </c>
      <c r="Y14" s="309">
        <v>0.6</v>
      </c>
      <c r="Z14" s="309">
        <v>64</v>
      </c>
      <c r="AA14" s="309" t="s">
        <v>827</v>
      </c>
      <c r="AB14" s="309" t="s">
        <v>743</v>
      </c>
      <c r="AC14" s="310"/>
      <c r="AD14" s="273" t="s">
        <v>722</v>
      </c>
      <c r="AE14" s="309">
        <v>0.23</v>
      </c>
      <c r="AF14" s="309">
        <v>0.34</v>
      </c>
      <c r="AG14" s="309">
        <v>0.5</v>
      </c>
      <c r="AH14" s="310" t="s">
        <v>764</v>
      </c>
      <c r="AI14" s="273" t="str">
        <f t="shared" si="0"/>
        <v>SG-44</v>
      </c>
      <c r="AJ14" s="309">
        <f t="shared" si="0"/>
        <v>0.6</v>
      </c>
      <c r="AK14" s="309">
        <f t="shared" si="0"/>
        <v>64</v>
      </c>
      <c r="AL14" s="309" t="str">
        <f t="shared" si="0"/>
        <v>43/45</v>
      </c>
      <c r="AM14" s="309" t="str">
        <f t="shared" si="0"/>
        <v>V-W8-2/14/E8/14/E8</v>
      </c>
      <c r="AN14" s="310"/>
    </row>
    <row r="15" spans="1:40" x14ac:dyDescent="0.2">
      <c r="A15" s="448" t="s">
        <v>223</v>
      </c>
      <c r="B15" s="85" t="s">
        <v>194</v>
      </c>
      <c r="C15" s="35"/>
      <c r="D15" s="273" t="s">
        <v>16</v>
      </c>
      <c r="E15" s="309" t="s">
        <v>16</v>
      </c>
      <c r="F15" s="309" t="s">
        <v>16</v>
      </c>
      <c r="G15" s="310" t="s">
        <v>16</v>
      </c>
      <c r="H15" s="448" t="str">
        <f t="shared" si="1"/>
        <v>Standard</v>
      </c>
      <c r="I15" s="454" t="b">
        <v>0</v>
      </c>
      <c r="X15" s="273" t="s">
        <v>730</v>
      </c>
      <c r="Y15" s="309">
        <v>0.6</v>
      </c>
      <c r="Z15" s="309">
        <v>63</v>
      </c>
      <c r="AA15" s="309">
        <v>43</v>
      </c>
      <c r="AB15" s="309" t="s">
        <v>744</v>
      </c>
      <c r="AC15" s="310"/>
      <c r="AD15" s="273" t="s">
        <v>730</v>
      </c>
      <c r="AE15" s="309">
        <v>0.22</v>
      </c>
      <c r="AF15" s="309">
        <v>0.31</v>
      </c>
      <c r="AG15" s="309">
        <v>0.5</v>
      </c>
      <c r="AH15" s="310" t="s">
        <v>765</v>
      </c>
      <c r="AI15" s="273" t="str">
        <f t="shared" si="0"/>
        <v>SG-45</v>
      </c>
      <c r="AJ15" s="309">
        <f t="shared" si="0"/>
        <v>0.6</v>
      </c>
      <c r="AK15" s="309">
        <f t="shared" si="0"/>
        <v>63</v>
      </c>
      <c r="AL15" s="309">
        <f t="shared" si="0"/>
        <v>43</v>
      </c>
      <c r="AM15" s="309" t="str">
        <f t="shared" si="0"/>
        <v xml:space="preserve">E6/14/V-T12-2/14/E6 </v>
      </c>
      <c r="AN15" s="310"/>
    </row>
    <row r="16" spans="1:40" x14ac:dyDescent="0.2">
      <c r="A16" s="448" t="s">
        <v>224</v>
      </c>
      <c r="B16" s="471" t="s">
        <v>195</v>
      </c>
      <c r="C16" s="463">
        <f>IF(AND($I$20=TRUE,OR('Pos. 5'!$F$10='Sprachen &amp; Rückgabewerte(5)'!$B$10,'Pos. 5'!$F$10='Sprachen &amp; Rückgabewerte(5)'!$B$11)),1,0)</f>
        <v>0</v>
      </c>
      <c r="D16" s="273" t="s">
        <v>17</v>
      </c>
      <c r="E16" s="309" t="s">
        <v>18</v>
      </c>
      <c r="F16" s="309" t="s">
        <v>19</v>
      </c>
      <c r="G16" s="310" t="s">
        <v>322</v>
      </c>
      <c r="H16" s="448" t="str">
        <f t="shared" si="1"/>
        <v>Einbruchschutz RC2</v>
      </c>
      <c r="I16" s="454" t="b">
        <v>0</v>
      </c>
      <c r="X16" s="273" t="s">
        <v>731</v>
      </c>
      <c r="Y16" s="309">
        <v>0.6</v>
      </c>
      <c r="Z16" s="309">
        <v>61</v>
      </c>
      <c r="AA16" s="309">
        <v>43</v>
      </c>
      <c r="AB16" s="309" t="s">
        <v>745</v>
      </c>
      <c r="AC16" s="310"/>
      <c r="AD16" s="273" t="s">
        <v>731</v>
      </c>
      <c r="AE16" s="309">
        <v>0.23</v>
      </c>
      <c r="AF16" s="309">
        <v>0.31</v>
      </c>
      <c r="AG16" s="309">
        <v>0.5</v>
      </c>
      <c r="AH16" s="310" t="s">
        <v>766</v>
      </c>
      <c r="AI16" s="273" t="str">
        <f t="shared" si="0"/>
        <v>SG-46</v>
      </c>
      <c r="AJ16" s="309">
        <f t="shared" si="0"/>
        <v>0.6</v>
      </c>
      <c r="AK16" s="309">
        <f t="shared" si="0"/>
        <v>61</v>
      </c>
      <c r="AL16" s="309">
        <f t="shared" si="0"/>
        <v>43</v>
      </c>
      <c r="AM16" s="309" t="str">
        <f t="shared" si="0"/>
        <v>E8/14/V-W8-2/14/E8</v>
      </c>
      <c r="AN16" s="310"/>
    </row>
    <row r="17" spans="1:40" x14ac:dyDescent="0.2">
      <c r="A17" s="448" t="s">
        <v>225</v>
      </c>
      <c r="B17" s="466" t="s">
        <v>196</v>
      </c>
      <c r="C17" s="467">
        <f>IF(AND($I$20=TRUE,OR('Pos. 5'!$J$10='Sprachen &amp; Rückgabewerte(5)'!$B$10,'Pos. 5'!$J$10='Sprachen &amp; Rückgabewerte(5)'!$B$11)),1,0)</f>
        <v>0</v>
      </c>
      <c r="D17" s="273" t="s">
        <v>313</v>
      </c>
      <c r="E17" s="309" t="s">
        <v>20</v>
      </c>
      <c r="F17" s="309" t="s">
        <v>21</v>
      </c>
      <c r="G17" s="310" t="s">
        <v>122</v>
      </c>
      <c r="H17" s="448" t="str">
        <f t="shared" si="1"/>
        <v>Positionsüberwachung (P)</v>
      </c>
      <c r="I17" s="454" t="b">
        <v>0</v>
      </c>
      <c r="X17" s="273" t="s">
        <v>732</v>
      </c>
      <c r="Y17" s="309">
        <v>0.5</v>
      </c>
      <c r="Z17" s="309">
        <v>63</v>
      </c>
      <c r="AA17" s="309" t="s">
        <v>826</v>
      </c>
      <c r="AB17" s="309" t="s">
        <v>747</v>
      </c>
      <c r="AC17" s="310"/>
      <c r="AD17" s="273" t="s">
        <v>732</v>
      </c>
      <c r="AE17" s="309">
        <v>0.22</v>
      </c>
      <c r="AF17" s="309">
        <v>0.34</v>
      </c>
      <c r="AG17" s="309">
        <v>0.5</v>
      </c>
      <c r="AH17" s="310" t="s">
        <v>767</v>
      </c>
      <c r="AI17" s="273" t="str">
        <f t="shared" si="0"/>
        <v>SG-47</v>
      </c>
      <c r="AJ17" s="309">
        <f t="shared" si="0"/>
        <v>0.5</v>
      </c>
      <c r="AK17" s="309">
        <f t="shared" si="0"/>
        <v>63</v>
      </c>
      <c r="AL17" s="309" t="str">
        <f t="shared" si="0"/>
        <v>44/41</v>
      </c>
      <c r="AM17" s="309" t="str">
        <f t="shared" si="0"/>
        <v xml:space="preserve">V-W-8P/12/E6/12/V-T12-P </v>
      </c>
      <c r="AN17" s="310"/>
    </row>
    <row r="18" spans="1:40" x14ac:dyDescent="0.2">
      <c r="A18" s="448" t="s">
        <v>226</v>
      </c>
      <c r="B18" s="466" t="s">
        <v>197</v>
      </c>
      <c r="C18" s="467">
        <f>IF(AND($I$20=TRUE,OR('Pos. 5'!$N$10='Sprachen &amp; Rückgabewerte(5)'!$B$10,'Pos. 5'!$N$10='Sprachen &amp; Rückgabewerte(5)'!$B$11)),1,0)</f>
        <v>0</v>
      </c>
      <c r="D18" s="273" t="s">
        <v>314</v>
      </c>
      <c r="E18" s="309" t="s">
        <v>22</v>
      </c>
      <c r="F18" s="309" t="s">
        <v>315</v>
      </c>
      <c r="G18" s="310" t="s">
        <v>123</v>
      </c>
      <c r="H18" s="448" t="str">
        <f t="shared" si="1"/>
        <v xml:space="preserve">Riegelüberwachung (R) </v>
      </c>
      <c r="I18" s="454" t="b">
        <v>0</v>
      </c>
      <c r="X18" s="273">
        <v>0</v>
      </c>
      <c r="Y18" s="309"/>
      <c r="Z18" s="309"/>
      <c r="AA18" s="309"/>
      <c r="AB18" s="309"/>
      <c r="AC18" s="310"/>
      <c r="AD18" s="273">
        <v>0</v>
      </c>
      <c r="AE18" s="309">
        <v>0</v>
      </c>
      <c r="AF18" s="309">
        <v>0</v>
      </c>
      <c r="AG18" s="309">
        <v>0</v>
      </c>
      <c r="AH18" s="310" t="str">
        <f>$H$54</f>
        <v>Glastyp wählen</v>
      </c>
      <c r="AI18" s="273">
        <f t="shared" si="0"/>
        <v>0</v>
      </c>
      <c r="AJ18" s="309">
        <f t="shared" si="0"/>
        <v>0</v>
      </c>
      <c r="AK18" s="309">
        <f t="shared" si="0"/>
        <v>0</v>
      </c>
      <c r="AL18" s="309">
        <f t="shared" si="0"/>
        <v>0</v>
      </c>
      <c r="AM18" s="309">
        <f t="shared" si="0"/>
        <v>0</v>
      </c>
      <c r="AN18" s="310"/>
    </row>
    <row r="19" spans="1:40" x14ac:dyDescent="0.2">
      <c r="A19" s="448"/>
      <c r="B19" s="466" t="s">
        <v>198</v>
      </c>
      <c r="C19" s="467">
        <f>IF(AND($I$20=TRUE,OR('Pos. 5'!$R$10='Sprachen &amp; Rückgabewerte(5)'!$B$10,'Pos. 5'!$R$10='Sprachen &amp; Rückgabewerte(5)'!$B$11)),1,0)</f>
        <v>0</v>
      </c>
      <c r="D19" s="273" t="s">
        <v>316</v>
      </c>
      <c r="E19" s="309" t="s">
        <v>23</v>
      </c>
      <c r="F19" s="309" t="s">
        <v>24</v>
      </c>
      <c r="G19" s="310" t="s">
        <v>121</v>
      </c>
      <c r="H19" s="448" t="str">
        <f t="shared" si="1"/>
        <v>Glasbruchüberwachung (G)</v>
      </c>
      <c r="I19" s="454" t="b">
        <v>0</v>
      </c>
      <c r="X19" s="273" t="s">
        <v>733</v>
      </c>
      <c r="Y19" s="309">
        <v>0.5</v>
      </c>
      <c r="Z19" s="309">
        <v>55</v>
      </c>
      <c r="AA19" s="309">
        <v>33</v>
      </c>
      <c r="AB19" s="318" t="s">
        <v>740</v>
      </c>
      <c r="AC19" s="310"/>
      <c r="AD19" s="273" t="s">
        <v>733</v>
      </c>
      <c r="AE19" s="309">
        <v>0.23</v>
      </c>
      <c r="AF19" s="309">
        <v>0.28999999999999998</v>
      </c>
      <c r="AG19" s="309">
        <v>0.46</v>
      </c>
      <c r="AH19" s="310" t="s">
        <v>768</v>
      </c>
      <c r="AI19" s="273" t="str">
        <f t="shared" si="0"/>
        <v>SG-51</v>
      </c>
      <c r="AJ19" s="309">
        <f t="shared" si="0"/>
        <v>0.5</v>
      </c>
      <c r="AK19" s="309">
        <f t="shared" si="0"/>
        <v>55</v>
      </c>
      <c r="AL19" s="309">
        <f t="shared" si="0"/>
        <v>33</v>
      </c>
      <c r="AM19" s="309" t="str">
        <f t="shared" si="0"/>
        <v>E6/18/E6/E6</v>
      </c>
      <c r="AN19" s="310"/>
    </row>
    <row r="20" spans="1:40" x14ac:dyDescent="0.2">
      <c r="A20" s="448" t="s">
        <v>227</v>
      </c>
      <c r="B20" s="466" t="s">
        <v>199</v>
      </c>
      <c r="C20" s="467">
        <f>IF(AND($I$20=TRUE,OR('Pos. 5'!$V$10='Sprachen &amp; Rückgabewerte(5)'!$B$10,'Pos. 5'!$V$10='Sprachen &amp; Rückgabewerte(5)'!$B$11)),1,0)</f>
        <v>0</v>
      </c>
      <c r="D20" s="273" t="s">
        <v>25</v>
      </c>
      <c r="E20" s="309" t="s">
        <v>192</v>
      </c>
      <c r="F20" s="309" t="s">
        <v>26</v>
      </c>
      <c r="G20" s="310" t="s">
        <v>124</v>
      </c>
      <c r="H20" s="448" t="str">
        <f t="shared" si="1"/>
        <v>Elektrischer Antrieb, Anzahl</v>
      </c>
      <c r="I20" s="454" t="b">
        <v>0</v>
      </c>
      <c r="X20" s="273" t="s">
        <v>734</v>
      </c>
      <c r="Y20" s="309">
        <v>0.6</v>
      </c>
      <c r="Z20" s="309">
        <v>54</v>
      </c>
      <c r="AA20" s="309">
        <v>33</v>
      </c>
      <c r="AB20" s="309" t="s">
        <v>741</v>
      </c>
      <c r="AC20" s="310"/>
      <c r="AD20" s="273" t="s">
        <v>734</v>
      </c>
      <c r="AE20" s="309">
        <v>0.23</v>
      </c>
      <c r="AF20" s="309">
        <v>0.28000000000000003</v>
      </c>
      <c r="AG20" s="309">
        <v>0.46</v>
      </c>
      <c r="AH20" s="310" t="s">
        <v>769</v>
      </c>
      <c r="AI20" s="273" t="str">
        <f t="shared" si="0"/>
        <v>SG-52</v>
      </c>
      <c r="AJ20" s="309">
        <f t="shared" si="0"/>
        <v>0.6</v>
      </c>
      <c r="AK20" s="309">
        <f t="shared" si="0"/>
        <v>54</v>
      </c>
      <c r="AL20" s="309">
        <f t="shared" si="0"/>
        <v>33</v>
      </c>
      <c r="AM20" s="309" t="str">
        <f t="shared" si="0"/>
        <v>E8/16/E8/14/E8</v>
      </c>
      <c r="AN20" s="310"/>
    </row>
    <row r="21" spans="1:40" x14ac:dyDescent="0.2">
      <c r="A21" s="448" t="s">
        <v>228</v>
      </c>
      <c r="B21" s="466" t="s">
        <v>200</v>
      </c>
      <c r="C21" s="467">
        <f>IF(AND($I$20=TRUE,OR('Pos. 5'!$Z$10='Sprachen &amp; Rückgabewerte(5)'!$B$10,'Pos. 5'!$Z$10='Sprachen &amp; Rückgabewerte(5)'!$B$11)),1,0)</f>
        <v>0</v>
      </c>
      <c r="D21" s="273" t="s">
        <v>27</v>
      </c>
      <c r="E21" s="309" t="s">
        <v>692</v>
      </c>
      <c r="F21" s="309" t="s">
        <v>28</v>
      </c>
      <c r="G21" s="310" t="s">
        <v>125</v>
      </c>
      <c r="H21" s="448" t="str">
        <f t="shared" si="1"/>
        <v>Stk.</v>
      </c>
      <c r="I21" s="454"/>
      <c r="X21" s="273" t="s">
        <v>735</v>
      </c>
      <c r="Y21" s="309">
        <v>0.5</v>
      </c>
      <c r="Z21" s="309">
        <v>55</v>
      </c>
      <c r="AA21" s="309" t="s">
        <v>831</v>
      </c>
      <c r="AB21" s="309" t="s">
        <v>742</v>
      </c>
      <c r="AC21" s="310"/>
      <c r="AD21" s="273" t="s">
        <v>735</v>
      </c>
      <c r="AE21" s="309">
        <v>0.23</v>
      </c>
      <c r="AF21" s="309">
        <v>0.28999999999999998</v>
      </c>
      <c r="AG21" s="309">
        <v>0.45</v>
      </c>
      <c r="AH21" s="310" t="s">
        <v>770</v>
      </c>
      <c r="AI21" s="273" t="str">
        <f t="shared" si="0"/>
        <v>SG-53</v>
      </c>
      <c r="AJ21" s="309">
        <f t="shared" si="0"/>
        <v>0.5</v>
      </c>
      <c r="AK21" s="309">
        <f t="shared" si="0"/>
        <v>55</v>
      </c>
      <c r="AL21" s="309" t="str">
        <f t="shared" si="0"/>
        <v>32/34</v>
      </c>
      <c r="AM21" s="309" t="str">
        <f t="shared" si="0"/>
        <v>V-W8-2/16/E6/16/E6</v>
      </c>
      <c r="AN21" s="310"/>
    </row>
    <row r="22" spans="1:40" x14ac:dyDescent="0.2">
      <c r="A22" s="448"/>
      <c r="B22" s="466" t="s">
        <v>201</v>
      </c>
      <c r="C22" s="467">
        <f>IF(AND($I$20=TRUE,OR('Pos. 5'!$AD$10='Sprachen &amp; Rückgabewerte(5)'!$B$10,'Pos. 5'!$AD$10='Sprachen &amp; Rückgabewerte(5)'!$B$11)),1,0)</f>
        <v>0</v>
      </c>
      <c r="D22" s="273" t="s">
        <v>29</v>
      </c>
      <c r="E22" s="309" t="s">
        <v>312</v>
      </c>
      <c r="F22" s="309" t="s">
        <v>311</v>
      </c>
      <c r="G22" s="310" t="s">
        <v>468</v>
      </c>
      <c r="H22" s="448" t="str">
        <f t="shared" si="1"/>
        <v>geforderte Klassen:</v>
      </c>
      <c r="I22" s="454" t="b">
        <v>0</v>
      </c>
      <c r="X22" s="273" t="s">
        <v>736</v>
      </c>
      <c r="Y22" s="309">
        <v>0.6</v>
      </c>
      <c r="Z22" s="309">
        <v>54</v>
      </c>
      <c r="AA22" s="309" t="s">
        <v>830</v>
      </c>
      <c r="AB22" s="309" t="s">
        <v>743</v>
      </c>
      <c r="AC22" s="310"/>
      <c r="AD22" s="273" t="s">
        <v>736</v>
      </c>
      <c r="AE22" s="309">
        <v>0.23</v>
      </c>
      <c r="AF22" s="309">
        <v>0.28000000000000003</v>
      </c>
      <c r="AG22" s="309">
        <v>0.45</v>
      </c>
      <c r="AH22" s="310" t="s">
        <v>771</v>
      </c>
      <c r="AI22" s="273" t="str">
        <f t="shared" si="0"/>
        <v>SG-54</v>
      </c>
      <c r="AJ22" s="309">
        <f t="shared" si="0"/>
        <v>0.6</v>
      </c>
      <c r="AK22" s="309">
        <f t="shared" si="0"/>
        <v>54</v>
      </c>
      <c r="AL22" s="309" t="str">
        <f t="shared" si="0"/>
        <v>31/33</v>
      </c>
      <c r="AM22" s="309" t="str">
        <f t="shared" si="0"/>
        <v>V-W8-2/14/E8/14/E8</v>
      </c>
      <c r="AN22" s="310"/>
    </row>
    <row r="23" spans="1:40" x14ac:dyDescent="0.2">
      <c r="A23" s="368">
        <v>1</v>
      </c>
      <c r="B23" s="466" t="s">
        <v>202</v>
      </c>
      <c r="C23" s="467">
        <f>IF(AND($I$20=TRUE,OR('Pos. 5'!$AH$10='Sprachen &amp; Rückgabewerte(5)'!$B$10,'Pos. 5'!$AH$10='Sprachen &amp; Rückgabewerte(5)'!$B$11)),1,0)</f>
        <v>0</v>
      </c>
      <c r="D23" s="6" t="s">
        <v>118</v>
      </c>
      <c r="E23" s="7" t="s">
        <v>119</v>
      </c>
      <c r="F23" s="7" t="s">
        <v>120</v>
      </c>
      <c r="G23" s="8" t="s">
        <v>323</v>
      </c>
      <c r="H23" s="448" t="str">
        <f t="shared" si="1"/>
        <v>(Schlagregen, Luftdurchlässigkeit)</v>
      </c>
      <c r="I23" s="454"/>
      <c r="X23" s="273" t="s">
        <v>737</v>
      </c>
      <c r="Y23" s="309">
        <v>0.6</v>
      </c>
      <c r="Z23" s="309">
        <v>53</v>
      </c>
      <c r="AA23" s="309">
        <v>25</v>
      </c>
      <c r="AB23" s="309" t="s">
        <v>744</v>
      </c>
      <c r="AC23" s="310"/>
      <c r="AD23" s="273" t="s">
        <v>737</v>
      </c>
      <c r="AE23" s="309">
        <v>0.22</v>
      </c>
      <c r="AF23" s="309">
        <v>0.23</v>
      </c>
      <c r="AG23" s="309">
        <v>0.45</v>
      </c>
      <c r="AH23" s="310" t="s">
        <v>772</v>
      </c>
      <c r="AI23" s="273" t="str">
        <f t="shared" si="0"/>
        <v>SG-55</v>
      </c>
      <c r="AJ23" s="309">
        <f t="shared" si="0"/>
        <v>0.6</v>
      </c>
      <c r="AK23" s="309">
        <f t="shared" si="0"/>
        <v>53</v>
      </c>
      <c r="AL23" s="309">
        <f t="shared" si="0"/>
        <v>25</v>
      </c>
      <c r="AM23" s="309" t="str">
        <f t="shared" si="0"/>
        <v xml:space="preserve">E6/14/V-T12-2/14/E6 </v>
      </c>
      <c r="AN23" s="310"/>
    </row>
    <row r="24" spans="1:40" ht="13.5" thickBot="1" x14ac:dyDescent="0.25">
      <c r="A24" s="472">
        <v>2</v>
      </c>
      <c r="B24" s="466" t="s">
        <v>203</v>
      </c>
      <c r="C24" s="467">
        <f>IF(AND($I$20=TRUE,OR('Pos. 5'!$AL$10='Sprachen &amp; Rückgabewerte(5)'!$B$10,'Pos. 5'!$AL$10='Sprachen &amp; Rückgabewerte(5)'!$B$11)),1,0)</f>
        <v>0</v>
      </c>
      <c r="D24" s="273" t="s">
        <v>111</v>
      </c>
      <c r="E24" s="309" t="s">
        <v>112</v>
      </c>
      <c r="F24" s="309" t="s">
        <v>113</v>
      </c>
      <c r="G24" s="310" t="s">
        <v>114</v>
      </c>
      <c r="H24" s="448" t="str">
        <f t="shared" si="1"/>
        <v>Speziell:</v>
      </c>
      <c r="I24" s="454"/>
      <c r="X24" s="273" t="s">
        <v>738</v>
      </c>
      <c r="Y24" s="309">
        <v>0.6</v>
      </c>
      <c r="Z24" s="309">
        <v>54</v>
      </c>
      <c r="AA24" s="309">
        <v>26</v>
      </c>
      <c r="AB24" s="309" t="s">
        <v>745</v>
      </c>
      <c r="AC24" s="310"/>
      <c r="AD24" s="273" t="s">
        <v>738</v>
      </c>
      <c r="AE24" s="309">
        <v>0.23</v>
      </c>
      <c r="AF24" s="309">
        <v>0.23</v>
      </c>
      <c r="AG24" s="309">
        <v>0.45</v>
      </c>
      <c r="AH24" s="310" t="s">
        <v>773</v>
      </c>
      <c r="AI24" s="273" t="str">
        <f t="shared" si="0"/>
        <v>SG-56</v>
      </c>
      <c r="AJ24" s="309">
        <f t="shared" si="0"/>
        <v>0.6</v>
      </c>
      <c r="AK24" s="309">
        <f t="shared" si="0"/>
        <v>54</v>
      </c>
      <c r="AL24" s="309">
        <f t="shared" si="0"/>
        <v>26</v>
      </c>
      <c r="AM24" s="309" t="str">
        <f t="shared" si="0"/>
        <v>E8/14/V-W8-2/14/E8</v>
      </c>
      <c r="AN24" s="310"/>
    </row>
    <row r="25" spans="1:40" ht="13.5" thickBot="1" x14ac:dyDescent="0.25">
      <c r="B25" s="473" t="s">
        <v>204</v>
      </c>
      <c r="C25" s="470">
        <f>IF(AND($I$20=TRUE,OR('Pos. 5'!$AP$10='Sprachen &amp; Rückgabewerte(5)'!$B$10,'Pos. 5'!$AP$10='Sprachen &amp; Rückgabewerte(5)'!$B$11)),1,0)</f>
        <v>0</v>
      </c>
      <c r="D25" s="273" t="s">
        <v>30</v>
      </c>
      <c r="E25" s="309" t="s">
        <v>30</v>
      </c>
      <c r="F25" s="309" t="s">
        <v>30</v>
      </c>
      <c r="G25" s="310" t="s">
        <v>30</v>
      </c>
      <c r="H25" s="448" t="str">
        <f t="shared" si="1"/>
        <v>Pool</v>
      </c>
      <c r="I25" s="454" t="b">
        <v>0</v>
      </c>
      <c r="X25" s="273" t="s">
        <v>739</v>
      </c>
      <c r="Y25" s="309">
        <v>0.5</v>
      </c>
      <c r="Z25" s="309">
        <v>53</v>
      </c>
      <c r="AA25" s="309" t="s">
        <v>829</v>
      </c>
      <c r="AB25" s="309" t="s">
        <v>747</v>
      </c>
      <c r="AC25" s="310"/>
      <c r="AD25" s="273" t="s">
        <v>739</v>
      </c>
      <c r="AE25" s="309">
        <v>0.22</v>
      </c>
      <c r="AF25" s="309">
        <v>0.28000000000000003</v>
      </c>
      <c r="AG25" s="309">
        <v>0.45</v>
      </c>
      <c r="AH25" s="310" t="s">
        <v>774</v>
      </c>
      <c r="AI25" s="474" t="str">
        <f t="shared" si="0"/>
        <v>SG-57</v>
      </c>
      <c r="AJ25" s="475">
        <f t="shared" si="0"/>
        <v>0.5</v>
      </c>
      <c r="AK25" s="475">
        <f t="shared" si="0"/>
        <v>53</v>
      </c>
      <c r="AL25" s="475" t="str">
        <f t="shared" si="0"/>
        <v>32/31</v>
      </c>
      <c r="AM25" s="475" t="str">
        <f t="shared" si="0"/>
        <v xml:space="preserve">V-W-8P/12/E6/12/V-T12-P </v>
      </c>
      <c r="AN25" s="476"/>
    </row>
    <row r="26" spans="1:40" ht="13.5" thickBot="1" x14ac:dyDescent="0.25">
      <c r="D26" s="273" t="s">
        <v>115</v>
      </c>
      <c r="E26" s="309" t="s">
        <v>707</v>
      </c>
      <c r="F26" s="309" t="s">
        <v>708</v>
      </c>
      <c r="G26" s="310" t="s">
        <v>324</v>
      </c>
      <c r="H26" s="448" t="str">
        <f t="shared" si="1"/>
        <v>Schallschutz</v>
      </c>
      <c r="I26" s="454" t="b">
        <v>0</v>
      </c>
      <c r="X26" s="273">
        <v>0</v>
      </c>
      <c r="Y26" s="309">
        <v>0</v>
      </c>
      <c r="Z26" s="309">
        <v>0</v>
      </c>
      <c r="AA26" s="309">
        <v>0</v>
      </c>
      <c r="AB26" s="309" t="str">
        <f>$H$54</f>
        <v>Glastyp wählen</v>
      </c>
      <c r="AC26" s="310"/>
      <c r="AD26" s="326">
        <v>0</v>
      </c>
      <c r="AE26" s="477">
        <v>0</v>
      </c>
      <c r="AF26" s="477">
        <v>0</v>
      </c>
      <c r="AG26" s="477">
        <v>0</v>
      </c>
      <c r="AH26" s="310" t="str">
        <f>$H$54</f>
        <v>Glastyp wählen</v>
      </c>
      <c r="AI26" s="273">
        <f t="shared" ref="AI26:AM41" si="2">IF($I$125=TRUE,AD26,X26)</f>
        <v>0</v>
      </c>
      <c r="AJ26" s="309">
        <f t="shared" si="2"/>
        <v>0</v>
      </c>
      <c r="AK26" s="309">
        <f t="shared" si="2"/>
        <v>0</v>
      </c>
      <c r="AL26" s="309">
        <f t="shared" si="2"/>
        <v>0</v>
      </c>
      <c r="AM26" s="309" t="str">
        <f t="shared" si="2"/>
        <v>Glastyp wählen</v>
      </c>
      <c r="AN26" s="310"/>
    </row>
    <row r="27" spans="1:40" x14ac:dyDescent="0.2">
      <c r="A27" s="57" t="s">
        <v>885</v>
      </c>
      <c r="B27" s="34" t="s">
        <v>205</v>
      </c>
      <c r="C27" s="371"/>
      <c r="D27" s="273" t="s">
        <v>116</v>
      </c>
      <c r="E27" s="309" t="s">
        <v>116</v>
      </c>
      <c r="F27" s="309" t="s">
        <v>116</v>
      </c>
      <c r="G27" s="310" t="s">
        <v>116</v>
      </c>
      <c r="H27" s="448" t="str">
        <f t="shared" si="1"/>
        <v>MINERGIE Modul</v>
      </c>
      <c r="I27" s="454" t="b">
        <v>0</v>
      </c>
      <c r="X27" s="273" t="s">
        <v>789</v>
      </c>
      <c r="Y27" s="309">
        <v>1.1000000000000001</v>
      </c>
      <c r="Z27" s="309">
        <v>79</v>
      </c>
      <c r="AA27" s="309">
        <v>61</v>
      </c>
      <c r="AB27" s="309" t="s">
        <v>805</v>
      </c>
      <c r="AC27" s="310"/>
      <c r="AD27" s="326" t="s">
        <v>775</v>
      </c>
      <c r="AE27" s="477">
        <v>0.23</v>
      </c>
      <c r="AF27" s="477">
        <v>0.26</v>
      </c>
      <c r="AG27" s="477">
        <v>0.38</v>
      </c>
      <c r="AH27" s="310" t="s">
        <v>776</v>
      </c>
      <c r="AI27" s="273" t="str">
        <f t="shared" si="2"/>
        <v>SG-61</v>
      </c>
      <c r="AJ27" s="309">
        <f t="shared" si="2"/>
        <v>1.1000000000000001</v>
      </c>
      <c r="AK27" s="309">
        <f t="shared" si="2"/>
        <v>79</v>
      </c>
      <c r="AL27" s="309">
        <f t="shared" si="2"/>
        <v>61</v>
      </c>
      <c r="AM27" s="309" t="str">
        <f t="shared" si="2"/>
        <v>E10/18/E10</v>
      </c>
      <c r="AN27" s="310"/>
    </row>
    <row r="28" spans="1:40" x14ac:dyDescent="0.2">
      <c r="A28" s="367"/>
      <c r="B28" s="317" t="s">
        <v>206</v>
      </c>
      <c r="C28" s="363" t="str">
        <f>IF($I$17=TRUE,"P","")</f>
        <v/>
      </c>
      <c r="D28" s="273" t="s">
        <v>117</v>
      </c>
      <c r="E28" s="309" t="s">
        <v>117</v>
      </c>
      <c r="F28" s="309" t="s">
        <v>117</v>
      </c>
      <c r="G28" s="310" t="s">
        <v>117</v>
      </c>
      <c r="H28" s="448" t="str">
        <f t="shared" si="1"/>
        <v>MINERGIE-P Modul</v>
      </c>
      <c r="I28" s="454" t="b">
        <v>0</v>
      </c>
      <c r="X28" s="273" t="s">
        <v>791</v>
      </c>
      <c r="Y28" s="309">
        <v>1.1000000000000001</v>
      </c>
      <c r="Z28" s="309">
        <v>77</v>
      </c>
      <c r="AA28" s="309">
        <v>61</v>
      </c>
      <c r="AB28" s="309" t="s">
        <v>806</v>
      </c>
      <c r="AC28" s="310"/>
      <c r="AD28" s="326" t="s">
        <v>777</v>
      </c>
      <c r="AE28" s="477">
        <v>0.23</v>
      </c>
      <c r="AF28" s="477">
        <v>0.26</v>
      </c>
      <c r="AG28" s="477">
        <v>0.37</v>
      </c>
      <c r="AH28" s="310" t="s">
        <v>778</v>
      </c>
      <c r="AI28" s="273" t="str">
        <f t="shared" si="2"/>
        <v>SG-62</v>
      </c>
      <c r="AJ28" s="309">
        <f t="shared" si="2"/>
        <v>1.1000000000000001</v>
      </c>
      <c r="AK28" s="309">
        <f t="shared" si="2"/>
        <v>77</v>
      </c>
      <c r="AL28" s="309">
        <f t="shared" si="2"/>
        <v>61</v>
      </c>
      <c r="AM28" s="309" t="str">
        <f t="shared" si="2"/>
        <v>E10/14/V-W16-2</v>
      </c>
      <c r="AN28" s="310"/>
    </row>
    <row r="29" spans="1:40" x14ac:dyDescent="0.2">
      <c r="A29" s="368" t="s">
        <v>886</v>
      </c>
      <c r="B29" s="273" t="s">
        <v>207</v>
      </c>
      <c r="C29" s="467" t="str">
        <f>IF($I$18=TRUE,"R","")</f>
        <v/>
      </c>
      <c r="D29" s="273" t="s">
        <v>709</v>
      </c>
      <c r="E29" s="309" t="s">
        <v>709</v>
      </c>
      <c r="F29" s="309" t="s">
        <v>709</v>
      </c>
      <c r="G29" s="310" t="s">
        <v>709</v>
      </c>
      <c r="H29" s="448" t="str">
        <f t="shared" si="1"/>
        <v>Sky-Frame Gun</v>
      </c>
      <c r="I29" s="454" t="b">
        <v>0</v>
      </c>
      <c r="X29" s="273" t="s">
        <v>793</v>
      </c>
      <c r="Y29" s="309">
        <v>1</v>
      </c>
      <c r="Z29" s="309">
        <v>69</v>
      </c>
      <c r="AA29" s="309">
        <v>50</v>
      </c>
      <c r="AB29" s="309" t="s">
        <v>805</v>
      </c>
      <c r="AC29" s="310"/>
      <c r="AD29" s="326" t="s">
        <v>779</v>
      </c>
      <c r="AE29" s="477">
        <v>0.23</v>
      </c>
      <c r="AF29" s="477">
        <v>0.26</v>
      </c>
      <c r="AG29" s="477">
        <v>0.37</v>
      </c>
      <c r="AH29" s="310" t="s">
        <v>780</v>
      </c>
      <c r="AI29" s="273" t="str">
        <f t="shared" si="2"/>
        <v>SG-63</v>
      </c>
      <c r="AJ29" s="309">
        <f t="shared" si="2"/>
        <v>1</v>
      </c>
      <c r="AK29" s="309">
        <f t="shared" si="2"/>
        <v>69</v>
      </c>
      <c r="AL29" s="309">
        <f t="shared" si="2"/>
        <v>50</v>
      </c>
      <c r="AM29" s="309" t="str">
        <f t="shared" si="2"/>
        <v>E10/18/E10</v>
      </c>
      <c r="AN29" s="310"/>
    </row>
    <row r="30" spans="1:40" ht="13.5" thickBot="1" x14ac:dyDescent="0.25">
      <c r="A30" s="369" t="s">
        <v>887</v>
      </c>
      <c r="B30" s="473" t="s">
        <v>208</v>
      </c>
      <c r="C30" s="470" t="str">
        <f>IF($I$19=TRUE,"G","")</f>
        <v/>
      </c>
      <c r="D30" s="273" t="s">
        <v>31</v>
      </c>
      <c r="E30" s="309" t="s">
        <v>32</v>
      </c>
      <c r="F30" s="309" t="s">
        <v>33</v>
      </c>
      <c r="G30" s="310" t="s">
        <v>622</v>
      </c>
      <c r="H30" s="448" t="str">
        <f t="shared" si="1"/>
        <v>nach rechts</v>
      </c>
      <c r="I30" s="454" t="b">
        <v>0</v>
      </c>
      <c r="X30" s="273" t="s">
        <v>795</v>
      </c>
      <c r="Y30" s="309">
        <v>1</v>
      </c>
      <c r="Z30" s="309">
        <v>67</v>
      </c>
      <c r="AA30" s="309">
        <v>49</v>
      </c>
      <c r="AB30" s="309" t="s">
        <v>806</v>
      </c>
      <c r="AC30" s="310"/>
      <c r="AD30" s="273" t="s">
        <v>781</v>
      </c>
      <c r="AE30" s="309">
        <v>0.23</v>
      </c>
      <c r="AF30" s="309">
        <v>0.26</v>
      </c>
      <c r="AG30" s="309">
        <v>0.36</v>
      </c>
      <c r="AH30" s="310" t="s">
        <v>782</v>
      </c>
      <c r="AI30" s="273" t="str">
        <f t="shared" si="2"/>
        <v>SG-64</v>
      </c>
      <c r="AJ30" s="309">
        <f t="shared" si="2"/>
        <v>1</v>
      </c>
      <c r="AK30" s="309">
        <f t="shared" si="2"/>
        <v>67</v>
      </c>
      <c r="AL30" s="309">
        <f t="shared" si="2"/>
        <v>49</v>
      </c>
      <c r="AM30" s="309" t="str">
        <f t="shared" si="2"/>
        <v>E10/14/V-W16-2</v>
      </c>
      <c r="AN30" s="310"/>
    </row>
    <row r="31" spans="1:40" ht="13.5" thickBot="1" x14ac:dyDescent="0.25">
      <c r="B31" s="478"/>
      <c r="C31" s="479"/>
      <c r="D31" s="466" t="s">
        <v>34</v>
      </c>
      <c r="E31" s="309" t="s">
        <v>35</v>
      </c>
      <c r="F31" s="309" t="s">
        <v>36</v>
      </c>
      <c r="G31" s="310" t="s">
        <v>623</v>
      </c>
      <c r="H31" s="448" t="str">
        <f t="shared" si="1"/>
        <v>nach links</v>
      </c>
      <c r="I31" s="454" t="b">
        <v>0</v>
      </c>
      <c r="X31" s="273" t="s">
        <v>807</v>
      </c>
      <c r="Y31" s="309">
        <v>1</v>
      </c>
      <c r="Z31" s="309">
        <v>70</v>
      </c>
      <c r="AA31" s="309">
        <v>55</v>
      </c>
      <c r="AB31" s="309" t="s">
        <v>808</v>
      </c>
      <c r="AC31" s="310"/>
      <c r="AD31" s="326" t="s">
        <v>783</v>
      </c>
      <c r="AE31" s="477">
        <v>0.22</v>
      </c>
      <c r="AF31" s="477">
        <v>0.19</v>
      </c>
      <c r="AG31" s="477">
        <v>0.37</v>
      </c>
      <c r="AH31" s="310" t="s">
        <v>784</v>
      </c>
      <c r="AI31" s="273" t="str">
        <f t="shared" si="2"/>
        <v>SG-65</v>
      </c>
      <c r="AJ31" s="309">
        <f t="shared" si="2"/>
        <v>1</v>
      </c>
      <c r="AK31" s="309">
        <f t="shared" si="2"/>
        <v>70</v>
      </c>
      <c r="AL31" s="309">
        <f t="shared" si="2"/>
        <v>55</v>
      </c>
      <c r="AM31" s="309" t="str">
        <f t="shared" si="2"/>
        <v>GUN-BR4-12-NS</v>
      </c>
      <c r="AN31" s="310"/>
    </row>
    <row r="32" spans="1:40" x14ac:dyDescent="0.2">
      <c r="B32" s="34" t="s">
        <v>214</v>
      </c>
      <c r="C32" s="34"/>
      <c r="D32" s="466" t="s">
        <v>37</v>
      </c>
      <c r="E32" s="309" t="s">
        <v>38</v>
      </c>
      <c r="F32" s="309" t="s">
        <v>39</v>
      </c>
      <c r="G32" s="310" t="s">
        <v>126</v>
      </c>
      <c r="H32" s="448" t="str">
        <f t="shared" si="1"/>
        <v>Breite =</v>
      </c>
      <c r="I32" s="454"/>
      <c r="X32" s="273">
        <v>0</v>
      </c>
      <c r="Y32" s="309">
        <v>0</v>
      </c>
      <c r="Z32" s="309">
        <v>0</v>
      </c>
      <c r="AA32" s="309">
        <v>0</v>
      </c>
      <c r="AB32" s="309" t="str">
        <f>$H$54</f>
        <v>Glastyp wählen</v>
      </c>
      <c r="AC32" s="310"/>
      <c r="AD32" s="326" t="s">
        <v>785</v>
      </c>
      <c r="AE32" s="477">
        <v>0.23</v>
      </c>
      <c r="AF32" s="477">
        <v>0.19</v>
      </c>
      <c r="AG32" s="477">
        <v>0.37</v>
      </c>
      <c r="AH32" s="310" t="s">
        <v>786</v>
      </c>
      <c r="AI32" s="273">
        <f t="shared" si="2"/>
        <v>0</v>
      </c>
      <c r="AJ32" s="309">
        <f t="shared" si="2"/>
        <v>0</v>
      </c>
      <c r="AK32" s="309">
        <f t="shared" si="2"/>
        <v>0</v>
      </c>
      <c r="AL32" s="309">
        <f t="shared" si="2"/>
        <v>0</v>
      </c>
      <c r="AM32" s="309" t="str">
        <f t="shared" si="2"/>
        <v>Glastyp wählen</v>
      </c>
      <c r="AN32" s="310"/>
    </row>
    <row r="33" spans="1:40" x14ac:dyDescent="0.2">
      <c r="B33" s="317"/>
      <c r="C33" s="325"/>
      <c r="D33" s="273" t="s">
        <v>129</v>
      </c>
      <c r="E33" s="309" t="s">
        <v>128</v>
      </c>
      <c r="F33" s="309" t="s">
        <v>40</v>
      </c>
      <c r="G33" s="310" t="s">
        <v>127</v>
      </c>
      <c r="H33" s="448" t="str">
        <f t="shared" si="1"/>
        <v>Griffhöhe:</v>
      </c>
      <c r="I33" s="454"/>
      <c r="X33" s="273">
        <v>0</v>
      </c>
      <c r="Y33" s="309">
        <v>0</v>
      </c>
      <c r="Z33" s="309">
        <v>0</v>
      </c>
      <c r="AA33" s="309">
        <v>0</v>
      </c>
      <c r="AB33" s="309" t="str">
        <f t="shared" ref="AB33:AB45" si="3">$H$54</f>
        <v>Glastyp wählen</v>
      </c>
      <c r="AC33" s="310"/>
      <c r="AD33" s="326" t="s">
        <v>787</v>
      </c>
      <c r="AE33" s="477">
        <v>0.22</v>
      </c>
      <c r="AF33" s="477">
        <v>0.25</v>
      </c>
      <c r="AG33" s="477">
        <v>0.36</v>
      </c>
      <c r="AH33" s="310" t="s">
        <v>788</v>
      </c>
      <c r="AI33" s="273">
        <f t="shared" si="2"/>
        <v>0</v>
      </c>
      <c r="AJ33" s="309">
        <f t="shared" si="2"/>
        <v>0</v>
      </c>
      <c r="AK33" s="309">
        <f t="shared" si="2"/>
        <v>0</v>
      </c>
      <c r="AL33" s="309">
        <f t="shared" si="2"/>
        <v>0</v>
      </c>
      <c r="AM33" s="309" t="str">
        <f t="shared" si="2"/>
        <v>Glastyp wählen</v>
      </c>
      <c r="AN33" s="310"/>
    </row>
    <row r="34" spans="1:40" ht="13.5" thickBot="1" x14ac:dyDescent="0.25">
      <c r="B34" s="480" t="s">
        <v>215</v>
      </c>
      <c r="C34" s="380"/>
      <c r="D34" s="273" t="s">
        <v>41</v>
      </c>
      <c r="E34" s="309" t="s">
        <v>42</v>
      </c>
      <c r="F34" s="309" t="s">
        <v>43</v>
      </c>
      <c r="G34" s="310" t="s">
        <v>130</v>
      </c>
      <c r="H34" s="448" t="str">
        <f t="shared" si="1"/>
        <v xml:space="preserve">Höhe = </v>
      </c>
      <c r="I34" s="454"/>
      <c r="X34" s="273">
        <v>0</v>
      </c>
      <c r="Y34" s="309">
        <v>0</v>
      </c>
      <c r="Z34" s="309">
        <v>0</v>
      </c>
      <c r="AA34" s="309">
        <v>0</v>
      </c>
      <c r="AB34" s="309" t="str">
        <f>$H$54</f>
        <v>Glastyp wählen</v>
      </c>
      <c r="AC34" s="221"/>
      <c r="AD34" s="273">
        <v>0</v>
      </c>
      <c r="AE34" s="309">
        <v>0</v>
      </c>
      <c r="AF34" s="309">
        <v>0</v>
      </c>
      <c r="AG34" s="309">
        <v>0</v>
      </c>
      <c r="AH34" s="310" t="str">
        <f>$H$54</f>
        <v>Glastyp wählen</v>
      </c>
      <c r="AI34" s="273">
        <f t="shared" si="2"/>
        <v>0</v>
      </c>
      <c r="AJ34" s="309">
        <f t="shared" si="2"/>
        <v>0</v>
      </c>
      <c r="AK34" s="309">
        <f t="shared" si="2"/>
        <v>0</v>
      </c>
      <c r="AL34" s="309">
        <f t="shared" si="2"/>
        <v>0</v>
      </c>
      <c r="AM34" s="309" t="str">
        <f t="shared" si="2"/>
        <v>Glastyp wählen</v>
      </c>
      <c r="AN34" s="310"/>
    </row>
    <row r="35" spans="1:40" ht="13.5" thickBot="1" x14ac:dyDescent="0.25">
      <c r="D35" s="273" t="s">
        <v>44</v>
      </c>
      <c r="E35" s="309" t="s">
        <v>45</v>
      </c>
      <c r="F35" s="309" t="s">
        <v>45</v>
      </c>
      <c r="G35" s="310" t="s">
        <v>131</v>
      </c>
      <c r="H35" s="448" t="str">
        <f t="shared" si="1"/>
        <v>Oberfläche:</v>
      </c>
      <c r="I35" s="454"/>
      <c r="X35" s="273">
        <v>0</v>
      </c>
      <c r="Y35" s="309">
        <v>0</v>
      </c>
      <c r="Z35" s="309">
        <v>0</v>
      </c>
      <c r="AA35" s="309">
        <v>0</v>
      </c>
      <c r="AB35" s="309" t="str">
        <f t="shared" si="3"/>
        <v>Glastyp wählen</v>
      </c>
      <c r="AC35" s="310"/>
      <c r="AD35" s="326" t="s">
        <v>789</v>
      </c>
      <c r="AE35" s="477">
        <v>0.35</v>
      </c>
      <c r="AF35" s="477">
        <v>0.47</v>
      </c>
      <c r="AG35" s="477">
        <v>0.65</v>
      </c>
      <c r="AH35" s="310" t="s">
        <v>790</v>
      </c>
      <c r="AI35" s="273">
        <f t="shared" si="2"/>
        <v>0</v>
      </c>
      <c r="AJ35" s="309">
        <f t="shared" si="2"/>
        <v>0</v>
      </c>
      <c r="AK35" s="309">
        <f t="shared" si="2"/>
        <v>0</v>
      </c>
      <c r="AL35" s="309">
        <f t="shared" si="2"/>
        <v>0</v>
      </c>
      <c r="AM35" s="309" t="str">
        <f t="shared" si="2"/>
        <v>Glastyp wählen</v>
      </c>
      <c r="AN35" s="310"/>
    </row>
    <row r="36" spans="1:40" x14ac:dyDescent="0.2">
      <c r="B36" s="34" t="s">
        <v>216</v>
      </c>
      <c r="C36" s="34"/>
      <c r="D36" s="273" t="s">
        <v>46</v>
      </c>
      <c r="E36" s="309" t="s">
        <v>47</v>
      </c>
      <c r="F36" s="309" t="s">
        <v>133</v>
      </c>
      <c r="G36" s="310" t="s">
        <v>132</v>
      </c>
      <c r="H36" s="448" t="str">
        <f t="shared" si="1"/>
        <v>eloxiert (Qualanod):</v>
      </c>
      <c r="I36" s="454" t="b">
        <v>0</v>
      </c>
      <c r="X36" s="273">
        <v>0</v>
      </c>
      <c r="Y36" s="309">
        <v>0</v>
      </c>
      <c r="Z36" s="309">
        <v>0</v>
      </c>
      <c r="AA36" s="309">
        <v>0</v>
      </c>
      <c r="AB36" s="309" t="str">
        <f t="shared" si="3"/>
        <v>Glastyp wählen</v>
      </c>
      <c r="AC36" s="310"/>
      <c r="AD36" s="326" t="s">
        <v>791</v>
      </c>
      <c r="AE36" s="477">
        <v>0.34</v>
      </c>
      <c r="AF36" s="477">
        <v>0.47</v>
      </c>
      <c r="AG36" s="477">
        <v>0.63</v>
      </c>
      <c r="AH36" s="310" t="s">
        <v>792</v>
      </c>
      <c r="AI36" s="273">
        <f t="shared" si="2"/>
        <v>0</v>
      </c>
      <c r="AJ36" s="309">
        <f t="shared" si="2"/>
        <v>0</v>
      </c>
      <c r="AK36" s="309">
        <f t="shared" si="2"/>
        <v>0</v>
      </c>
      <c r="AL36" s="309">
        <f t="shared" si="2"/>
        <v>0</v>
      </c>
      <c r="AM36" s="309" t="str">
        <f t="shared" si="2"/>
        <v>Glastyp wählen</v>
      </c>
      <c r="AN36" s="310"/>
    </row>
    <row r="37" spans="1:40" x14ac:dyDescent="0.2">
      <c r="B37" s="317" t="s">
        <v>218</v>
      </c>
      <c r="C37" s="325" t="b">
        <v>1</v>
      </c>
      <c r="D37" s="273" t="s">
        <v>48</v>
      </c>
      <c r="E37" s="309" t="s">
        <v>134</v>
      </c>
      <c r="F37" s="309" t="s">
        <v>134</v>
      </c>
      <c r="G37" s="310" t="s">
        <v>134</v>
      </c>
      <c r="H37" s="448" t="str">
        <f t="shared" si="1"/>
        <v>20 my (Standard)</v>
      </c>
      <c r="I37" s="454"/>
      <c r="X37" s="273">
        <v>0</v>
      </c>
      <c r="Y37" s="309">
        <v>0</v>
      </c>
      <c r="Z37" s="309">
        <v>0</v>
      </c>
      <c r="AA37" s="309">
        <v>0</v>
      </c>
      <c r="AB37" s="309" t="str">
        <f t="shared" si="3"/>
        <v>Glastyp wählen</v>
      </c>
      <c r="AC37" s="310"/>
      <c r="AD37" s="326" t="s">
        <v>793</v>
      </c>
      <c r="AE37" s="477">
        <v>0.34</v>
      </c>
      <c r="AF37" s="477">
        <v>0.4</v>
      </c>
      <c r="AG37" s="477">
        <v>0.56999999999999995</v>
      </c>
      <c r="AH37" s="310" t="s">
        <v>794</v>
      </c>
      <c r="AI37" s="273">
        <f t="shared" si="2"/>
        <v>0</v>
      </c>
      <c r="AJ37" s="309">
        <f t="shared" si="2"/>
        <v>0</v>
      </c>
      <c r="AK37" s="309">
        <f t="shared" si="2"/>
        <v>0</v>
      </c>
      <c r="AL37" s="309">
        <f t="shared" si="2"/>
        <v>0</v>
      </c>
      <c r="AM37" s="309" t="str">
        <f t="shared" si="2"/>
        <v>Glastyp wählen</v>
      </c>
      <c r="AN37" s="310"/>
    </row>
    <row r="38" spans="1:40" x14ac:dyDescent="0.2">
      <c r="B38" s="273" t="s">
        <v>217</v>
      </c>
      <c r="C38" s="310" t="b">
        <v>1</v>
      </c>
      <c r="D38" s="273" t="s">
        <v>49</v>
      </c>
      <c r="E38" s="309" t="s">
        <v>50</v>
      </c>
      <c r="F38" s="309" t="s">
        <v>51</v>
      </c>
      <c r="G38" s="310" t="s">
        <v>325</v>
      </c>
      <c r="H38" s="448" t="str">
        <f t="shared" si="1"/>
        <v>25 my (Pool/Meer)</v>
      </c>
      <c r="I38" s="454"/>
      <c r="X38" s="273">
        <v>0</v>
      </c>
      <c r="Y38" s="309">
        <v>0</v>
      </c>
      <c r="Z38" s="309">
        <v>0</v>
      </c>
      <c r="AA38" s="309">
        <v>0</v>
      </c>
      <c r="AB38" s="309" t="str">
        <f t="shared" si="3"/>
        <v>Glastyp wählen</v>
      </c>
      <c r="AC38" s="310"/>
      <c r="AD38" s="326" t="s">
        <v>795</v>
      </c>
      <c r="AE38" s="477">
        <v>0.33</v>
      </c>
      <c r="AF38" s="477">
        <v>0.39</v>
      </c>
      <c r="AG38" s="477">
        <v>0.55000000000000004</v>
      </c>
      <c r="AH38" s="310" t="s">
        <v>796</v>
      </c>
      <c r="AI38" s="273">
        <f t="shared" si="2"/>
        <v>0</v>
      </c>
      <c r="AJ38" s="309">
        <f t="shared" si="2"/>
        <v>0</v>
      </c>
      <c r="AK38" s="309">
        <f t="shared" si="2"/>
        <v>0</v>
      </c>
      <c r="AL38" s="309">
        <f t="shared" si="2"/>
        <v>0</v>
      </c>
      <c r="AM38" s="309" t="str">
        <f t="shared" si="2"/>
        <v>Glastyp wählen</v>
      </c>
      <c r="AN38" s="310"/>
    </row>
    <row r="39" spans="1:40" ht="13.5" thickBot="1" x14ac:dyDescent="0.25">
      <c r="B39" s="273" t="s">
        <v>219</v>
      </c>
      <c r="C39" s="310" t="b">
        <v>0</v>
      </c>
      <c r="D39" s="273" t="s">
        <v>350</v>
      </c>
      <c r="E39" s="309" t="s">
        <v>351</v>
      </c>
      <c r="F39" s="309" t="s">
        <v>352</v>
      </c>
      <c r="G39" s="310" t="s">
        <v>353</v>
      </c>
      <c r="H39" s="448" t="str">
        <f t="shared" si="1"/>
        <v>pulverbeschichtet:</v>
      </c>
      <c r="I39" s="454" t="b">
        <v>0</v>
      </c>
      <c r="X39" s="273">
        <v>0</v>
      </c>
      <c r="Y39" s="309">
        <v>0</v>
      </c>
      <c r="Z39" s="309">
        <v>0</v>
      </c>
      <c r="AA39" s="309">
        <v>0</v>
      </c>
      <c r="AB39" s="309" t="str">
        <f t="shared" si="3"/>
        <v>Glastyp wählen</v>
      </c>
      <c r="AC39" s="310"/>
      <c r="AD39" s="326" t="s">
        <v>798</v>
      </c>
      <c r="AE39" s="477">
        <v>0.34</v>
      </c>
      <c r="AF39" s="477">
        <v>0.26</v>
      </c>
      <c r="AG39" s="477">
        <v>0.51</v>
      </c>
      <c r="AH39" s="310" t="s">
        <v>799</v>
      </c>
      <c r="AI39" s="273">
        <f t="shared" si="2"/>
        <v>0</v>
      </c>
      <c r="AJ39" s="309">
        <f t="shared" si="2"/>
        <v>0</v>
      </c>
      <c r="AK39" s="309">
        <f t="shared" si="2"/>
        <v>0</v>
      </c>
      <c r="AL39" s="309">
        <f t="shared" si="2"/>
        <v>0</v>
      </c>
      <c r="AM39" s="309" t="str">
        <f t="shared" si="2"/>
        <v>Glastyp wählen</v>
      </c>
      <c r="AN39" s="310"/>
    </row>
    <row r="40" spans="1:40" x14ac:dyDescent="0.2">
      <c r="A40" s="274" t="s">
        <v>684</v>
      </c>
      <c r="B40" s="273" t="s">
        <v>220</v>
      </c>
      <c r="C40" s="310" t="b">
        <v>0</v>
      </c>
      <c r="D40" s="273" t="s">
        <v>881</v>
      </c>
      <c r="E40" s="309" t="s">
        <v>882</v>
      </c>
      <c r="F40" s="309" t="s">
        <v>883</v>
      </c>
      <c r="G40" s="310" t="s">
        <v>884</v>
      </c>
      <c r="H40" s="448" t="str">
        <f t="shared" si="1"/>
        <v>Vorbehandlung:</v>
      </c>
      <c r="I40" s="454"/>
      <c r="K40" s="57" t="s">
        <v>430</v>
      </c>
      <c r="L40" s="370"/>
      <c r="M40" s="371"/>
      <c r="N40" s="541" t="s">
        <v>580</v>
      </c>
      <c r="O40" s="542"/>
      <c r="P40" s="543"/>
      <c r="Q40" s="57" t="s">
        <v>288</v>
      </c>
      <c r="R40" s="57" t="s">
        <v>488</v>
      </c>
      <c r="S40" s="57" t="s">
        <v>492</v>
      </c>
      <c r="U40" s="34" t="s">
        <v>682</v>
      </c>
      <c r="V40" s="35"/>
      <c r="X40" s="273">
        <v>0</v>
      </c>
      <c r="Y40" s="309">
        <v>0</v>
      </c>
      <c r="Z40" s="309">
        <v>0</v>
      </c>
      <c r="AA40" s="309">
        <v>0</v>
      </c>
      <c r="AB40" s="309" t="str">
        <f t="shared" si="3"/>
        <v>Glastyp wählen</v>
      </c>
      <c r="AC40" s="310"/>
      <c r="AD40" s="326" t="s">
        <v>800</v>
      </c>
      <c r="AE40" s="477">
        <v>0.33</v>
      </c>
      <c r="AF40" s="477">
        <v>0.26</v>
      </c>
      <c r="AG40" s="477">
        <v>0.5</v>
      </c>
      <c r="AH40" s="310" t="s">
        <v>801</v>
      </c>
      <c r="AI40" s="273">
        <f t="shared" si="2"/>
        <v>0</v>
      </c>
      <c r="AJ40" s="309">
        <f t="shared" si="2"/>
        <v>0</v>
      </c>
      <c r="AK40" s="309">
        <f t="shared" si="2"/>
        <v>0</v>
      </c>
      <c r="AL40" s="309">
        <f t="shared" si="2"/>
        <v>0</v>
      </c>
      <c r="AM40" s="309" t="str">
        <f t="shared" si="2"/>
        <v>Glastyp wählen</v>
      </c>
      <c r="AN40" s="310"/>
    </row>
    <row r="41" spans="1:40" x14ac:dyDescent="0.2">
      <c r="A41" s="465" t="b">
        <f>IF(C41=FALSE,TRUE,(IF(AND(C41=TRUE,'Pos. 5'!F72=""),FALSE,TRUE)))</f>
        <v>1</v>
      </c>
      <c r="B41" s="273" t="s">
        <v>710</v>
      </c>
      <c r="C41" s="310" t="b">
        <v>0</v>
      </c>
      <c r="D41" s="273" t="s">
        <v>52</v>
      </c>
      <c r="E41" s="309" t="s">
        <v>53</v>
      </c>
      <c r="F41" s="309" t="s">
        <v>54</v>
      </c>
      <c r="G41" s="481" t="s">
        <v>135</v>
      </c>
      <c r="H41" s="448" t="str">
        <f t="shared" si="1"/>
        <v>+Voranodisieren</v>
      </c>
      <c r="I41" s="454"/>
      <c r="K41" s="482" t="s">
        <v>431</v>
      </c>
      <c r="L41" s="276">
        <f>IF(OR($I$5=TRUE,$I$6=TRUE),1,0)</f>
        <v>0</v>
      </c>
      <c r="M41" s="483"/>
      <c r="N41" s="187" t="str">
        <f>CONCATENATE("Pos. ",'Pos. 5'!$B$2,".1")</f>
        <v>Pos. 5.1</v>
      </c>
      <c r="O41" s="188" t="b">
        <f>IF(AND('Pos. 5'!AW32&lt;&gt;"",'Pos. 5'!AX32&lt;&gt;""),TRUE,FALSE)</f>
        <v>0</v>
      </c>
      <c r="P41" s="189"/>
      <c r="Q41" s="367"/>
      <c r="R41" s="367"/>
      <c r="S41" s="272">
        <f>COUNTA('Pos. 5'!G20:AP20)</f>
        <v>0</v>
      </c>
      <c r="U41" s="484" t="b">
        <f>IF(L41=0,FALSE,TRUE)</f>
        <v>0</v>
      </c>
      <c r="V41" s="485">
        <f>IF(U41=FALSE,1,0)</f>
        <v>1</v>
      </c>
      <c r="X41" s="273">
        <v>0</v>
      </c>
      <c r="Y41" s="309">
        <v>0</v>
      </c>
      <c r="Z41" s="309">
        <v>0</v>
      </c>
      <c r="AA41" s="309">
        <v>0</v>
      </c>
      <c r="AB41" s="309" t="str">
        <f t="shared" si="3"/>
        <v>Glastyp wählen</v>
      </c>
      <c r="AC41" s="310"/>
      <c r="AD41" s="326" t="s">
        <v>797</v>
      </c>
      <c r="AE41" s="477">
        <v>0.34</v>
      </c>
      <c r="AF41" s="477">
        <v>0.22</v>
      </c>
      <c r="AG41" s="477">
        <v>0.42</v>
      </c>
      <c r="AH41" s="310" t="s">
        <v>802</v>
      </c>
      <c r="AI41" s="273">
        <f t="shared" si="2"/>
        <v>0</v>
      </c>
      <c r="AJ41" s="309">
        <f t="shared" si="2"/>
        <v>0</v>
      </c>
      <c r="AK41" s="309">
        <f t="shared" si="2"/>
        <v>0</v>
      </c>
      <c r="AL41" s="309">
        <f t="shared" si="2"/>
        <v>0</v>
      </c>
      <c r="AM41" s="309" t="str">
        <f t="shared" si="2"/>
        <v>Glastyp wählen</v>
      </c>
      <c r="AN41" s="310"/>
    </row>
    <row r="42" spans="1:40" x14ac:dyDescent="0.2">
      <c r="A42" s="448" t="b">
        <f>IF(C42=FALSE,TRUE,(IF(AND(C42=TRUE,'Pos. 5'!L72=""),FALSE,TRUE)))</f>
        <v>1</v>
      </c>
      <c r="B42" s="273" t="s">
        <v>711</v>
      </c>
      <c r="C42" s="310" t="b">
        <v>0</v>
      </c>
      <c r="D42" s="273" t="s">
        <v>55</v>
      </c>
      <c r="E42" s="309" t="s">
        <v>56</v>
      </c>
      <c r="F42" s="309" t="s">
        <v>57</v>
      </c>
      <c r="G42" s="310" t="s">
        <v>136</v>
      </c>
      <c r="H42" s="448" t="str">
        <f t="shared" si="1"/>
        <v>Glas-Typ: SG = "Sky-Glass"</v>
      </c>
      <c r="I42" s="454"/>
      <c r="K42" s="303" t="s">
        <v>432</v>
      </c>
      <c r="L42" s="279">
        <f>IF(AND('Pos. 5'!$Y$5&lt;&gt;"",'Pos. 5'!$Y$7&lt;&gt;"",'Pos. 5'!$Y$6&lt;&gt;""),1,0)</f>
        <v>0</v>
      </c>
      <c r="M42" s="486"/>
      <c r="N42" s="187" t="str">
        <f>CONCATENATE("Pos. ",'Pos. 5'!$B$2,".2")</f>
        <v>Pos. 5.2</v>
      </c>
      <c r="O42" s="188" t="b">
        <f>IF(AND('Pos. 5'!AW33&lt;&gt;"",'Pos. 5'!AX33&lt;&gt;""),TRUE,FALSE)</f>
        <v>0</v>
      </c>
      <c r="P42" s="191"/>
      <c r="Q42" s="487">
        <v>1</v>
      </c>
      <c r="R42" s="488" t="s">
        <v>486</v>
      </c>
      <c r="U42" s="303" t="b">
        <f t="shared" ref="U42:U47" si="4">IF(L42=0,FALSE,TRUE)</f>
        <v>0</v>
      </c>
      <c r="V42" s="489">
        <f t="shared" ref="V42:V79" si="5">IF(U42=FALSE,1,0)</f>
        <v>1</v>
      </c>
      <c r="X42" s="273">
        <v>0</v>
      </c>
      <c r="Y42" s="309">
        <v>0</v>
      </c>
      <c r="Z42" s="309">
        <v>0</v>
      </c>
      <c r="AA42" s="309">
        <v>0</v>
      </c>
      <c r="AB42" s="309" t="str">
        <f t="shared" si="3"/>
        <v>Glastyp wählen</v>
      </c>
      <c r="AC42" s="310"/>
      <c r="AD42" s="326" t="s">
        <v>803</v>
      </c>
      <c r="AE42" s="477">
        <v>0.33</v>
      </c>
      <c r="AF42" s="477">
        <v>0.22</v>
      </c>
      <c r="AG42" s="477">
        <v>0.4</v>
      </c>
      <c r="AH42" s="310" t="s">
        <v>804</v>
      </c>
      <c r="AI42" s="273">
        <f t="shared" ref="AI42:AM45" si="6">IF($I$125=TRUE,AD42,X42)</f>
        <v>0</v>
      </c>
      <c r="AJ42" s="309">
        <f t="shared" si="6"/>
        <v>0</v>
      </c>
      <c r="AK42" s="309">
        <f t="shared" si="6"/>
        <v>0</v>
      </c>
      <c r="AL42" s="309">
        <f t="shared" si="6"/>
        <v>0</v>
      </c>
      <c r="AM42" s="309" t="str">
        <f t="shared" si="6"/>
        <v>Glastyp wählen</v>
      </c>
      <c r="AN42" s="310"/>
    </row>
    <row r="43" spans="1:40" x14ac:dyDescent="0.2">
      <c r="A43" s="448" t="b">
        <f>TRUE</f>
        <v>1</v>
      </c>
      <c r="B43" s="273" t="s">
        <v>712</v>
      </c>
      <c r="C43" s="310" t="b">
        <v>0</v>
      </c>
      <c r="D43" s="273" t="s">
        <v>58</v>
      </c>
      <c r="E43" s="309" t="s">
        <v>59</v>
      </c>
      <c r="F43" s="309" t="s">
        <v>60</v>
      </c>
      <c r="G43" s="310" t="s">
        <v>137</v>
      </c>
      <c r="H43" s="448" t="str">
        <f t="shared" si="1"/>
        <v>Swisspacer-U schwarz</v>
      </c>
      <c r="I43" s="454" t="b">
        <v>0</v>
      </c>
      <c r="K43" s="303" t="s">
        <v>433</v>
      </c>
      <c r="L43" s="279">
        <f>IF(AND('Pos. 5'!$AJ$5&lt;&gt;"",'Pos. 5'!$AJ$6&lt;&gt;"",'Pos. 5'!$AJ$7&lt;&gt;""),1,0)</f>
        <v>0</v>
      </c>
      <c r="M43" s="486"/>
      <c r="N43" s="187" t="str">
        <f>CONCATENATE("Pos. ",'Pos. 5'!$B$2,".3")</f>
        <v>Pos. 5.3</v>
      </c>
      <c r="O43" s="188" t="b">
        <f>IF(AND('Pos. 5'!AW34&lt;&gt;"",'Pos. 5'!AX34&lt;&gt;""),TRUE,FALSE)</f>
        <v>0</v>
      </c>
      <c r="P43" s="191"/>
      <c r="Q43" s="368">
        <v>2</v>
      </c>
      <c r="R43" s="488" t="s">
        <v>487</v>
      </c>
      <c r="U43" s="303" t="b">
        <f t="shared" si="4"/>
        <v>0</v>
      </c>
      <c r="V43" s="489">
        <f t="shared" si="5"/>
        <v>1</v>
      </c>
      <c r="X43" s="273">
        <v>0</v>
      </c>
      <c r="Y43" s="309">
        <v>0</v>
      </c>
      <c r="Z43" s="309">
        <v>0</v>
      </c>
      <c r="AA43" s="309">
        <v>0</v>
      </c>
      <c r="AB43" s="309" t="str">
        <f t="shared" si="3"/>
        <v>Glastyp wählen</v>
      </c>
      <c r="AC43" s="310"/>
      <c r="AD43" s="326">
        <v>0</v>
      </c>
      <c r="AE43" s="477">
        <v>0</v>
      </c>
      <c r="AF43" s="477">
        <v>0</v>
      </c>
      <c r="AG43" s="477">
        <v>0</v>
      </c>
      <c r="AH43" s="310" t="str">
        <f>$H$54</f>
        <v>Glastyp wählen</v>
      </c>
      <c r="AI43" s="273">
        <f t="shared" si="6"/>
        <v>0</v>
      </c>
      <c r="AJ43" s="309">
        <f t="shared" si="6"/>
        <v>0</v>
      </c>
      <c r="AK43" s="309">
        <f t="shared" si="6"/>
        <v>0</v>
      </c>
      <c r="AL43" s="309">
        <f t="shared" si="6"/>
        <v>0</v>
      </c>
      <c r="AM43" s="309" t="str">
        <f t="shared" si="6"/>
        <v>Glastyp wählen</v>
      </c>
      <c r="AN43" s="310"/>
    </row>
    <row r="44" spans="1:40" x14ac:dyDescent="0.2">
      <c r="A44" s="448" t="b">
        <f>IF(C44=FALSE,TRUE,(IF(AND(C44=TRUE,'Pos. 5'!X72=""),FALSE,TRUE)))</f>
        <v>1</v>
      </c>
      <c r="B44" s="273" t="str">
        <f>IF('Pos. 5'!AB62="","321101/321101","400493/400493")</f>
        <v>321101/321101</v>
      </c>
      <c r="C44" s="310" t="b">
        <v>0</v>
      </c>
      <c r="D44" s="273" t="s">
        <v>61</v>
      </c>
      <c r="E44" s="309" t="s">
        <v>62</v>
      </c>
      <c r="F44" s="309" t="s">
        <v>63</v>
      </c>
      <c r="G44" s="310" t="s">
        <v>138</v>
      </c>
      <c r="H44" s="448" t="str">
        <f t="shared" si="1"/>
        <v>Swisspacer-U grau</v>
      </c>
      <c r="I44" s="454" t="b">
        <v>0</v>
      </c>
      <c r="K44" s="303" t="s">
        <v>434</v>
      </c>
      <c r="L44" s="279">
        <f>IF(OR($I$10=TRUE,$I$11=TRUE,$I$12=TRUE),1,0)</f>
        <v>0</v>
      </c>
      <c r="M44" s="486"/>
      <c r="N44" s="187" t="str">
        <f>CONCATENATE("Pos. ",'Pos. 5'!$B$2,".4")</f>
        <v>Pos. 5.4</v>
      </c>
      <c r="O44" s="188" t="b">
        <f>IF(AND('Pos. 5'!AW35&lt;&gt;"",'Pos. 5'!AX35&lt;&gt;""),TRUE,FALSE)</f>
        <v>0</v>
      </c>
      <c r="P44" s="191"/>
      <c r="Q44" s="368">
        <v>3</v>
      </c>
      <c r="U44" s="303" t="b">
        <f t="shared" si="4"/>
        <v>0</v>
      </c>
      <c r="V44" s="489">
        <f t="shared" si="5"/>
        <v>1</v>
      </c>
      <c r="X44" s="273">
        <v>0</v>
      </c>
      <c r="Y44" s="309">
        <v>0</v>
      </c>
      <c r="Z44" s="309">
        <v>0</v>
      </c>
      <c r="AA44" s="309">
        <v>0</v>
      </c>
      <c r="AB44" s="309" t="str">
        <f t="shared" si="3"/>
        <v>Glastyp wählen</v>
      </c>
      <c r="AC44" s="310"/>
      <c r="AD44" s="326">
        <v>0</v>
      </c>
      <c r="AE44" s="477">
        <v>0</v>
      </c>
      <c r="AF44" s="477">
        <v>0</v>
      </c>
      <c r="AG44" s="477">
        <v>0</v>
      </c>
      <c r="AH44" s="310" t="str">
        <f>$H$54</f>
        <v>Glastyp wählen</v>
      </c>
      <c r="AI44" s="273">
        <f t="shared" si="6"/>
        <v>0</v>
      </c>
      <c r="AJ44" s="309">
        <f t="shared" si="6"/>
        <v>0</v>
      </c>
      <c r="AK44" s="309">
        <f t="shared" si="6"/>
        <v>0</v>
      </c>
      <c r="AL44" s="309">
        <f t="shared" si="6"/>
        <v>0</v>
      </c>
      <c r="AM44" s="309" t="str">
        <f t="shared" si="6"/>
        <v>Glastyp wählen</v>
      </c>
      <c r="AN44" s="310"/>
    </row>
    <row r="45" spans="1:40" ht="13.5" thickBot="1" x14ac:dyDescent="0.25">
      <c r="A45" s="448" t="b">
        <f>IF(C45=FALSE,TRUE,(IF(AND(C45=TRUE,'Pos. 5'!H85=""),FALSE,TRUE)))</f>
        <v>1</v>
      </c>
      <c r="B45" s="273" t="s">
        <v>713</v>
      </c>
      <c r="C45" s="310" t="b">
        <v>0</v>
      </c>
      <c r="D45" s="273" t="s">
        <v>111</v>
      </c>
      <c r="E45" s="309" t="s">
        <v>112</v>
      </c>
      <c r="F45" s="309" t="s">
        <v>113</v>
      </c>
      <c r="G45" s="310" t="s">
        <v>114</v>
      </c>
      <c r="H45" s="448" t="str">
        <f t="shared" si="1"/>
        <v>Speziell:</v>
      </c>
      <c r="I45" s="454" t="b">
        <v>0</v>
      </c>
      <c r="K45" s="303" t="s">
        <v>435</v>
      </c>
      <c r="L45" s="279">
        <f>IF(AND('Pos. 5'!$F$10&lt;&gt;"",OR('Pos. 5'!$E$23&lt;&gt;"",'Pos. 5'!$E$24&lt;&gt;"",'Pos. 5'!$E$25&lt;&gt;"",'Pos. 5'!$E$26&lt;&gt;"")),1,0)</f>
        <v>0</v>
      </c>
      <c r="M45" s="486"/>
      <c r="N45" s="187" t="str">
        <f>CONCATENATE("Pos. ",'Pos. 5'!$B$2,".5")</f>
        <v>Pos. 5.5</v>
      </c>
      <c r="O45" s="188" t="b">
        <f>IF(AND('Pos. 5'!AW36&lt;&gt;"",'Pos. 5'!AX36&lt;&gt;""),TRUE,FALSE)</f>
        <v>0</v>
      </c>
      <c r="P45" s="191"/>
      <c r="Q45" s="368">
        <v>4</v>
      </c>
      <c r="U45" s="303" t="b">
        <f t="shared" si="4"/>
        <v>0</v>
      </c>
      <c r="V45" s="489">
        <f t="shared" si="5"/>
        <v>1</v>
      </c>
      <c r="X45" s="473">
        <v>0</v>
      </c>
      <c r="Y45" s="490">
        <v>0</v>
      </c>
      <c r="Z45" s="490">
        <v>0</v>
      </c>
      <c r="AA45" s="490">
        <v>0</v>
      </c>
      <c r="AB45" s="490" t="str">
        <f t="shared" si="3"/>
        <v>Glastyp wählen</v>
      </c>
      <c r="AC45" s="380"/>
      <c r="AD45" s="491">
        <v>0</v>
      </c>
      <c r="AE45" s="492">
        <v>0</v>
      </c>
      <c r="AF45" s="492">
        <v>0</v>
      </c>
      <c r="AG45" s="492">
        <v>0</v>
      </c>
      <c r="AH45" s="380" t="str">
        <f>$H$54</f>
        <v>Glastyp wählen</v>
      </c>
      <c r="AI45" s="473">
        <f t="shared" si="6"/>
        <v>0</v>
      </c>
      <c r="AJ45" s="490">
        <f t="shared" si="6"/>
        <v>0</v>
      </c>
      <c r="AK45" s="490">
        <f t="shared" si="6"/>
        <v>0</v>
      </c>
      <c r="AL45" s="490">
        <f t="shared" si="6"/>
        <v>0</v>
      </c>
      <c r="AM45" s="490" t="str">
        <f t="shared" si="6"/>
        <v>Glastyp wählen</v>
      </c>
      <c r="AN45" s="380"/>
    </row>
    <row r="46" spans="1:40" x14ac:dyDescent="0.2">
      <c r="A46" s="448" t="b">
        <f>IF(C46=FALSE,TRUE,(IF(AND(C46=TRUE,'Pos. 5'!O85=""),FALSE,TRUE)))</f>
        <v>1</v>
      </c>
      <c r="B46" s="273" t="s">
        <v>714</v>
      </c>
      <c r="C46" s="310" t="b">
        <v>0</v>
      </c>
      <c r="D46" s="273" t="s">
        <v>64</v>
      </c>
      <c r="E46" s="309" t="s">
        <v>65</v>
      </c>
      <c r="F46" s="309" t="s">
        <v>66</v>
      </c>
      <c r="G46" s="310" t="s">
        <v>139</v>
      </c>
      <c r="H46" s="448" t="str">
        <f t="shared" si="1"/>
        <v>Statik:</v>
      </c>
      <c r="I46" s="454"/>
      <c r="K46" s="303" t="s">
        <v>436</v>
      </c>
      <c r="L46" s="279">
        <f>IF(AND($I$13=TRUE,'Pos. 5'!$E$28=""),0,1)</f>
        <v>1</v>
      </c>
      <c r="M46" s="486"/>
      <c r="N46" s="187" t="str">
        <f>CONCATENATE("Pos. ",'Pos. 5'!$B$2,".6")</f>
        <v>Pos. 5.6</v>
      </c>
      <c r="O46" s="188" t="b">
        <f>IF(AND('Pos. 5'!AW37&lt;&gt;"",'Pos. 5'!AX37&lt;&gt;""),TRUE,FALSE)</f>
        <v>0</v>
      </c>
      <c r="P46" s="191"/>
      <c r="Q46" s="368">
        <v>5</v>
      </c>
      <c r="U46" s="303" t="b">
        <f t="shared" si="4"/>
        <v>1</v>
      </c>
      <c r="V46" s="489">
        <f t="shared" si="5"/>
        <v>0</v>
      </c>
    </row>
    <row r="47" spans="1:40" x14ac:dyDescent="0.2">
      <c r="A47" s="448" t="b">
        <f>IF(C47=FALSE,TRUE,(IF(AND(C47=TRUE,'Pos. 5'!V85=""),FALSE,TRUE)))</f>
        <v>1</v>
      </c>
      <c r="B47" s="273" t="str">
        <f>IF('Pos. 5'!AB73="","322201/322201","400228/400228")</f>
        <v>322201/322201</v>
      </c>
      <c r="C47" s="310" t="b">
        <v>0</v>
      </c>
      <c r="D47" s="273" t="s">
        <v>67</v>
      </c>
      <c r="E47" s="309" t="s">
        <v>68</v>
      </c>
      <c r="F47" s="309" t="s">
        <v>69</v>
      </c>
      <c r="G47" s="310" t="s">
        <v>326</v>
      </c>
      <c r="H47" s="448" t="str">
        <f t="shared" si="1"/>
        <v>Windlast:</v>
      </c>
      <c r="I47" s="454"/>
      <c r="K47" s="303" t="s">
        <v>437</v>
      </c>
      <c r="L47" s="281">
        <f>IF(AND($I$13=FALSE,$I$14=FALSE),0,1)</f>
        <v>0</v>
      </c>
      <c r="M47" s="486"/>
      <c r="N47" s="187" t="str">
        <f>CONCATENATE("Pos. ",'Pos. 5'!$B$2,".7")</f>
        <v>Pos. 5.7</v>
      </c>
      <c r="O47" s="188" t="b">
        <f>IF(AND('Pos. 5'!AW38&lt;&gt;"",'Pos. 5'!AX38&lt;&gt;""),TRUE,FALSE)</f>
        <v>0</v>
      </c>
      <c r="P47" s="191"/>
      <c r="Q47" s="368">
        <v>6</v>
      </c>
      <c r="U47" s="303" t="b">
        <f t="shared" si="4"/>
        <v>0</v>
      </c>
      <c r="V47" s="489">
        <f t="shared" si="5"/>
        <v>1</v>
      </c>
    </row>
    <row r="48" spans="1:40" x14ac:dyDescent="0.2">
      <c r="A48" s="448" t="b">
        <f>IF(C48=FALSE,TRUE,(IF(AND(C48=TRUE,'Pos. 5'!H96=""),FALSE,TRUE)))</f>
        <v>1</v>
      </c>
      <c r="B48" s="273" t="s">
        <v>715</v>
      </c>
      <c r="C48" s="310" t="b">
        <v>0</v>
      </c>
      <c r="D48" s="273" t="s">
        <v>70</v>
      </c>
      <c r="E48" s="309" t="s">
        <v>71</v>
      </c>
      <c r="F48" s="309" t="s">
        <v>72</v>
      </c>
      <c r="G48" s="310" t="s">
        <v>327</v>
      </c>
      <c r="H48" s="448" t="str">
        <f t="shared" si="1"/>
        <v>Bemerkung:</v>
      </c>
      <c r="I48" s="454"/>
      <c r="K48" s="303" t="s">
        <v>439</v>
      </c>
      <c r="L48" s="493">
        <f>IF(OR(AND($C$37=FALSE,$C$39=FALSE),(AND($C$38=FALSE,$C$40=FALSE))),0,1)</f>
        <v>1</v>
      </c>
      <c r="M48" s="494">
        <f>IF($L$49=0,0,L48)</f>
        <v>0</v>
      </c>
      <c r="N48" s="187" t="str">
        <f>CONCATENATE("Pos. ",'Pos. 5'!$B$2,".8")</f>
        <v>Pos. 5.8</v>
      </c>
      <c r="O48" s="188" t="b">
        <f>IF(AND('Pos. 5'!AW39&lt;&gt;"",'Pos. 5'!AX39&lt;&gt;""),TRUE,FALSE)</f>
        <v>0</v>
      </c>
      <c r="P48" s="191"/>
      <c r="Q48" s="368">
        <v>7</v>
      </c>
      <c r="U48" s="303" t="b">
        <f>IF(M49=0,FALSE,TRUE)</f>
        <v>0</v>
      </c>
      <c r="V48" s="489">
        <f t="shared" si="5"/>
        <v>1</v>
      </c>
    </row>
    <row r="49" spans="1:22" ht="13.5" thickBot="1" x14ac:dyDescent="0.25">
      <c r="A49" s="495"/>
      <c r="B49" s="273" t="s">
        <v>716</v>
      </c>
      <c r="C49" s="310" t="b">
        <v>0</v>
      </c>
      <c r="D49" s="273" t="s">
        <v>73</v>
      </c>
      <c r="E49" s="309" t="s">
        <v>74</v>
      </c>
      <c r="F49" s="309" t="s">
        <v>310</v>
      </c>
      <c r="G49" s="310" t="s">
        <v>328</v>
      </c>
      <c r="H49" s="448" t="str">
        <f t="shared" si="1"/>
        <v>Zubehör:</v>
      </c>
      <c r="I49" s="454"/>
      <c r="K49" s="303" t="s">
        <v>438</v>
      </c>
      <c r="L49" s="327">
        <f>IF(L48=0,0,IF('Pos. 5'!$I$49&gt;0,1,0))</f>
        <v>0</v>
      </c>
      <c r="M49" s="285">
        <f>SUM(L49,M48)</f>
        <v>0</v>
      </c>
      <c r="N49" s="187" t="str">
        <f>CONCATENATE("Pos. ",'Pos. 5'!$B$2,".9")</f>
        <v>Pos. 5.9</v>
      </c>
      <c r="O49" s="188" t="b">
        <f>IF(AND('Pos. 5'!AW40&lt;&gt;"",'Pos. 5'!AX40&lt;&gt;""),TRUE,FALSE)</f>
        <v>0</v>
      </c>
      <c r="P49" s="191"/>
      <c r="Q49" s="368">
        <v>8</v>
      </c>
      <c r="T49" s="308" t="s">
        <v>870</v>
      </c>
      <c r="U49" s="303" t="b">
        <f>IF(AND(L44=1,AND('Pos. 5'!E23="",'Pos. 5'!E24="",'Pos. 5'!E25="",'Pos. 5'!E26="")),FALSE,TRUE)</f>
        <v>1</v>
      </c>
      <c r="V49" s="489">
        <f t="shared" si="5"/>
        <v>0</v>
      </c>
    </row>
    <row r="50" spans="1:22" x14ac:dyDescent="0.2">
      <c r="A50" s="272">
        <f>COUNTIF(A41:A49,FALSE)</f>
        <v>0</v>
      </c>
      <c r="B50" s="273" t="s">
        <v>371</v>
      </c>
      <c r="C50" s="310" t="b">
        <v>0</v>
      </c>
      <c r="D50" s="273" t="s">
        <v>670</v>
      </c>
      <c r="E50" s="309" t="s">
        <v>671</v>
      </c>
      <c r="F50" s="309" t="s">
        <v>673</v>
      </c>
      <c r="G50" s="310" t="s">
        <v>672</v>
      </c>
      <c r="H50" s="448" t="str">
        <f t="shared" si="1"/>
        <v>Rinne (siehe unten)</v>
      </c>
      <c r="I50" s="454" t="b">
        <v>0</v>
      </c>
      <c r="K50" s="303" t="s">
        <v>440</v>
      </c>
      <c r="L50" s="286">
        <f>IF(AND(OR($C$53=TRUE,$C$54=TRUE),'Pos. 5'!$Z$42&lt;&gt;"",'Pos. 5'!$T$45&lt;&gt;""),1,0)</f>
        <v>0</v>
      </c>
      <c r="M50" s="486"/>
      <c r="N50" s="187" t="str">
        <f>CONCATENATE("Pos. ",'Pos. 5'!$B$2,".10")</f>
        <v>Pos. 5.10</v>
      </c>
      <c r="O50" s="188" t="b">
        <f>IF(AND('Pos. 5'!AW41&lt;&gt;"",'Pos. 5'!AX41&lt;&gt;""),TRUE,FALSE)</f>
        <v>0</v>
      </c>
      <c r="P50" s="191"/>
      <c r="Q50" s="368">
        <v>9</v>
      </c>
      <c r="U50" s="303" t="b">
        <f t="shared" ref="U50:U55" si="7">IF(L50=0,FALSE,TRUE)</f>
        <v>0</v>
      </c>
      <c r="V50" s="489">
        <f t="shared" si="5"/>
        <v>1</v>
      </c>
    </row>
    <row r="51" spans="1:22" ht="13.5" thickBot="1" x14ac:dyDescent="0.25">
      <c r="B51" s="273" t="s">
        <v>394</v>
      </c>
      <c r="C51" s="310" t="b">
        <v>0</v>
      </c>
      <c r="D51" s="273" t="s">
        <v>306</v>
      </c>
      <c r="E51" s="309" t="s">
        <v>307</v>
      </c>
      <c r="F51" s="309" t="s">
        <v>308</v>
      </c>
      <c r="G51" s="310" t="s">
        <v>329</v>
      </c>
      <c r="H51" s="448" t="str">
        <f t="shared" si="1"/>
        <v>Wetterschenkel</v>
      </c>
      <c r="I51" s="454" t="b">
        <v>0</v>
      </c>
      <c r="K51" s="303" t="s">
        <v>441</v>
      </c>
      <c r="L51" s="279">
        <f>IF(OR($I$15=TRUE,$I$16=TRUE,$I$17=TRUE,$I$18=TRUE,$I$19=TRUE,$I$20=TRUE,$I$22=TRUE,$I$25=TRUE,$I$125=TRUE,$I$26=TRUE,$I$27=TRUE,$I$28=TRUE,$I$29=TRUE),1,0)</f>
        <v>0</v>
      </c>
      <c r="M51" s="486"/>
      <c r="N51" s="190" t="s">
        <v>581</v>
      </c>
      <c r="O51" s="192">
        <f>IF(P51=O52,1,0)</f>
        <v>0</v>
      </c>
      <c r="P51" s="193" t="str">
        <f>CONCATENATE("(",COUNTBLANK('Pos. 5'!AW32:AW41),")")</f>
        <v>(10)</v>
      </c>
      <c r="Q51" s="472">
        <v>10</v>
      </c>
      <c r="U51" s="303" t="b">
        <f t="shared" si="7"/>
        <v>0</v>
      </c>
      <c r="V51" s="489">
        <f t="shared" si="5"/>
        <v>1</v>
      </c>
    </row>
    <row r="52" spans="1:22" ht="13.5" thickBot="1" x14ac:dyDescent="0.25">
      <c r="B52" s="273"/>
      <c r="C52" s="310"/>
      <c r="D52" s="273" t="s">
        <v>298</v>
      </c>
      <c r="E52" s="309" t="s">
        <v>299</v>
      </c>
      <c r="F52" s="309" t="s">
        <v>300</v>
      </c>
      <c r="G52" s="310" t="s">
        <v>330</v>
      </c>
      <c r="H52" s="448" t="str">
        <f t="shared" si="1"/>
        <v>Standardgrundplatten:</v>
      </c>
      <c r="I52" s="454" t="b">
        <v>0</v>
      </c>
      <c r="K52" s="303" t="s">
        <v>442</v>
      </c>
      <c r="L52" s="279">
        <f>IF(OR(AND($I$36=TRUE,'Pos. 5'!$AM$43&lt;&gt;0,'Pos. 5'!$AR$43&lt;&gt;0,'Pos. 5'!$AM$49&lt;&gt;""),AND($I$39=TRUE,'Pos. 5'!$AM$45&lt;&gt;0,'Pos. 5'!$AM$49&lt;&gt;"",'Pos. 5'!$AM$46&lt;&gt;"",'Pos. 5'!$AM$47&lt;&gt;"")),1,0)</f>
        <v>0</v>
      </c>
      <c r="M52" s="486"/>
      <c r="N52" s="194"/>
      <c r="O52" s="195" t="str">
        <f>CONCATENATE("(",IF(I19=TRUE,COUNTIF(O41:O50,FALSE),""),")")</f>
        <v>()</v>
      </c>
      <c r="P52" s="196"/>
      <c r="U52" s="303" t="b">
        <f t="shared" si="7"/>
        <v>0</v>
      </c>
      <c r="V52" s="489">
        <f t="shared" si="5"/>
        <v>1</v>
      </c>
    </row>
    <row r="53" spans="1:22" x14ac:dyDescent="0.2">
      <c r="B53" s="273" t="s">
        <v>717</v>
      </c>
      <c r="C53" s="310" t="b">
        <v>1</v>
      </c>
      <c r="D53" s="273" t="s">
        <v>75</v>
      </c>
      <c r="E53" s="309" t="s">
        <v>75</v>
      </c>
      <c r="F53" s="309" t="s">
        <v>75</v>
      </c>
      <c r="G53" s="310" t="s">
        <v>75</v>
      </c>
      <c r="H53" s="448" t="str">
        <f t="shared" si="1"/>
        <v>Sun-Box</v>
      </c>
      <c r="I53" s="454"/>
      <c r="K53" s="303" t="s">
        <v>446</v>
      </c>
      <c r="L53" s="279">
        <f>IF('Pos. 5'!AT52=1,1,IF(AND(OR($I$43=TRUE,$I$44=TRUE),'Pos. 5'!$AE$53&lt;&gt;0,'Pos. 5'!$AO$55&lt;&gt;""),1,0))</f>
        <v>0</v>
      </c>
      <c r="M53" s="486"/>
      <c r="U53" s="303" t="b">
        <f t="shared" si="7"/>
        <v>0</v>
      </c>
      <c r="V53" s="489">
        <f t="shared" si="5"/>
        <v>1</v>
      </c>
    </row>
    <row r="54" spans="1:22" x14ac:dyDescent="0.2">
      <c r="B54" s="273" t="s">
        <v>718</v>
      </c>
      <c r="C54" s="310" t="b">
        <v>0</v>
      </c>
      <c r="D54" s="273" t="s">
        <v>76</v>
      </c>
      <c r="E54" s="309" t="s">
        <v>77</v>
      </c>
      <c r="F54" s="309" t="s">
        <v>78</v>
      </c>
      <c r="G54" s="310" t="s">
        <v>331</v>
      </c>
      <c r="H54" s="448" t="str">
        <f t="shared" si="1"/>
        <v>Glastyp wählen</v>
      </c>
      <c r="I54" s="454"/>
      <c r="K54" s="303" t="s">
        <v>447</v>
      </c>
      <c r="L54" s="279">
        <f>SUM(IF(AND('Pos. 5'!$AE$70&lt;&gt;"",'Pos. 5'!$AN$70&lt;&gt;"",OR($C$60=TRUE,$C$61=TRUE,$C$62=TRUE,$C$63=TRUE)),1,0),M54)</f>
        <v>1</v>
      </c>
      <c r="M54" s="486">
        <f>IF(AND(OR('Pos. 5'!F10="F",'Pos. 5'!F10=""),OR('Pos. 5'!N10="F",'Pos. 5'!N10=""),OR('Pos. 5'!R10="F",'Pos. 5'!R10=""),OR('Pos. 5'!V10="F",'Pos. 5'!V10=""),OR('Pos. 5'!Z10="F",'Pos. 5'!Z10=""),OR('Pos. 5'!AD10="F",'Pos. 5'!AD10=""),OR('Pos. 5'!AH10="F",'Pos. 5'!AH10=""),OR('Pos. 5'!AL10="F",'Pos. 5'!AL10=""),OR('Pos. 5'!AP10="F",'Pos. 5'!AP10="")),1,0)</f>
        <v>1</v>
      </c>
      <c r="U54" s="303" t="b">
        <f t="shared" si="7"/>
        <v>1</v>
      </c>
      <c r="V54" s="489">
        <f t="shared" si="5"/>
        <v>0</v>
      </c>
    </row>
    <row r="55" spans="1:22" x14ac:dyDescent="0.2">
      <c r="B55" s="273"/>
      <c r="C55" s="310"/>
      <c r="D55" s="273" t="s">
        <v>79</v>
      </c>
      <c r="E55" s="309" t="s">
        <v>80</v>
      </c>
      <c r="F55" s="309" t="s">
        <v>79</v>
      </c>
      <c r="G55" s="310" t="s">
        <v>79</v>
      </c>
      <c r="H55" s="448" t="str">
        <f t="shared" si="1"/>
        <v>Pos:</v>
      </c>
      <c r="I55" s="454"/>
      <c r="K55" s="303" t="s">
        <v>448</v>
      </c>
      <c r="L55" s="281">
        <f>IF(AND('Pos. 5'!$AM$88&lt;&gt;"",'Pos. 5'!$AE$84&lt;&gt;"",'Pos. 5'!$AM$87&lt;&gt;""),1,0)</f>
        <v>0</v>
      </c>
      <c r="M55" s="486"/>
      <c r="U55" s="303" t="b">
        <f t="shared" si="7"/>
        <v>0</v>
      </c>
      <c r="V55" s="489">
        <f t="shared" si="5"/>
        <v>1</v>
      </c>
    </row>
    <row r="56" spans="1:22" ht="15" customHeight="1" thickBot="1" x14ac:dyDescent="0.25">
      <c r="B56" s="273"/>
      <c r="C56" s="310" t="b">
        <v>1</v>
      </c>
      <c r="D56" s="273" t="s">
        <v>81</v>
      </c>
      <c r="E56" s="309" t="s">
        <v>82</v>
      </c>
      <c r="F56" s="309" t="s">
        <v>83</v>
      </c>
      <c r="G56" s="310" t="s">
        <v>147</v>
      </c>
      <c r="H56" s="448" t="str">
        <f t="shared" si="1"/>
        <v>Stück:</v>
      </c>
      <c r="I56" s="454"/>
      <c r="K56" s="303" t="s">
        <v>453</v>
      </c>
      <c r="L56" s="493">
        <f>IF(OR($C$41=TRUE,$C$42=TRUE,$C$43=TRUE,$C$44=TRUE,AND('Pos. 5'!F10="F",'Pos. 5'!J10="")),1,0)</f>
        <v>0</v>
      </c>
      <c r="M56" s="287">
        <f>SUM(L56:L57)</f>
        <v>0</v>
      </c>
      <c r="U56" s="303" t="b">
        <f>IF(M56=0,FALSE,TRUE)</f>
        <v>0</v>
      </c>
      <c r="V56" s="489">
        <f t="shared" si="5"/>
        <v>1</v>
      </c>
    </row>
    <row r="57" spans="1:22" x14ac:dyDescent="0.2">
      <c r="B57" s="273" t="s">
        <v>455</v>
      </c>
      <c r="C57" s="310" t="b">
        <v>0</v>
      </c>
      <c r="D57" s="273" t="s">
        <v>84</v>
      </c>
      <c r="E57" s="309" t="s">
        <v>85</v>
      </c>
      <c r="F57" s="309" t="s">
        <v>85</v>
      </c>
      <c r="G57" s="310" t="s">
        <v>193</v>
      </c>
      <c r="H57" s="448" t="str">
        <f t="shared" si="1"/>
        <v>Seite:</v>
      </c>
      <c r="I57" s="454"/>
      <c r="K57" s="303" t="s">
        <v>454</v>
      </c>
      <c r="L57" s="327" t="s">
        <v>809</v>
      </c>
      <c r="M57" s="288"/>
      <c r="O57" s="34" t="s">
        <v>888</v>
      </c>
      <c r="P57" s="370"/>
      <c r="Q57" s="370"/>
      <c r="R57" s="371"/>
      <c r="T57" s="308"/>
      <c r="U57" s="303"/>
      <c r="V57" s="489"/>
    </row>
    <row r="58" spans="1:22" x14ac:dyDescent="0.2">
      <c r="B58" s="273" t="s">
        <v>456</v>
      </c>
      <c r="C58" s="310" t="b">
        <v>0</v>
      </c>
      <c r="D58" s="273" t="s">
        <v>425</v>
      </c>
      <c r="E58" s="309" t="s">
        <v>426</v>
      </c>
      <c r="F58" s="309" t="s">
        <v>427</v>
      </c>
      <c r="G58" s="310" t="s">
        <v>428</v>
      </c>
      <c r="H58" s="448" t="str">
        <f t="shared" si="1"/>
        <v>Achsmass →</v>
      </c>
      <c r="I58" s="454"/>
      <c r="K58" s="303" t="s">
        <v>457</v>
      </c>
      <c r="L58" s="286">
        <f>IF(AND('Pos. 5'!$G$20=0,'Pos. 5'!$K$20=0,'Pos. 5'!$O$20=0,'Pos. 5'!$S$20=0,'Pos. 5'!$W$20=0,'Pos. 5'!$AA$20=0,'Pos. 5'!$AE$20=0,'Pos. 5'!$AI$20=0,'Pos. 5'!$AM$20=0),1,0)</f>
        <v>1</v>
      </c>
      <c r="M58" s="486"/>
      <c r="O58" s="372" t="s">
        <v>889</v>
      </c>
      <c r="P58" s="373" t="s">
        <v>890</v>
      </c>
      <c r="Q58" s="373" t="s">
        <v>891</v>
      </c>
      <c r="R58" s="374" t="s">
        <v>892</v>
      </c>
      <c r="T58" s="308" t="s">
        <v>690</v>
      </c>
      <c r="U58" s="303" t="b">
        <f>IF(AND(L62=1,'Pos. 5'!C11&gt;35),FALSE,TRUE)</f>
        <v>1</v>
      </c>
      <c r="V58" s="489">
        <f t="shared" si="5"/>
        <v>0</v>
      </c>
    </row>
    <row r="59" spans="1:22" x14ac:dyDescent="0.2">
      <c r="B59" s="273"/>
      <c r="C59" s="310"/>
      <c r="D59" s="273" t="s">
        <v>86</v>
      </c>
      <c r="E59" s="309" t="s">
        <v>87</v>
      </c>
      <c r="F59" s="309" t="s">
        <v>88</v>
      </c>
      <c r="G59" s="310" t="s">
        <v>146</v>
      </c>
      <c r="H59" s="448" t="str">
        <f t="shared" si="1"/>
        <v>VSG mit P4A</v>
      </c>
      <c r="I59" s="454"/>
      <c r="K59" s="303" t="s">
        <v>458</v>
      </c>
      <c r="L59" s="496">
        <f>IF(AND($C$49=FALSE,$C$50=FALSE,$C$51=FALSE),0,1)</f>
        <v>0</v>
      </c>
      <c r="M59" s="290">
        <f>SUM(L58:L59)</f>
        <v>1</v>
      </c>
      <c r="O59" s="317" t="s">
        <v>195</v>
      </c>
      <c r="P59" s="375">
        <f>IF(OR('Pos. 5'!$F$10='Sprachen &amp; Rückgabewerte(5)'!$B$10,'Pos. 5'!$F$10='Sprachen &amp; Rückgabewerte(5)'!B11),1,0)</f>
        <v>0</v>
      </c>
      <c r="Q59" s="318">
        <f>IF(P59=1,0,1)</f>
        <v>1</v>
      </c>
      <c r="R59" s="325">
        <f>IF(AND(P59=1,'Pos. 5'!$F$16=""),1,0)</f>
        <v>0</v>
      </c>
      <c r="U59" s="303" t="b">
        <f>IF(M59=0,FALSE,TRUE)</f>
        <v>1</v>
      </c>
      <c r="V59" s="489">
        <f t="shared" si="5"/>
        <v>0</v>
      </c>
    </row>
    <row r="60" spans="1:22" ht="15" customHeight="1" x14ac:dyDescent="0.2">
      <c r="B60" s="273" t="s">
        <v>229</v>
      </c>
      <c r="C60" s="310" t="b">
        <v>0</v>
      </c>
      <c r="D60" s="273" t="s">
        <v>89</v>
      </c>
      <c r="E60" s="309" t="s">
        <v>90</v>
      </c>
      <c r="F60" s="309" t="s">
        <v>289</v>
      </c>
      <c r="G60" s="310" t="s">
        <v>332</v>
      </c>
      <c r="H60" s="448" t="str">
        <f t="shared" si="1"/>
        <v>Insektenschutz</v>
      </c>
      <c r="I60" s="454"/>
      <c r="K60" s="303" t="s">
        <v>459</v>
      </c>
      <c r="L60" s="493">
        <f>IF(AND($C$46=TRUE,OR($C$57=TRUE,$C$58=TRUE)),1,0)</f>
        <v>0</v>
      </c>
      <c r="M60" s="544">
        <f>SUM(L60:L61)</f>
        <v>1</v>
      </c>
      <c r="O60" s="273" t="s">
        <v>196</v>
      </c>
      <c r="P60" s="376">
        <f>IF(OR('Pos. 5'!$J$10='Sprachen &amp; Rückgabewerte(5)'!$B$10,'Pos. 5'!$J$10='Sprachen &amp; Rückgabewerte(5)'!B11),1,0)</f>
        <v>0</v>
      </c>
      <c r="Q60" s="309">
        <f t="shared" ref="Q60:Q68" si="8">IF(P60=1,0,1)</f>
        <v>1</v>
      </c>
      <c r="R60" s="310">
        <f>IF(AND(P60=1,'Pos. 5'!$J$16=""),1,0)</f>
        <v>0</v>
      </c>
      <c r="U60" s="303" t="b">
        <f>IF(M60=0,FALSE,TRUE)</f>
        <v>1</v>
      </c>
      <c r="V60" s="489">
        <f t="shared" si="5"/>
        <v>0</v>
      </c>
    </row>
    <row r="61" spans="1:22" ht="12.75" customHeight="1" x14ac:dyDescent="0.2">
      <c r="B61" s="273" t="s">
        <v>230</v>
      </c>
      <c r="C61" s="310" t="b">
        <v>0</v>
      </c>
      <c r="D61" s="336" t="s">
        <v>145</v>
      </c>
      <c r="E61" s="497" t="s">
        <v>145</v>
      </c>
      <c r="F61" s="497" t="s">
        <v>145</v>
      </c>
      <c r="G61" s="498" t="s">
        <v>145</v>
      </c>
      <c r="H61" s="448" t="str">
        <f t="shared" si="1"/>
        <v>Standard = 1050mm</v>
      </c>
      <c r="I61" s="454"/>
      <c r="K61" s="303"/>
      <c r="L61" s="327">
        <f>IF(C46=FALSE,1,0)</f>
        <v>1</v>
      </c>
      <c r="M61" s="545"/>
      <c r="O61" s="273" t="s">
        <v>197</v>
      </c>
      <c r="P61" s="376">
        <f>IF(OR('Pos. 5'!$N$10='Sprachen &amp; Rückgabewerte(5)'!$B$10,'Pos. 5'!$N$10='Sprachen &amp; Rückgabewerte(5)'!B11),1,0)</f>
        <v>0</v>
      </c>
      <c r="Q61" s="309">
        <f t="shared" si="8"/>
        <v>1</v>
      </c>
      <c r="R61" s="310">
        <f>IF(AND(P61=1,'Pos. 5'!$N$16=""),1,0)</f>
        <v>0</v>
      </c>
      <c r="U61" s="303"/>
      <c r="V61" s="489"/>
    </row>
    <row r="62" spans="1:22" x14ac:dyDescent="0.2">
      <c r="B62" s="273" t="s">
        <v>231</v>
      </c>
      <c r="C62" s="310" t="b">
        <v>0</v>
      </c>
      <c r="D62" s="273" t="s">
        <v>140</v>
      </c>
      <c r="E62" s="309" t="s">
        <v>141</v>
      </c>
      <c r="F62" s="309" t="s">
        <v>142</v>
      </c>
      <c r="G62" s="310" t="s">
        <v>143</v>
      </c>
      <c r="H62" s="448" t="str">
        <f t="shared" si="1"/>
        <v>RC2: zwingend 1050mm</v>
      </c>
      <c r="I62" s="454"/>
      <c r="K62" s="303" t="s">
        <v>484</v>
      </c>
      <c r="L62" s="493">
        <f>IF(OR(AND('Pos. 5'!$F$10="L",'Pos. 5'!$J$10="R"),AND('Pos. 5'!$J$10="L",'Pos. 5'!$N$10="R"),AND('Pos. 5'!$N$10="L",'Pos. 5'!$R$10="R"),AND('Pos. 5'!$R$10="L",'Pos. 5'!$V$10="R"),AND('Pos. 5'!$V$10="L",'Pos. 5'!$Z$10="R"),AND('Pos. 5'!$Z$10="L",'Pos. 5'!$AD$10="R"),AND('Pos. 5'!$AD$10="L",'Pos. 5'!$AH$10="R"),AND('Pos. 5'!$AH$10="L",'Pos. 5'!$AL$10="R"),AND('Pos. 5'!$AL$10="L",'Pos. 5'!$AP$10="R"),AND('Pos. 5'!F10="F",'Pos. 5'!J10="R"),AND('Pos. 5'!J10="F",'Pos. 5'!N10="R"),AND('Pos. 5'!N10="F",'Pos. 5'!R10="R"),AND('Pos. 5'!R10="F",'Pos. 5'!V10="R"),AND('Pos. 5'!V10="F",'Pos. 5'!Z10="R"),AND('Pos. 5'!Z10="F",'Pos. 5'!AD10="R"),AND('Pos. 5'!AD10="F",'Pos. 5'!AH10="R"),AND('Pos. 5'!AH10="F",'Pos. 5'!AL10="R"),AND('Pos. 5'!AL10="F",'Pos. 5'!AP10="R"),AND('Pos. 5'!F10="L",'Pos. 5'!J10="F"),AND('Pos. 5'!J10="L",'Pos. 5'!N10="F"),AND('Pos. 5'!N10="L",'Pos. 5'!R10="F"),AND('Pos. 5'!R10="L",'Pos. 5'!V10="F"),AND('Pos. 5'!V10="L",'Pos. 5'!Z10="F"),AND('Pos. 5'!Z10="L",'Pos. 5'!AD10="F"),AND('Pos. 5'!AD10="L",'Pos. 5'!AH10="F"),AND('Pos. 5'!AH10="L",'Pos. 5'!AL10="F"),AND('Pos. 5'!AL10="L",'Pos. 5'!AP10="F")),1,0)</f>
        <v>0</v>
      </c>
      <c r="M62" s="287">
        <f>IF(AND(L58=0,SUM(L62:L65)=2),0,SUM(L62:L65))</f>
        <v>1</v>
      </c>
      <c r="O62" s="273" t="s">
        <v>198</v>
      </c>
      <c r="P62" s="376">
        <f>IF(OR('Pos. 5'!$R$10='Sprachen &amp; Rückgabewerte(5)'!$B$10,'Pos. 5'!$R$10='Sprachen &amp; Rückgabewerte(5)'!B11),1,0)</f>
        <v>0</v>
      </c>
      <c r="Q62" s="309">
        <f t="shared" si="8"/>
        <v>1</v>
      </c>
      <c r="R62" s="310">
        <f>IF(AND(P62=1,'Pos. 5'!$R$16=""),1,0)</f>
        <v>0</v>
      </c>
      <c r="U62" s="303" t="b">
        <f>IF(OR(M62=2,M62=3),FALSE,TRUE)</f>
        <v>1</v>
      </c>
      <c r="V62" s="489">
        <f t="shared" si="5"/>
        <v>0</v>
      </c>
    </row>
    <row r="63" spans="1:22" ht="15.75" customHeight="1" thickBot="1" x14ac:dyDescent="0.25">
      <c r="B63" s="473" t="s">
        <v>232</v>
      </c>
      <c r="C63" s="380" t="b">
        <v>0</v>
      </c>
      <c r="D63" s="273" t="s">
        <v>144</v>
      </c>
      <c r="E63" s="309" t="s">
        <v>144</v>
      </c>
      <c r="F63" s="309" t="s">
        <v>144</v>
      </c>
      <c r="G63" s="310" t="s">
        <v>144</v>
      </c>
      <c r="H63" s="448" t="str">
        <f t="shared" si="1"/>
        <v>min: RV=200 MVv=750</v>
      </c>
      <c r="I63" s="454"/>
      <c r="K63" s="303"/>
      <c r="L63" s="499">
        <f>IF(AND('Pos. 5'!G20="",'Pos. 5'!K20="",'Pos. 5'!O20="",'Pos. 5'!S20="",'Pos. 5'!W20="",'Pos. 5'!AA20="",'Pos. 5'!AE20="",'Pos. 5'!AI20="",'Pos. 5'!AM20=""),1,2)</f>
        <v>1</v>
      </c>
      <c r="M63" s="292"/>
      <c r="O63" s="273" t="s">
        <v>199</v>
      </c>
      <c r="P63" s="376">
        <f>IF(OR('Pos. 5'!$V$10='Sprachen &amp; Rückgabewerte(5)'!$B$10,'Pos. 5'!$V$10='Sprachen &amp; Rückgabewerte(5)'!B11),1,0)</f>
        <v>0</v>
      </c>
      <c r="Q63" s="309">
        <f t="shared" si="8"/>
        <v>1</v>
      </c>
      <c r="R63" s="310">
        <f>IF(AND(P63=1,'Pos. 5'!$V$16=""),1,0)</f>
        <v>0</v>
      </c>
      <c r="T63" s="308" t="s">
        <v>698</v>
      </c>
      <c r="U63" s="303" t="b">
        <f>IF('Pos. 5'!AX25="",FALSE,TRUE)</f>
        <v>0</v>
      </c>
      <c r="V63" s="489">
        <f>IF(U63=FALSE,1,0)</f>
        <v>1</v>
      </c>
    </row>
    <row r="64" spans="1:22" ht="15" customHeight="1" x14ac:dyDescent="0.2">
      <c r="B64" s="500" t="s">
        <v>549</v>
      </c>
      <c r="C64" s="501">
        <f>IF(OR($C$60=TRUE,$C$61=TRUE,$C$62=TRUE,$C$63=TRUE),1,0)</f>
        <v>0</v>
      </c>
      <c r="D64" s="273" t="s">
        <v>148</v>
      </c>
      <c r="E64" s="309" t="s">
        <v>234</v>
      </c>
      <c r="F64" s="309" t="s">
        <v>258</v>
      </c>
      <c r="G64" s="310" t="s">
        <v>272</v>
      </c>
      <c r="H64" s="448" t="str">
        <f t="shared" si="1"/>
        <v>Verschlussgriffe:</v>
      </c>
      <c r="I64" s="454"/>
      <c r="K64" s="303"/>
      <c r="L64" s="499">
        <f>IF(AND($C$45=FALSE,$C$46=FALSE,$C$47=FALSE,$C$48=FALSE),0,1)</f>
        <v>0</v>
      </c>
      <c r="M64" s="292"/>
      <c r="O64" s="273" t="s">
        <v>200</v>
      </c>
      <c r="P64" s="376">
        <f>IF(OR('Pos. 5'!$Z$10='Sprachen &amp; Rückgabewerte(5)'!$B$10,'Pos. 5'!$Z$10='Sprachen &amp; Rückgabewerte(5)'!B11),1,0)</f>
        <v>0</v>
      </c>
      <c r="Q64" s="309">
        <f t="shared" si="8"/>
        <v>1</v>
      </c>
      <c r="R64" s="310">
        <f>IF(AND(P64=1,'Pos. 5'!$Z$16=""),1,0)</f>
        <v>0</v>
      </c>
      <c r="T64" s="308" t="s">
        <v>705</v>
      </c>
      <c r="U64" s="303" t="b">
        <f>IF('Pos. 5'!AM87="",FALSE,TRUE)</f>
        <v>0</v>
      </c>
      <c r="V64" s="489">
        <f>IF(U64=FALSE,1,0)</f>
        <v>1</v>
      </c>
    </row>
    <row r="65" spans="2:23" ht="15.75" customHeight="1" thickBot="1" x14ac:dyDescent="0.25">
      <c r="B65" s="89"/>
      <c r="C65" s="502"/>
      <c r="D65" s="273" t="s">
        <v>152</v>
      </c>
      <c r="E65" s="309" t="s">
        <v>235</v>
      </c>
      <c r="F65" s="309" t="s">
        <v>290</v>
      </c>
      <c r="G65" s="310" t="s">
        <v>333</v>
      </c>
      <c r="H65" s="448" t="str">
        <f t="shared" si="1"/>
        <v>mit Verschlussraster (Druckknopf)</v>
      </c>
      <c r="I65" s="454"/>
      <c r="K65" s="303"/>
      <c r="L65" s="327">
        <f>IF(AND('Pos. 5'!H11="",'Pos. 5'!I11="",'Pos. 5'!L11="",'Pos. 5'!M11="",'Pos. 5'!P11="",'Pos. 5'!Q11="",'Pos. 5'!T11="",'Pos. 5'!U11="",'Pos. 5'!X11="",'Pos. 5'!Y11="",'Pos. 5'!AB11="",'Pos. 5'!AC11="",'Pos. 5'!AF11="",'Pos. 5'!AG11="",'Pos. 5'!AJ11="",'Pos. 5'!AK11="",'Pos. 5'!AN11="",'Pos. 5'!AO11=""),0,1)</f>
        <v>0</v>
      </c>
      <c r="M65" s="288"/>
      <c r="O65" s="273" t="s">
        <v>201</v>
      </c>
      <c r="P65" s="376">
        <f>IF(OR('Pos. 5'!$AD$10='Sprachen &amp; Rückgabewerte(5)'!$B$10,'Pos. 5'!$AD$10='Sprachen &amp; Rückgabewerte(5)'!B11),1,0)</f>
        <v>0</v>
      </c>
      <c r="Q65" s="309">
        <f t="shared" si="8"/>
        <v>1</v>
      </c>
      <c r="R65" s="310">
        <f>IF(AND(P65=1,'Pos. 5'!$AD$16=""),1,0)</f>
        <v>0</v>
      </c>
      <c r="T65" s="272" t="s">
        <v>936</v>
      </c>
      <c r="U65" s="303" t="b">
        <f>IF(AND(C51=TRUE,'Pos. 5'!V97=""),FALSE,TRUE)</f>
        <v>1</v>
      </c>
      <c r="V65" s="489">
        <f>IF(U65=FALSE,1,0)</f>
        <v>0</v>
      </c>
    </row>
    <row r="66" spans="2:23" ht="25.5" x14ac:dyDescent="0.2">
      <c r="B66" s="181" t="s">
        <v>550</v>
      </c>
      <c r="C66" s="502"/>
      <c r="D66" s="273" t="s">
        <v>406</v>
      </c>
      <c r="E66" s="309" t="s">
        <v>407</v>
      </c>
      <c r="F66" s="309" t="s">
        <v>409</v>
      </c>
      <c r="G66" s="310" t="s">
        <v>408</v>
      </c>
      <c r="H66" s="448" t="str">
        <f t="shared" si="1"/>
        <v>mit Verschlussraster (Zylinder)</v>
      </c>
      <c r="I66" s="454"/>
      <c r="K66" s="297" t="s">
        <v>553</v>
      </c>
      <c r="L66" s="493" t="b">
        <f>IF(AND($I$71=TRUE,'Pos. 5'!$AP$74="",'Pos. 5'!$AP$75="",'Pos. 5'!$AP$76=""),FALSE,TRUE)</f>
        <v>1</v>
      </c>
      <c r="M66" s="287" t="b">
        <f>IF(OR($L$66=FALSE,$L$67=FALSE,$L$68=FALSE,L69=FALSE),FALSE,TRUE)</f>
        <v>0</v>
      </c>
      <c r="O66" s="273" t="s">
        <v>202</v>
      </c>
      <c r="P66" s="376">
        <f>IF(OR('Pos. 5'!$AH$10='Sprachen &amp; Rückgabewerte(5)'!$B$10,'Pos. 5'!$AH$10='Sprachen &amp; Rückgabewerte(5)'!B11),1,0)</f>
        <v>0</v>
      </c>
      <c r="Q66" s="309">
        <f t="shared" si="8"/>
        <v>1</v>
      </c>
      <c r="R66" s="310">
        <f>IF(AND(P66=1,'Pos. 5'!$AH$16=""),1,0)</f>
        <v>0</v>
      </c>
      <c r="U66" s="303" t="b">
        <f>M66</f>
        <v>0</v>
      </c>
      <c r="V66" s="489">
        <f t="shared" si="5"/>
        <v>1</v>
      </c>
    </row>
    <row r="67" spans="2:23" ht="15" customHeight="1" x14ac:dyDescent="0.2">
      <c r="B67" s="503"/>
      <c r="C67" s="502"/>
      <c r="D67" s="273" t="s">
        <v>149</v>
      </c>
      <c r="E67" s="309" t="s">
        <v>236</v>
      </c>
      <c r="F67" s="309" t="s">
        <v>291</v>
      </c>
      <c r="G67" s="310" t="s">
        <v>334</v>
      </c>
      <c r="H67" s="448" t="str">
        <f t="shared" si="1"/>
        <v>ohne Verschlussraster</v>
      </c>
      <c r="I67" s="454"/>
      <c r="K67" s="297" t="s">
        <v>554</v>
      </c>
      <c r="L67" s="504" t="b">
        <f>IF('Pos. 5'!AN78="",FALSE,TRUE)</f>
        <v>0</v>
      </c>
      <c r="M67" s="292"/>
      <c r="O67" s="273" t="s">
        <v>203</v>
      </c>
      <c r="P67" s="376">
        <f>IF(OR('Pos. 5'!$AL$10='Sprachen &amp; Rückgabewerte(5)'!$B$10,'Pos. 5'!$AL$10='Sprachen &amp; Rückgabewerte(5)'!B11),1,0)</f>
        <v>0</v>
      </c>
      <c r="Q67" s="309">
        <f t="shared" si="8"/>
        <v>1</v>
      </c>
      <c r="R67" s="310">
        <f>IF(AND(P67=1,'Pos. 5'!$AL$16=""),1,0)</f>
        <v>0</v>
      </c>
      <c r="T67" s="308" t="s">
        <v>894</v>
      </c>
      <c r="U67" s="303" t="b">
        <f>IF(R69&gt;0,FALSE,TRUE)</f>
        <v>1</v>
      </c>
      <c r="V67" s="489">
        <f>IF(U67=FALSE,1,0)</f>
        <v>0</v>
      </c>
    </row>
    <row r="68" spans="2:23" ht="15" customHeight="1" x14ac:dyDescent="0.2">
      <c r="B68" s="448" t="str">
        <f>$H$112</f>
        <v>mit CFK</v>
      </c>
      <c r="C68" s="502"/>
      <c r="D68" s="273" t="s">
        <v>150</v>
      </c>
      <c r="E68" s="309" t="s">
        <v>237</v>
      </c>
      <c r="F68" s="309" t="s">
        <v>260</v>
      </c>
      <c r="G68" s="310" t="s">
        <v>335</v>
      </c>
      <c r="H68" s="448" t="str">
        <f t="shared" si="1"/>
        <v>2-Punkt Verriegelung</v>
      </c>
      <c r="I68" s="454"/>
      <c r="J68" s="272" t="str">
        <f>H68</f>
        <v>2-Punkt Verriegelung</v>
      </c>
      <c r="K68" s="297" t="s">
        <v>555</v>
      </c>
      <c r="L68" s="504" t="b">
        <f>IF('Pos. 5'!AN79="",FALSE,TRUE)</f>
        <v>0</v>
      </c>
      <c r="M68" s="292"/>
      <c r="O68" s="273" t="s">
        <v>204</v>
      </c>
      <c r="P68" s="376">
        <f>IF(OR('Pos. 5'!$AP$10='Sprachen &amp; Rückgabewerte(5)'!$B$10,'Pos. 5'!$AP$10='Sprachen &amp; Rückgabewerte(5)'!B11),1,0)</f>
        <v>0</v>
      </c>
      <c r="Q68" s="309">
        <f t="shared" si="8"/>
        <v>1</v>
      </c>
      <c r="R68" s="310">
        <f>IF(AND(P68=1,'Pos. 5'!$AP$16=""),1,0)</f>
        <v>0</v>
      </c>
      <c r="T68" s="308" t="s">
        <v>933</v>
      </c>
      <c r="U68" s="303" t="b">
        <f>IF('Pos. 5'!AQ96="",FALSE,TRUE)</f>
        <v>0</v>
      </c>
      <c r="V68" s="489">
        <f t="shared" ref="V68:V69" si="9">IF(U68=FALSE,1,0)</f>
        <v>1</v>
      </c>
      <c r="W68" s="505">
        <f>SUM(V68:V69)</f>
        <v>1</v>
      </c>
    </row>
    <row r="69" spans="2:23" ht="15" customHeight="1" thickBot="1" x14ac:dyDescent="0.25">
      <c r="B69" s="448" t="str">
        <f>$H$113</f>
        <v>ohne CFK</v>
      </c>
      <c r="C69" s="502"/>
      <c r="D69" s="273" t="s">
        <v>151</v>
      </c>
      <c r="E69" s="309" t="s">
        <v>238</v>
      </c>
      <c r="F69" s="309" t="s">
        <v>259</v>
      </c>
      <c r="G69" s="310" t="s">
        <v>336</v>
      </c>
      <c r="H69" s="448" t="str">
        <f t="shared" si="1"/>
        <v>3-Punkt Verriegelung</v>
      </c>
      <c r="I69" s="454"/>
      <c r="J69" s="272" t="str">
        <f>H69</f>
        <v>3-Punkt Verriegelung</v>
      </c>
      <c r="K69" s="297" t="s">
        <v>556</v>
      </c>
      <c r="L69" s="506" t="b">
        <f>IF('Pos. 5'!$AN$80&lt;&gt;"",TRUE,FALSE)</f>
        <v>0</v>
      </c>
      <c r="M69" s="288"/>
      <c r="O69" s="377"/>
      <c r="P69" s="378"/>
      <c r="Q69" s="379" t="s">
        <v>893</v>
      </c>
      <c r="R69" s="380">
        <f>IF(I20=TRUE,SUM(R59:R68),0)</f>
        <v>0</v>
      </c>
      <c r="T69" s="308" t="s">
        <v>934</v>
      </c>
      <c r="U69" s="303" t="b">
        <f>IF(AND('Pos. 5'!AQ96='Sprachen &amp; Rückgabewerte(5)'!H95,'Pos. 5'!AW96=""),FALSE,TRUE)</f>
        <v>1</v>
      </c>
      <c r="V69" s="489">
        <f t="shared" si="9"/>
        <v>0</v>
      </c>
    </row>
    <row r="70" spans="2:23" x14ac:dyDescent="0.2">
      <c r="B70" s="448"/>
      <c r="C70" s="502"/>
      <c r="D70" s="273" t="s">
        <v>233</v>
      </c>
      <c r="E70" s="309" t="s">
        <v>239</v>
      </c>
      <c r="F70" s="309" t="s">
        <v>261</v>
      </c>
      <c r="G70" s="310" t="s">
        <v>273</v>
      </c>
      <c r="H70" s="448" t="str">
        <f t="shared" si="1"/>
        <v>Befestigung:</v>
      </c>
      <c r="I70" s="454"/>
      <c r="K70" s="303" t="s">
        <v>579</v>
      </c>
      <c r="L70" s="507">
        <f>IF(AND(I19=TRUE,O51=1),1,0)</f>
        <v>0</v>
      </c>
      <c r="M70" s="290"/>
      <c r="U70" s="303" t="b">
        <f>IF(AND(I19=TRUE,O51&lt;&gt;1),FALSE,TRUE)</f>
        <v>1</v>
      </c>
      <c r="V70" s="489">
        <f t="shared" si="5"/>
        <v>0</v>
      </c>
    </row>
    <row r="71" spans="2:23" x14ac:dyDescent="0.2">
      <c r="B71" s="448" t="str">
        <f>$H$114</f>
        <v>mit Stahl</v>
      </c>
      <c r="C71" s="502"/>
      <c r="D71" s="273" t="s">
        <v>285</v>
      </c>
      <c r="E71" s="309" t="s">
        <v>286</v>
      </c>
      <c r="F71" s="309" t="s">
        <v>287</v>
      </c>
      <c r="G71" s="310" t="s">
        <v>274</v>
      </c>
      <c r="H71" s="448" t="str">
        <f t="shared" si="1"/>
        <v>Universalschrauben (A2):</v>
      </c>
      <c r="I71" s="454" t="b">
        <v>0</v>
      </c>
      <c r="K71" s="303" t="s">
        <v>619</v>
      </c>
      <c r="L71" s="507">
        <f>IF(OR('Pos. 5'!$F$10='Sprachen &amp; Rückgabewerte(5)'!$B$14,'Pos. 5'!$J$10='Sprachen &amp; Rückgabewerte(5)'!$B$14,'Pos. 5'!$N$10='Sprachen &amp; Rückgabewerte(5)'!B14,'Pos. 5'!$R$10='Sprachen &amp; Rückgabewerte(5)'!$B$14,'Pos. 5'!$V$10='Sprachen &amp; Rückgabewerte(5)'!$B$14,'Pos. 5'!$Z$10='Sprachen &amp; Rückgabewerte(5)'!$B$14,'Pos. 5'!$AD$10='Sprachen &amp; Rückgabewerte(5)'!$B$14,'Pos. 5'!$AH$10='Sprachen &amp; Rückgabewerte(5)'!$B$14,'Pos. 5'!$AL$10='Sprachen &amp; Rückgabewerte(5)'!$B$14,'Pos. 5'!$AP$10='Sprachen &amp; Rückgabewerte(5)'!$B$14),0,1)</f>
        <v>1</v>
      </c>
      <c r="M71" s="290">
        <f>IF(AND(L71=0,'Pos. 5'!AW48=""),0,1)</f>
        <v>1</v>
      </c>
      <c r="U71" s="303" t="b">
        <f>IF(M71=1,TRUE,FALSE)</f>
        <v>1</v>
      </c>
      <c r="V71" s="489">
        <f t="shared" si="5"/>
        <v>0</v>
      </c>
    </row>
    <row r="72" spans="2:23" x14ac:dyDescent="0.2">
      <c r="B72" s="448" t="str">
        <f>$H$115</f>
        <v>ohne Stahl</v>
      </c>
      <c r="C72" s="502"/>
      <c r="D72" s="273" t="s">
        <v>153</v>
      </c>
      <c r="E72" s="309" t="s">
        <v>153</v>
      </c>
      <c r="F72" s="309" t="s">
        <v>153</v>
      </c>
      <c r="G72" s="309" t="s">
        <v>153</v>
      </c>
      <c r="H72" s="448" t="str">
        <f t="shared" ref="H72:H88" si="10">IF($B$3=$A$3,D72,IF($B$3=$A$4,E72,IF($B$3=$A$5,F72,IF($B$3=$A$6,G72,""))))</f>
        <v>L=52mm</v>
      </c>
      <c r="I72" s="454"/>
      <c r="J72" s="272" t="str">
        <f>H72</f>
        <v>L=52mm</v>
      </c>
      <c r="K72" s="297" t="s">
        <v>683</v>
      </c>
      <c r="L72" s="298">
        <f>C95</f>
        <v>6</v>
      </c>
      <c r="M72" s="489"/>
      <c r="U72" s="303" t="b">
        <f>IF(AND(L72&gt;0,I50=TRUE),FALSE,TRUE)</f>
        <v>1</v>
      </c>
      <c r="V72" s="489">
        <f t="shared" si="5"/>
        <v>0</v>
      </c>
    </row>
    <row r="73" spans="2:23" x14ac:dyDescent="0.2">
      <c r="B73" s="448"/>
      <c r="C73" s="502"/>
      <c r="D73" s="273" t="s">
        <v>154</v>
      </c>
      <c r="E73" s="309" t="s">
        <v>154</v>
      </c>
      <c r="F73" s="309" t="s">
        <v>154</v>
      </c>
      <c r="G73" s="309" t="s">
        <v>154</v>
      </c>
      <c r="H73" s="448" t="str">
        <f t="shared" si="10"/>
        <v>L=82mm</v>
      </c>
      <c r="I73" s="454"/>
      <c r="J73" s="272" t="str">
        <f>H73</f>
        <v>L=82mm</v>
      </c>
      <c r="K73" s="297" t="s">
        <v>685</v>
      </c>
      <c r="L73" s="298">
        <f>A50</f>
        <v>0</v>
      </c>
      <c r="M73" s="489"/>
      <c r="U73" s="303" t="b">
        <f>IF(L73=0,TRUE,FALSE)</f>
        <v>1</v>
      </c>
      <c r="V73" s="489">
        <f t="shared" si="5"/>
        <v>0</v>
      </c>
    </row>
    <row r="74" spans="2:23" x14ac:dyDescent="0.2">
      <c r="B74" s="448" t="str">
        <f>$H$120</f>
        <v>mit AL.</v>
      </c>
      <c r="C74" s="502"/>
      <c r="D74" s="273" t="s">
        <v>155</v>
      </c>
      <c r="E74" s="309" t="s">
        <v>155</v>
      </c>
      <c r="F74" s="309" t="s">
        <v>155</v>
      </c>
      <c r="G74" s="309" t="s">
        <v>155</v>
      </c>
      <c r="H74" s="448" t="str">
        <f t="shared" si="10"/>
        <v>L=112mm</v>
      </c>
      <c r="I74" s="454"/>
      <c r="J74" s="272" t="str">
        <f>H74</f>
        <v>L=112mm</v>
      </c>
      <c r="K74" s="297" t="s">
        <v>306</v>
      </c>
      <c r="L74" s="298" t="b">
        <f>IF(AND(I51=TRUE,'Pos. 5'!AP86=""),FALSE,TRUE)</f>
        <v>1</v>
      </c>
      <c r="M74" s="489"/>
      <c r="U74" s="303" t="b">
        <f>L74</f>
        <v>1</v>
      </c>
      <c r="V74" s="489">
        <f t="shared" si="5"/>
        <v>0</v>
      </c>
    </row>
    <row r="75" spans="2:23" x14ac:dyDescent="0.2">
      <c r="B75" s="448" t="str">
        <f>$H$121</f>
        <v>ohne AL.</v>
      </c>
      <c r="C75" s="502"/>
      <c r="D75" s="273" t="s">
        <v>899</v>
      </c>
      <c r="E75" s="309" t="s">
        <v>900</v>
      </c>
      <c r="F75" s="309" t="s">
        <v>901</v>
      </c>
      <c r="G75" s="310" t="s">
        <v>902</v>
      </c>
      <c r="H75" s="448" t="str">
        <f t="shared" si="10"/>
        <v>(VE à 100 Stk.)</v>
      </c>
      <c r="I75" s="454"/>
      <c r="K75" s="297" t="s">
        <v>686</v>
      </c>
      <c r="L75" s="298" t="b">
        <f>IF(AND(I22=TRUE,'Pos. 5'!AL39=""),FALSE,TRUE)</f>
        <v>1</v>
      </c>
      <c r="M75" s="489"/>
      <c r="U75" s="303" t="b">
        <f>L75</f>
        <v>1</v>
      </c>
      <c r="V75" s="489">
        <f t="shared" si="5"/>
        <v>0</v>
      </c>
    </row>
    <row r="76" spans="2:23" x14ac:dyDescent="0.2">
      <c r="B76" s="448"/>
      <c r="D76" s="273" t="s">
        <v>156</v>
      </c>
      <c r="E76" s="309" t="s">
        <v>240</v>
      </c>
      <c r="F76" s="309" t="s">
        <v>262</v>
      </c>
      <c r="G76" s="310" t="s">
        <v>275</v>
      </c>
      <c r="H76" s="448" t="str">
        <f t="shared" si="10"/>
        <v>Sockelbefestigung:</v>
      </c>
      <c r="I76" s="454"/>
      <c r="K76" s="297" t="s">
        <v>687</v>
      </c>
      <c r="L76" s="298" t="b">
        <f>IF(AND(I45=TRUE,'Pos. 5'!AI57=""),FALSE,TRUE)</f>
        <v>1</v>
      </c>
      <c r="M76" s="489"/>
      <c r="U76" s="303" t="b">
        <f>L76</f>
        <v>1</v>
      </c>
      <c r="V76" s="489">
        <f t="shared" si="5"/>
        <v>0</v>
      </c>
    </row>
    <row r="77" spans="2:23" ht="13.5" thickBot="1" x14ac:dyDescent="0.25">
      <c r="B77" s="448" t="str">
        <f>$H$122</f>
        <v>mit AL. (&gt;2.5m)</v>
      </c>
      <c r="D77" s="273" t="s">
        <v>157</v>
      </c>
      <c r="E77" s="309" t="s">
        <v>241</v>
      </c>
      <c r="F77" s="309" t="s">
        <v>263</v>
      </c>
      <c r="G77" s="310" t="s">
        <v>276</v>
      </c>
      <c r="H77" s="448" t="str">
        <f t="shared" si="10"/>
        <v>Verstellschrauben M10 x</v>
      </c>
      <c r="I77" s="454"/>
      <c r="J77" s="272" t="str">
        <f>H80</f>
        <v>ohne</v>
      </c>
      <c r="K77" s="300" t="s">
        <v>688</v>
      </c>
      <c r="L77" s="301" t="b">
        <f>IF(OR('Pos. 5'!AE84='Sprachen &amp; Rückgabewerte(5)'!H88,AND('Pos. 5'!AE84='Sprachen &amp; Rückgabewerte(5)'!H89,'Pos. 5'!AE85&lt;&gt;"")),TRUE,FALSE)</f>
        <v>0</v>
      </c>
      <c r="M77" s="508"/>
      <c r="U77" s="303" t="b">
        <f>L77</f>
        <v>0</v>
      </c>
      <c r="V77" s="489">
        <f t="shared" si="5"/>
        <v>1</v>
      </c>
    </row>
    <row r="78" spans="2:23" ht="13.5" thickBot="1" x14ac:dyDescent="0.25">
      <c r="B78" s="495" t="str">
        <f>$H$123</f>
        <v>ohne AL. (&lt;2.5m)</v>
      </c>
      <c r="D78" s="273" t="s">
        <v>158</v>
      </c>
      <c r="E78" s="309" t="s">
        <v>158</v>
      </c>
      <c r="F78" s="309" t="s">
        <v>158</v>
      </c>
      <c r="G78" s="309" t="s">
        <v>158</v>
      </c>
      <c r="H78" s="448" t="str">
        <f t="shared" si="10"/>
        <v>L=70mm</v>
      </c>
      <c r="I78" s="454"/>
      <c r="J78" s="272" t="str">
        <f>H78</f>
        <v>L=70mm</v>
      </c>
      <c r="K78" s="34" t="s">
        <v>405</v>
      </c>
      <c r="L78" s="370"/>
      <c r="M78" s="370"/>
      <c r="N78" s="370"/>
      <c r="O78" s="371"/>
      <c r="T78" s="308" t="s">
        <v>952</v>
      </c>
      <c r="U78" s="303" t="b">
        <f>IF('Pos. 5'!AZ9="",FALSE,TRUE)</f>
        <v>0</v>
      </c>
      <c r="V78" s="489">
        <f t="shared" si="5"/>
        <v>1</v>
      </c>
      <c r="W78" s="505">
        <f>SUM(V78:V79)</f>
        <v>2</v>
      </c>
    </row>
    <row r="79" spans="2:23" ht="13.5" thickBot="1" x14ac:dyDescent="0.25">
      <c r="D79" s="273" t="s">
        <v>159</v>
      </c>
      <c r="E79" s="309" t="s">
        <v>159</v>
      </c>
      <c r="F79" s="309" t="s">
        <v>159</v>
      </c>
      <c r="G79" s="309" t="s">
        <v>159</v>
      </c>
      <c r="H79" s="448" t="str">
        <f t="shared" si="10"/>
        <v>L=100mm</v>
      </c>
      <c r="I79" s="454"/>
      <c r="J79" s="272" t="str">
        <f>H79</f>
        <v>L=100mm</v>
      </c>
      <c r="K79" s="509" t="str">
        <f>H65</f>
        <v>mit Verschlussraster (Druckknopf)</v>
      </c>
      <c r="L79" s="510"/>
      <c r="M79" s="511"/>
      <c r="N79" s="512" t="str">
        <f>IF(OR(C62=TRUE,C63=TRUE),K81,K79)</f>
        <v>mit Verschlussraster (Druckknopf)</v>
      </c>
      <c r="O79" s="513"/>
      <c r="T79" s="308" t="s">
        <v>953</v>
      </c>
      <c r="U79" s="303" t="b">
        <f>IF('Pos. 5'!AZ10="",FALSE,TRUE)</f>
        <v>0</v>
      </c>
      <c r="V79" s="489">
        <f t="shared" si="5"/>
        <v>1</v>
      </c>
    </row>
    <row r="80" spans="2:23" ht="13.5" thickBot="1" x14ac:dyDescent="0.25">
      <c r="B80" s="57" t="s">
        <v>578</v>
      </c>
      <c r="D80" s="273" t="s">
        <v>160</v>
      </c>
      <c r="E80" s="309" t="s">
        <v>242</v>
      </c>
      <c r="F80" s="309" t="s">
        <v>264</v>
      </c>
      <c r="G80" s="310" t="s">
        <v>277</v>
      </c>
      <c r="H80" s="448" t="str">
        <f t="shared" si="10"/>
        <v>ohne</v>
      </c>
      <c r="I80" s="454"/>
      <c r="J80" s="272" t="str">
        <f>H80</f>
        <v>ohne</v>
      </c>
      <c r="K80" s="514" t="str">
        <f>H67</f>
        <v>ohne Verschlussraster</v>
      </c>
      <c r="L80" s="515"/>
      <c r="M80" s="466"/>
      <c r="N80" s="516" t="str">
        <f>IF(OR(C62=TRUE,C63=TRUE),K82,K80)</f>
        <v>ohne Verschlussraster</v>
      </c>
      <c r="O80" s="517"/>
      <c r="U80" s="303"/>
      <c r="V80" s="489"/>
    </row>
    <row r="81" spans="1:22" x14ac:dyDescent="0.2">
      <c r="A81" s="518">
        <v>280</v>
      </c>
      <c r="B81" s="519" t="str">
        <f>""</f>
        <v/>
      </c>
      <c r="C81" s="520">
        <v>214</v>
      </c>
      <c r="D81" s="273" t="s">
        <v>161</v>
      </c>
      <c r="E81" s="309" t="s">
        <v>243</v>
      </c>
      <c r="F81" s="309" t="s">
        <v>265</v>
      </c>
      <c r="G81" s="310" t="s">
        <v>278</v>
      </c>
      <c r="H81" s="448" t="str">
        <f t="shared" si="10"/>
        <v>inklusive</v>
      </c>
      <c r="I81" s="454"/>
      <c r="J81" s="272" t="str">
        <f>H81</f>
        <v>inklusive</v>
      </c>
      <c r="K81" s="514" t="str">
        <f>H66</f>
        <v>mit Verschlussraster (Zylinder)</v>
      </c>
      <c r="L81" s="515"/>
      <c r="M81" s="466"/>
      <c r="N81" s="516"/>
      <c r="O81" s="517"/>
      <c r="U81" s="303"/>
      <c r="V81" s="489"/>
    </row>
    <row r="82" spans="1:22" ht="13.5" thickBot="1" x14ac:dyDescent="0.25">
      <c r="A82" s="521">
        <v>254</v>
      </c>
      <c r="B82" s="522">
        <v>85</v>
      </c>
      <c r="C82" s="523">
        <f>IF('Pos. 5'!$T$114='Sprachen &amp; Rückgabewerte(5)'!$J$146,130,144)</f>
        <v>144</v>
      </c>
      <c r="D82" s="273" t="s">
        <v>244</v>
      </c>
      <c r="E82" s="309" t="s">
        <v>245</v>
      </c>
      <c r="F82" s="309" t="s">
        <v>266</v>
      </c>
      <c r="G82" s="310" t="s">
        <v>245</v>
      </c>
      <c r="H82" s="448" t="str">
        <f t="shared" si="10"/>
        <v>Sockel 75</v>
      </c>
      <c r="I82" s="454"/>
      <c r="K82" s="524" t="str">
        <f>H161</f>
        <v>ohne Verschlussraster (Zylinder)</v>
      </c>
      <c r="L82" s="525"/>
      <c r="M82" s="526"/>
      <c r="N82" s="525"/>
      <c r="O82" s="527"/>
      <c r="U82" s="303"/>
      <c r="V82" s="489"/>
    </row>
    <row r="83" spans="1:22" ht="14.25" thickTop="1" thickBot="1" x14ac:dyDescent="0.25">
      <c r="A83" s="521">
        <v>254</v>
      </c>
      <c r="B83" s="522">
        <v>105</v>
      </c>
      <c r="C83" s="523">
        <f>IF('Pos. 5'!$T$114='Sprachen &amp; Rückgabewerte(5)'!$J$146,158,172)</f>
        <v>172</v>
      </c>
      <c r="D83" s="273" t="s">
        <v>160</v>
      </c>
      <c r="E83" s="309" t="s">
        <v>242</v>
      </c>
      <c r="F83" s="309" t="s">
        <v>264</v>
      </c>
      <c r="G83" s="310" t="s">
        <v>277</v>
      </c>
      <c r="H83" s="448" t="str">
        <f t="shared" si="10"/>
        <v>ohne</v>
      </c>
      <c r="I83" s="454"/>
      <c r="S83" s="272" t="s">
        <v>951</v>
      </c>
      <c r="T83" s="307" t="s">
        <v>689</v>
      </c>
      <c r="U83" s="304" t="b">
        <f>IF(V83&gt;0,FALSE,TRUE)</f>
        <v>0</v>
      </c>
      <c r="V83" s="508">
        <f>SUM(V41:V82)</f>
        <v>20</v>
      </c>
    </row>
    <row r="84" spans="1:22" ht="13.5" thickBot="1" x14ac:dyDescent="0.25">
      <c r="A84" s="528">
        <v>228</v>
      </c>
      <c r="B84" s="529">
        <v>110</v>
      </c>
      <c r="C84" s="530">
        <f>IF('Pos. 5'!$T$114='Sprachen &amp; Rückgabewerte(5)'!$J$146,186,200)</f>
        <v>200</v>
      </c>
      <c r="D84" s="273" t="s">
        <v>162</v>
      </c>
      <c r="E84" s="309" t="s">
        <v>246</v>
      </c>
      <c r="F84" s="309" t="s">
        <v>267</v>
      </c>
      <c r="G84" s="310" t="s">
        <v>279</v>
      </c>
      <c r="H84" s="448" t="str">
        <f t="shared" si="10"/>
        <v>Rahmenzusammenbau:</v>
      </c>
      <c r="I84" s="454"/>
    </row>
    <row r="85" spans="1:22" x14ac:dyDescent="0.2">
      <c r="D85" s="273" t="s">
        <v>163</v>
      </c>
      <c r="E85" s="309" t="s">
        <v>247</v>
      </c>
      <c r="F85" s="309" t="s">
        <v>268</v>
      </c>
      <c r="G85" s="310" t="s">
        <v>280</v>
      </c>
      <c r="H85" s="448" t="str">
        <f t="shared" si="10"/>
        <v>Gehrungsstoss (A)</v>
      </c>
      <c r="I85" s="454"/>
      <c r="J85" s="272" t="str">
        <f>H85</f>
        <v>Gehrungsstoss (A)</v>
      </c>
      <c r="L85" s="548" t="s">
        <v>632</v>
      </c>
      <c r="M85" s="549"/>
    </row>
    <row r="86" spans="1:22" ht="13.5" thickBot="1" x14ac:dyDescent="0.25">
      <c r="D86" s="273" t="s">
        <v>301</v>
      </c>
      <c r="E86" s="309" t="s">
        <v>248</v>
      </c>
      <c r="F86" s="309" t="s">
        <v>269</v>
      </c>
      <c r="G86" s="310" t="s">
        <v>467</v>
      </c>
      <c r="H86" s="448" t="str">
        <f t="shared" si="10"/>
        <v>Montagestoss (B)</v>
      </c>
      <c r="I86" s="454"/>
      <c r="J86" s="272" t="str">
        <f>H86</f>
        <v>Montagestoss (B)</v>
      </c>
      <c r="L86" s="531"/>
      <c r="M86" s="325"/>
    </row>
    <row r="87" spans="1:22" x14ac:dyDescent="0.2">
      <c r="B87" s="546" t="s">
        <v>608</v>
      </c>
      <c r="C87" s="547"/>
      <c r="D87" s="273" t="s">
        <v>164</v>
      </c>
      <c r="E87" s="309" t="s">
        <v>249</v>
      </c>
      <c r="F87" s="309" t="s">
        <v>309</v>
      </c>
      <c r="G87" s="310" t="s">
        <v>281</v>
      </c>
      <c r="H87" s="448" t="str">
        <f t="shared" si="10"/>
        <v>Logistik:</v>
      </c>
      <c r="I87" s="454"/>
      <c r="L87" s="532">
        <v>1</v>
      </c>
      <c r="M87" s="310" t="str">
        <f>CONCATENATE($H$154," ",L87)</f>
        <v>Kalenderwoche 1</v>
      </c>
    </row>
    <row r="88" spans="1:22" x14ac:dyDescent="0.2">
      <c r="B88" s="317" t="s">
        <v>609</v>
      </c>
      <c r="C88" s="363">
        <f>IF(AND(I50=TRUE,'Pos. 5'!T104&lt;&gt;""),0,1)</f>
        <v>1</v>
      </c>
      <c r="D88" s="273" t="s">
        <v>302</v>
      </c>
      <c r="E88" s="309" t="s">
        <v>693</v>
      </c>
      <c r="F88" s="309" t="s">
        <v>303</v>
      </c>
      <c r="G88" s="310" t="s">
        <v>482</v>
      </c>
      <c r="H88" s="448" t="str">
        <f t="shared" si="10"/>
        <v>ohne Glas-Sortierung</v>
      </c>
      <c r="I88" s="454"/>
      <c r="J88" s="272" t="str">
        <f>H88</f>
        <v>ohne Glas-Sortierung</v>
      </c>
      <c r="L88" s="532">
        <v>2</v>
      </c>
      <c r="M88" s="310" t="str">
        <f t="shared" ref="M88:M138" si="11">CONCATENATE($H$154," ",L88)</f>
        <v>Kalenderwoche 2</v>
      </c>
    </row>
    <row r="89" spans="1:22" x14ac:dyDescent="0.2">
      <c r="B89" s="273" t="s">
        <v>610</v>
      </c>
      <c r="C89" s="467">
        <f>IF(AND(I50=TRUE,'Pos. 5'!T106&lt;&gt;""),0,1)</f>
        <v>1</v>
      </c>
      <c r="D89" s="273" t="s">
        <v>165</v>
      </c>
      <c r="E89" s="309" t="s">
        <v>304</v>
      </c>
      <c r="F89" s="309" t="s">
        <v>305</v>
      </c>
      <c r="G89" s="310" t="s">
        <v>483</v>
      </c>
      <c r="H89" s="448" t="str">
        <f>IF($B$3=$A$3,D89,IF($B$3=$A$4,E89,IF($B$3=$A$5,F89,IF($B$3=$A$6,$G$89,""))))</f>
        <v>nach Stockwerk:</v>
      </c>
      <c r="I89" s="454"/>
      <c r="J89" s="272" t="str">
        <f>H89</f>
        <v>nach Stockwerk:</v>
      </c>
      <c r="L89" s="532">
        <v>3</v>
      </c>
      <c r="M89" s="310" t="str">
        <f t="shared" si="11"/>
        <v>Kalenderwoche 3</v>
      </c>
    </row>
    <row r="90" spans="1:22" x14ac:dyDescent="0.2">
      <c r="B90" s="273" t="s">
        <v>611</v>
      </c>
      <c r="C90" s="467">
        <f>IF(AND(I50=TRUE,'Pos. 5'!T108&lt;&gt;""),0,1)</f>
        <v>1</v>
      </c>
      <c r="D90" s="273" t="s">
        <v>251</v>
      </c>
      <c r="E90" s="309" t="s">
        <v>250</v>
      </c>
      <c r="F90" s="309" t="s">
        <v>270</v>
      </c>
      <c r="G90" s="310" t="s">
        <v>337</v>
      </c>
      <c r="H90" s="448" t="str">
        <f>IF($B$3=$A$3,D90,IF($B$3=$A$4,E90,IF($B$3=$A$5,F90,IF($B$3=$A$6,G90,""))))</f>
        <v>Wunschtermin:</v>
      </c>
      <c r="I90" s="454"/>
      <c r="L90" s="532">
        <v>4</v>
      </c>
      <c r="M90" s="310" t="str">
        <f t="shared" si="11"/>
        <v>Kalenderwoche 4</v>
      </c>
    </row>
    <row r="91" spans="1:22" x14ac:dyDescent="0.2">
      <c r="B91" s="273" t="s">
        <v>612</v>
      </c>
      <c r="C91" s="467">
        <f>IF(AND(I50=TRUE,'Pos. 5'!T110&lt;&gt;""),0,1)</f>
        <v>1</v>
      </c>
      <c r="D91" s="273" t="s">
        <v>354</v>
      </c>
      <c r="E91" s="309" t="s">
        <v>252</v>
      </c>
      <c r="F91" s="309" t="s">
        <v>355</v>
      </c>
      <c r="G91" s="310" t="s">
        <v>356</v>
      </c>
      <c r="H91" s="448" t="str">
        <f t="shared" ref="H91:H111" si="12">IF($B$3=$A$3,D91,IF($B$3=$A$4,E91,IF($B$3=$A$5,F91,IF($B$3=$A$6,G91,""))))</f>
        <v>Farbe Laufschiene + Schraubenarretierungen:</v>
      </c>
      <c r="I91" s="454"/>
      <c r="L91" s="532">
        <v>5</v>
      </c>
      <c r="M91" s="310" t="str">
        <f t="shared" si="11"/>
        <v>Kalenderwoche 5</v>
      </c>
    </row>
    <row r="92" spans="1:22" x14ac:dyDescent="0.2">
      <c r="B92" s="273" t="s">
        <v>613</v>
      </c>
      <c r="C92" s="467">
        <f>IF(AND(I50=TRUE,'Pos. 5'!T112&lt;&gt;""),0,1)</f>
        <v>1</v>
      </c>
      <c r="D92" s="273" t="s">
        <v>399</v>
      </c>
      <c r="E92" s="309" t="s">
        <v>400</v>
      </c>
      <c r="F92" s="309" t="s">
        <v>401</v>
      </c>
      <c r="G92" s="310" t="s">
        <v>402</v>
      </c>
      <c r="H92" s="448" t="str">
        <f t="shared" si="12"/>
        <v>Silber</v>
      </c>
      <c r="I92" s="454"/>
      <c r="J92" s="272" t="str">
        <f>H92</f>
        <v>Silber</v>
      </c>
      <c r="L92" s="532">
        <v>6</v>
      </c>
      <c r="M92" s="310" t="str">
        <f t="shared" si="11"/>
        <v>Kalenderwoche 6</v>
      </c>
    </row>
    <row r="93" spans="1:22" x14ac:dyDescent="0.2">
      <c r="B93" s="273" t="s">
        <v>614</v>
      </c>
      <c r="C93" s="467">
        <f>IF(AND(I50=TRUE,'Pos. 5'!T114&lt;&gt;""),0,1)</f>
        <v>1</v>
      </c>
      <c r="D93" s="273" t="s">
        <v>166</v>
      </c>
      <c r="E93" s="309" t="s">
        <v>253</v>
      </c>
      <c r="F93" s="309" t="s">
        <v>271</v>
      </c>
      <c r="G93" s="310" t="s">
        <v>282</v>
      </c>
      <c r="H93" s="448" t="str">
        <f t="shared" si="12"/>
        <v>Schwarz</v>
      </c>
      <c r="I93" s="454"/>
      <c r="J93" s="272" t="str">
        <f>H93</f>
        <v>Schwarz</v>
      </c>
      <c r="L93" s="532">
        <v>7</v>
      </c>
      <c r="M93" s="310" t="str">
        <f t="shared" si="11"/>
        <v>Kalenderwoche 7</v>
      </c>
      <c r="N93" s="533"/>
    </row>
    <row r="94" spans="1:22" x14ac:dyDescent="0.2">
      <c r="B94" s="273"/>
      <c r="C94" s="310"/>
      <c r="D94" s="273" t="s">
        <v>348</v>
      </c>
      <c r="E94" s="309" t="s">
        <v>552</v>
      </c>
      <c r="F94" s="309" t="s">
        <v>346</v>
      </c>
      <c r="G94" s="310" t="s">
        <v>349</v>
      </c>
      <c r="H94" s="448" t="str">
        <f t="shared" si="12"/>
        <v>Druckausgleichsventile :</v>
      </c>
      <c r="I94" s="454"/>
      <c r="L94" s="532">
        <v>8</v>
      </c>
      <c r="M94" s="310" t="str">
        <f t="shared" si="11"/>
        <v>Kalenderwoche 8</v>
      </c>
    </row>
    <row r="95" spans="1:22" ht="13.5" thickBot="1" x14ac:dyDescent="0.25">
      <c r="B95" s="218" t="s">
        <v>615</v>
      </c>
      <c r="C95" s="219">
        <f>SUM(C88:C93)</f>
        <v>6</v>
      </c>
      <c r="D95" s="273" t="s">
        <v>167</v>
      </c>
      <c r="E95" s="309" t="s">
        <v>172</v>
      </c>
      <c r="F95" s="309" t="s">
        <v>292</v>
      </c>
      <c r="G95" s="310" t="s">
        <v>283</v>
      </c>
      <c r="H95" s="448" t="str">
        <f t="shared" si="12"/>
        <v>Ja</v>
      </c>
      <c r="I95" s="454"/>
      <c r="J95" s="272" t="str">
        <f>H95</f>
        <v>Ja</v>
      </c>
      <c r="L95" s="532">
        <v>9</v>
      </c>
      <c r="M95" s="310" t="str">
        <f t="shared" si="11"/>
        <v>Kalenderwoche 9</v>
      </c>
    </row>
    <row r="96" spans="1:22" x14ac:dyDescent="0.2">
      <c r="D96" s="273" t="s">
        <v>168</v>
      </c>
      <c r="E96" s="309" t="s">
        <v>173</v>
      </c>
      <c r="F96" s="309" t="s">
        <v>822</v>
      </c>
      <c r="G96" s="310" t="s">
        <v>173</v>
      </c>
      <c r="H96" s="448" t="str">
        <f t="shared" si="12"/>
        <v>Nein</v>
      </c>
      <c r="I96" s="454"/>
      <c r="J96" s="272" t="str">
        <f>H96</f>
        <v>Nein</v>
      </c>
      <c r="L96" s="532">
        <v>10</v>
      </c>
      <c r="M96" s="310" t="str">
        <f t="shared" si="11"/>
        <v>Kalenderwoche 10</v>
      </c>
    </row>
    <row r="97" spans="4:14" x14ac:dyDescent="0.2">
      <c r="D97" s="273" t="s">
        <v>169</v>
      </c>
      <c r="E97" s="309" t="s">
        <v>174</v>
      </c>
      <c r="F97" s="309" t="s">
        <v>293</v>
      </c>
      <c r="G97" s="310" t="s">
        <v>284</v>
      </c>
      <c r="H97" s="448" t="str">
        <f t="shared" si="12"/>
        <v>Digitale Unterschrift:</v>
      </c>
      <c r="I97" s="454"/>
      <c r="L97" s="532">
        <v>11</v>
      </c>
      <c r="M97" s="310" t="str">
        <f t="shared" si="11"/>
        <v>Kalenderwoche 11</v>
      </c>
    </row>
    <row r="98" spans="4:14" x14ac:dyDescent="0.2">
      <c r="D98" s="273" t="s">
        <v>171</v>
      </c>
      <c r="E98" s="309" t="s">
        <v>254</v>
      </c>
      <c r="F98" s="309" t="s">
        <v>294</v>
      </c>
      <c r="G98" s="310" t="s">
        <v>338</v>
      </c>
      <c r="H98" s="448" t="str">
        <f t="shared" si="12"/>
        <v>Bestellung an:</v>
      </c>
      <c r="I98" s="454"/>
      <c r="L98" s="532">
        <v>12</v>
      </c>
      <c r="M98" s="310" t="str">
        <f t="shared" si="11"/>
        <v>Kalenderwoche 12</v>
      </c>
    </row>
    <row r="99" spans="4:14" x14ac:dyDescent="0.2">
      <c r="D99" s="273" t="s">
        <v>170</v>
      </c>
      <c r="E99" s="309" t="s">
        <v>170</v>
      </c>
      <c r="F99" s="309" t="s">
        <v>170</v>
      </c>
      <c r="G99" s="310" t="s">
        <v>170</v>
      </c>
      <c r="H99" s="448" t="str">
        <f t="shared" si="12"/>
        <v>orders@sky-frame.ch</v>
      </c>
      <c r="I99" s="454"/>
      <c r="L99" s="532">
        <v>13</v>
      </c>
      <c r="M99" s="310" t="str">
        <f t="shared" si="11"/>
        <v>Kalenderwoche 13</v>
      </c>
    </row>
    <row r="100" spans="4:14" x14ac:dyDescent="0.2">
      <c r="D100" s="273"/>
      <c r="E100" s="309"/>
      <c r="F100" s="309"/>
      <c r="G100" s="310"/>
      <c r="H100" s="448">
        <f t="shared" si="12"/>
        <v>0</v>
      </c>
      <c r="I100" s="454"/>
      <c r="L100" s="532">
        <v>14</v>
      </c>
      <c r="M100" s="310" t="str">
        <f t="shared" si="11"/>
        <v>Kalenderwoche 14</v>
      </c>
    </row>
    <row r="101" spans="4:14" x14ac:dyDescent="0.2">
      <c r="D101" s="273"/>
      <c r="E101" s="309"/>
      <c r="F101" s="309"/>
      <c r="G101" s="310"/>
      <c r="H101" s="448">
        <f t="shared" si="12"/>
        <v>0</v>
      </c>
      <c r="I101" s="454"/>
      <c r="L101" s="532">
        <v>15</v>
      </c>
      <c r="M101" s="310" t="str">
        <f t="shared" si="11"/>
        <v>Kalenderwoche 15</v>
      </c>
    </row>
    <row r="102" spans="4:14" ht="51" x14ac:dyDescent="0.2">
      <c r="D102" s="336" t="s">
        <v>470</v>
      </c>
      <c r="E102" s="497" t="s">
        <v>255</v>
      </c>
      <c r="F102" s="497" t="s">
        <v>674</v>
      </c>
      <c r="G102" s="498" t="s">
        <v>395</v>
      </c>
      <c r="H102" s="534" t="str">
        <f t="shared" si="12"/>
        <v>Diese Bestellung ist verbindlich und muss komplett ausgefüllt werden. Änderungen werden als Mehraufwand verrechnet.</v>
      </c>
      <c r="I102" s="454"/>
      <c r="L102" s="532">
        <v>16</v>
      </c>
      <c r="M102" s="310" t="str">
        <f t="shared" si="11"/>
        <v>Kalenderwoche 16</v>
      </c>
    </row>
    <row r="103" spans="4:14" ht="12.75" customHeight="1" x14ac:dyDescent="0.2">
      <c r="D103" s="336"/>
      <c r="E103" s="309"/>
      <c r="F103" s="309"/>
      <c r="G103" s="310"/>
      <c r="H103" s="448"/>
      <c r="I103" s="454"/>
      <c r="L103" s="532">
        <v>17</v>
      </c>
      <c r="M103" s="310" t="str">
        <f t="shared" si="11"/>
        <v>Kalenderwoche 17</v>
      </c>
      <c r="N103" s="533"/>
    </row>
    <row r="104" spans="4:14" ht="12.75" customHeight="1" x14ac:dyDescent="0.2">
      <c r="D104" s="273" t="s">
        <v>209</v>
      </c>
      <c r="E104" s="309" t="s">
        <v>681</v>
      </c>
      <c r="F104" s="309" t="s">
        <v>295</v>
      </c>
      <c r="G104" s="310" t="s">
        <v>339</v>
      </c>
      <c r="H104" s="448" t="str">
        <f t="shared" si="12"/>
        <v>A-Ecke 90°</v>
      </c>
      <c r="I104" s="454"/>
      <c r="L104" s="532">
        <v>18</v>
      </c>
      <c r="M104" s="310" t="str">
        <f t="shared" si="11"/>
        <v>Kalenderwoche 18</v>
      </c>
    </row>
    <row r="105" spans="4:14" ht="12.75" customHeight="1" x14ac:dyDescent="0.2">
      <c r="D105" s="273" t="s">
        <v>210</v>
      </c>
      <c r="E105" s="309" t="s">
        <v>680</v>
      </c>
      <c r="F105" s="309" t="s">
        <v>423</v>
      </c>
      <c r="G105" s="310" t="s">
        <v>340</v>
      </c>
      <c r="H105" s="448" t="str">
        <f t="shared" si="12"/>
        <v>I-Ecke 90°</v>
      </c>
      <c r="I105" s="454"/>
      <c r="L105" s="532">
        <v>19</v>
      </c>
      <c r="M105" s="310" t="str">
        <f t="shared" si="11"/>
        <v>Kalenderwoche 19</v>
      </c>
    </row>
    <row r="106" spans="4:14" ht="12.75" customHeight="1" x14ac:dyDescent="0.2">
      <c r="D106" s="273" t="s">
        <v>212</v>
      </c>
      <c r="E106" s="309" t="s">
        <v>679</v>
      </c>
      <c r="F106" s="309" t="s">
        <v>296</v>
      </c>
      <c r="G106" s="310" t="s">
        <v>341</v>
      </c>
      <c r="H106" s="448" t="str">
        <f t="shared" si="12"/>
        <v>A-Ecke≠90°</v>
      </c>
      <c r="I106" s="454"/>
      <c r="L106" s="532">
        <v>20</v>
      </c>
      <c r="M106" s="310" t="str">
        <f t="shared" si="11"/>
        <v>Kalenderwoche 20</v>
      </c>
    </row>
    <row r="107" spans="4:14" ht="12.75" customHeight="1" x14ac:dyDescent="0.2">
      <c r="D107" s="273" t="s">
        <v>213</v>
      </c>
      <c r="E107" s="309" t="s">
        <v>678</v>
      </c>
      <c r="F107" s="309" t="s">
        <v>424</v>
      </c>
      <c r="G107" s="310" t="s">
        <v>342</v>
      </c>
      <c r="H107" s="448" t="str">
        <f t="shared" si="12"/>
        <v>I-Ecke≠90°</v>
      </c>
      <c r="I107" s="454"/>
      <c r="L107" s="532">
        <v>21</v>
      </c>
      <c r="M107" s="310" t="str">
        <f t="shared" si="11"/>
        <v>Kalenderwoche 21</v>
      </c>
    </row>
    <row r="108" spans="4:14" ht="12.75" customHeight="1" x14ac:dyDescent="0.2">
      <c r="D108" s="273" t="s">
        <v>410</v>
      </c>
      <c r="E108" s="309" t="s">
        <v>411</v>
      </c>
      <c r="F108" s="309" t="s">
        <v>412</v>
      </c>
      <c r="G108" s="310" t="s">
        <v>413</v>
      </c>
      <c r="H108" s="448" t="str">
        <f t="shared" si="12"/>
        <v>Wert:</v>
      </c>
      <c r="I108" s="454"/>
      <c r="L108" s="532">
        <v>22</v>
      </c>
      <c r="M108" s="310" t="str">
        <f t="shared" si="11"/>
        <v>Kalenderwoche 22</v>
      </c>
    </row>
    <row r="109" spans="4:14" ht="12.75" customHeight="1" x14ac:dyDescent="0.2">
      <c r="D109" s="273" t="s">
        <v>257</v>
      </c>
      <c r="E109" s="309" t="s">
        <v>256</v>
      </c>
      <c r="F109" s="309" t="s">
        <v>297</v>
      </c>
      <c r="G109" s="309" t="s">
        <v>343</v>
      </c>
      <c r="H109" s="448" t="str">
        <f t="shared" si="12"/>
        <v>Bitte auswählen:</v>
      </c>
      <c r="I109" s="454"/>
      <c r="L109" s="532">
        <v>23</v>
      </c>
      <c r="M109" s="310" t="str">
        <f t="shared" si="11"/>
        <v>Kalenderwoche 23</v>
      </c>
    </row>
    <row r="110" spans="4:14" ht="12.75" customHeight="1" x14ac:dyDescent="0.2">
      <c r="D110" s="273" t="s">
        <v>317</v>
      </c>
      <c r="E110" s="309" t="s">
        <v>317</v>
      </c>
      <c r="F110" s="309" t="s">
        <v>317</v>
      </c>
      <c r="G110" s="309" t="s">
        <v>317</v>
      </c>
      <c r="H110" s="448" t="str">
        <f t="shared" si="12"/>
        <v>KABA (22)</v>
      </c>
      <c r="I110" s="454" t="b">
        <v>0</v>
      </c>
      <c r="L110" s="532">
        <v>24</v>
      </c>
      <c r="M110" s="310" t="str">
        <f t="shared" si="11"/>
        <v>Kalenderwoche 24</v>
      </c>
    </row>
    <row r="111" spans="4:14" ht="12.75" customHeight="1" x14ac:dyDescent="0.2">
      <c r="D111" s="273" t="s">
        <v>318</v>
      </c>
      <c r="E111" s="309" t="s">
        <v>318</v>
      </c>
      <c r="F111" s="309" t="s">
        <v>318</v>
      </c>
      <c r="G111" s="310" t="s">
        <v>318</v>
      </c>
      <c r="H111" s="448" t="str">
        <f t="shared" si="12"/>
        <v>PZ / Euro (17)</v>
      </c>
      <c r="I111" s="454" t="b">
        <v>0</v>
      </c>
      <c r="L111" s="532">
        <v>25</v>
      </c>
      <c r="M111" s="310" t="str">
        <f t="shared" si="11"/>
        <v>Kalenderwoche 25</v>
      </c>
    </row>
    <row r="112" spans="4:14" x14ac:dyDescent="0.2">
      <c r="D112" s="273" t="s">
        <v>357</v>
      </c>
      <c r="E112" s="309" t="s">
        <v>358</v>
      </c>
      <c r="F112" s="309" t="s">
        <v>359</v>
      </c>
      <c r="G112" s="310" t="s">
        <v>360</v>
      </c>
      <c r="H112" s="448" t="str">
        <f>IF($B$3=$A$3,D112,IF($B$3=$A$4,E112,IF($B$3=$A$5,F112,IF($B$3=$A$6,G112,""))))</f>
        <v>mit CFK</v>
      </c>
      <c r="I112" s="454"/>
      <c r="L112" s="532">
        <v>26</v>
      </c>
      <c r="M112" s="310" t="str">
        <f t="shared" si="11"/>
        <v>Kalenderwoche 26</v>
      </c>
    </row>
    <row r="113" spans="4:14" x14ac:dyDescent="0.2">
      <c r="D113" s="273" t="s">
        <v>361</v>
      </c>
      <c r="E113" s="309" t="s">
        <v>362</v>
      </c>
      <c r="F113" s="309" t="s">
        <v>363</v>
      </c>
      <c r="G113" s="310" t="s">
        <v>364</v>
      </c>
      <c r="H113" s="448" t="str">
        <f>IF($B$3=$A$3,D113,IF($B$3=$A$4,E113,IF($B$3=$A$5,F113,IF($B$3=$A$6,G113,""))))</f>
        <v>ohne CFK</v>
      </c>
      <c r="I113" s="454"/>
      <c r="L113" s="532">
        <v>27</v>
      </c>
      <c r="M113" s="310" t="str">
        <f t="shared" si="11"/>
        <v>Kalenderwoche 27</v>
      </c>
      <c r="N113" s="533"/>
    </row>
    <row r="114" spans="4:14" x14ac:dyDescent="0.2">
      <c r="D114" s="273" t="s">
        <v>365</v>
      </c>
      <c r="E114" s="309" t="s">
        <v>367</v>
      </c>
      <c r="F114" s="309" t="s">
        <v>369</v>
      </c>
      <c r="G114" s="310" t="s">
        <v>403</v>
      </c>
      <c r="H114" s="448" t="str">
        <f>IF($B$3=$A$3,D114,IF($B$3=$A$4,E114,IF($B$3=$A$5,F114,IF($B$3=$A$6,G114,""))))</f>
        <v>mit Stahl</v>
      </c>
      <c r="I114" s="454"/>
      <c r="L114" s="532">
        <v>28</v>
      </c>
      <c r="M114" s="310" t="str">
        <f t="shared" si="11"/>
        <v>Kalenderwoche 28</v>
      </c>
    </row>
    <row r="115" spans="4:14" x14ac:dyDescent="0.2">
      <c r="D115" s="273" t="s">
        <v>366</v>
      </c>
      <c r="E115" s="309" t="s">
        <v>368</v>
      </c>
      <c r="F115" s="309" t="s">
        <v>370</v>
      </c>
      <c r="G115" s="310" t="s">
        <v>404</v>
      </c>
      <c r="H115" s="448" t="str">
        <f>IF($B$3=$A$3,D115,IF($B$3=$A$4,E115,IF($B$3=$A$5,F115,IF($B$3=$A$6,G115,""))))</f>
        <v>ohne Stahl</v>
      </c>
      <c r="I115" s="454"/>
      <c r="L115" s="532">
        <v>29</v>
      </c>
      <c r="M115" s="310" t="str">
        <f t="shared" si="11"/>
        <v>Kalenderwoche 29</v>
      </c>
    </row>
    <row r="116" spans="4:14" x14ac:dyDescent="0.2">
      <c r="D116" s="273" t="s">
        <v>371</v>
      </c>
      <c r="E116" s="309" t="s">
        <v>374</v>
      </c>
      <c r="F116" s="309" t="s">
        <v>376</v>
      </c>
      <c r="G116" s="310" t="s">
        <v>379</v>
      </c>
      <c r="H116" s="448" t="str">
        <f>IF($B$3=$A$3,D116,IF($B$3=$A$4,E116,IF($B$3=$A$5,F116,IF($B$3=$A$6,G116,""))))</f>
        <v>Ganzglas-Ecke</v>
      </c>
      <c r="I116" s="454"/>
      <c r="L116" s="532">
        <v>30</v>
      </c>
      <c r="M116" s="310" t="str">
        <f t="shared" si="11"/>
        <v>Kalenderwoche 30</v>
      </c>
    </row>
    <row r="117" spans="4:14" x14ac:dyDescent="0.2">
      <c r="D117" s="273" t="s">
        <v>372</v>
      </c>
      <c r="E117" s="309" t="s">
        <v>677</v>
      </c>
      <c r="F117" s="309" t="s">
        <v>377</v>
      </c>
      <c r="G117" s="310" t="s">
        <v>380</v>
      </c>
      <c r="H117" s="448" t="str">
        <f t="shared" ref="H117:H180" si="13">IF($B$3=$A$3,D117,IF($B$3=$A$4,E117,IF($B$3=$A$5,F117,IF($B$3=$A$6,G117,""))))</f>
        <v>Ecke RC2 (WK2)</v>
      </c>
      <c r="I117" s="454"/>
      <c r="L117" s="532">
        <v>31</v>
      </c>
      <c r="M117" s="310" t="str">
        <f t="shared" si="11"/>
        <v>Kalenderwoche 31</v>
      </c>
    </row>
    <row r="118" spans="4:14" x14ac:dyDescent="0.2">
      <c r="D118" s="273" t="s">
        <v>373</v>
      </c>
      <c r="E118" s="309" t="s">
        <v>375</v>
      </c>
      <c r="F118" s="309" t="s">
        <v>378</v>
      </c>
      <c r="G118" s="310" t="s">
        <v>381</v>
      </c>
      <c r="H118" s="448" t="str">
        <f t="shared" si="13"/>
        <v>Standard (RC2 in Anlehnung)</v>
      </c>
      <c r="I118" s="454"/>
      <c r="L118" s="532">
        <v>32</v>
      </c>
      <c r="M118" s="310" t="str">
        <f t="shared" si="11"/>
        <v>Kalenderwoche 32</v>
      </c>
    </row>
    <row r="119" spans="4:14" x14ac:dyDescent="0.2">
      <c r="D119" s="273" t="s">
        <v>994</v>
      </c>
      <c r="E119" s="309" t="s">
        <v>995</v>
      </c>
      <c r="F119" s="309" t="s">
        <v>996</v>
      </c>
      <c r="G119" s="310" t="s">
        <v>997</v>
      </c>
      <c r="H119" s="448" t="str">
        <f t="shared" si="13"/>
        <v>RC2 mit Blech</v>
      </c>
      <c r="I119" s="454"/>
      <c r="L119" s="532">
        <v>33</v>
      </c>
      <c r="M119" s="310" t="str">
        <f t="shared" si="11"/>
        <v>Kalenderwoche 33</v>
      </c>
    </row>
    <row r="120" spans="4:14" x14ac:dyDescent="0.2">
      <c r="D120" s="273" t="s">
        <v>382</v>
      </c>
      <c r="E120" s="309" t="s">
        <v>387</v>
      </c>
      <c r="F120" s="309" t="s">
        <v>388</v>
      </c>
      <c r="G120" s="310" t="s">
        <v>391</v>
      </c>
      <c r="H120" s="448" t="str">
        <f t="shared" si="13"/>
        <v>mit AL.</v>
      </c>
      <c r="I120" s="454"/>
      <c r="L120" s="532">
        <v>34</v>
      </c>
      <c r="M120" s="310" t="str">
        <f t="shared" si="11"/>
        <v>Kalenderwoche 34</v>
      </c>
    </row>
    <row r="121" spans="4:14" x14ac:dyDescent="0.2">
      <c r="D121" s="273" t="s">
        <v>383</v>
      </c>
      <c r="E121" s="309" t="s">
        <v>386</v>
      </c>
      <c r="F121" s="309" t="s">
        <v>389</v>
      </c>
      <c r="G121" s="310" t="s">
        <v>392</v>
      </c>
      <c r="H121" s="448" t="str">
        <f t="shared" si="13"/>
        <v>ohne AL.</v>
      </c>
      <c r="I121" s="454"/>
      <c r="L121" s="532">
        <v>35</v>
      </c>
      <c r="M121" s="310" t="str">
        <f t="shared" si="11"/>
        <v>Kalenderwoche 35</v>
      </c>
    </row>
    <row r="122" spans="4:14" x14ac:dyDescent="0.2">
      <c r="D122" s="273" t="s">
        <v>384</v>
      </c>
      <c r="E122" s="309" t="s">
        <v>385</v>
      </c>
      <c r="F122" s="309" t="s">
        <v>390</v>
      </c>
      <c r="G122" s="310" t="s">
        <v>393</v>
      </c>
      <c r="H122" s="448" t="str">
        <f t="shared" si="13"/>
        <v>mit AL. (&gt;2.5m)</v>
      </c>
      <c r="I122" s="454"/>
      <c r="L122" s="532">
        <v>36</v>
      </c>
      <c r="M122" s="310" t="str">
        <f t="shared" si="11"/>
        <v>Kalenderwoche 36</v>
      </c>
    </row>
    <row r="123" spans="4:14" x14ac:dyDescent="0.2">
      <c r="D123" s="273" t="s">
        <v>651</v>
      </c>
      <c r="E123" s="309" t="s">
        <v>652</v>
      </c>
      <c r="F123" s="309" t="s">
        <v>653</v>
      </c>
      <c r="G123" s="310" t="s">
        <v>669</v>
      </c>
      <c r="H123" s="448" t="str">
        <f t="shared" si="13"/>
        <v>ohne AL. (&lt;2.5m)</v>
      </c>
      <c r="I123" s="454"/>
      <c r="L123" s="532">
        <v>37</v>
      </c>
      <c r="M123" s="310" t="str">
        <f t="shared" si="11"/>
        <v>Kalenderwoche 37</v>
      </c>
    </row>
    <row r="124" spans="4:14" x14ac:dyDescent="0.2">
      <c r="D124" s="273" t="s">
        <v>396</v>
      </c>
      <c r="E124" s="309" t="s">
        <v>676</v>
      </c>
      <c r="F124" s="309" t="s">
        <v>397</v>
      </c>
      <c r="G124" s="310" t="s">
        <v>398</v>
      </c>
      <c r="H124" s="448" t="str">
        <f t="shared" si="13"/>
        <v>Ecke:</v>
      </c>
      <c r="I124" s="454"/>
      <c r="L124" s="532">
        <v>38</v>
      </c>
      <c r="M124" s="310" t="str">
        <f t="shared" si="11"/>
        <v>Kalenderwoche 38</v>
      </c>
    </row>
    <row r="125" spans="4:14" x14ac:dyDescent="0.2">
      <c r="D125" s="273" t="s">
        <v>418</v>
      </c>
      <c r="E125" s="309" t="s">
        <v>418</v>
      </c>
      <c r="F125" s="309" t="s">
        <v>418</v>
      </c>
      <c r="G125" s="310" t="s">
        <v>418</v>
      </c>
      <c r="H125" s="448" t="str">
        <f t="shared" si="13"/>
        <v>NFRC (USA)</v>
      </c>
      <c r="I125" s="454" t="b">
        <v>0</v>
      </c>
      <c r="L125" s="532">
        <v>39</v>
      </c>
      <c r="M125" s="310" t="str">
        <f t="shared" si="11"/>
        <v>Kalenderwoche 39</v>
      </c>
    </row>
    <row r="126" spans="4:14" x14ac:dyDescent="0.2">
      <c r="D126" s="273" t="s">
        <v>429</v>
      </c>
      <c r="E126" s="309" t="s">
        <v>461</v>
      </c>
      <c r="F126" s="309" t="s">
        <v>464</v>
      </c>
      <c r="G126" s="310" t="s">
        <v>450</v>
      </c>
      <c r="H126" s="448" t="str">
        <f t="shared" si="13"/>
        <v>Bestellung vollständig ausfüllen.</v>
      </c>
      <c r="I126" s="454"/>
      <c r="L126" s="532">
        <v>40</v>
      </c>
      <c r="M126" s="310" t="str">
        <f t="shared" si="11"/>
        <v>Kalenderwoche 40</v>
      </c>
    </row>
    <row r="127" spans="4:14" x14ac:dyDescent="0.2">
      <c r="D127" s="273" t="s">
        <v>444</v>
      </c>
      <c r="E127" s="309" t="s">
        <v>462</v>
      </c>
      <c r="F127" s="309" t="s">
        <v>466</v>
      </c>
      <c r="G127" s="310" t="s">
        <v>451</v>
      </c>
      <c r="H127" s="448" t="str">
        <f t="shared" si="13"/>
        <v>Überprüfen ob keine roten Rahmen aufleuchten.</v>
      </c>
      <c r="I127" s="454"/>
      <c r="L127" s="532">
        <v>41</v>
      </c>
      <c r="M127" s="310" t="str">
        <f t="shared" si="11"/>
        <v>Kalenderwoche 41</v>
      </c>
    </row>
    <row r="128" spans="4:14" x14ac:dyDescent="0.2">
      <c r="D128" s="273" t="s">
        <v>445</v>
      </c>
      <c r="E128" s="309" t="s">
        <v>463</v>
      </c>
      <c r="F128" s="309" t="s">
        <v>465</v>
      </c>
      <c r="G128" s="310" t="s">
        <v>452</v>
      </c>
      <c r="H128" s="448" t="str">
        <f t="shared" si="13"/>
        <v>Bestellung senden an:</v>
      </c>
      <c r="I128" s="454"/>
      <c r="L128" s="532">
        <v>42</v>
      </c>
      <c r="M128" s="310" t="str">
        <f t="shared" si="11"/>
        <v>Kalenderwoche 42</v>
      </c>
    </row>
    <row r="129" spans="4:13" x14ac:dyDescent="0.2">
      <c r="D129" s="273" t="s">
        <v>443</v>
      </c>
      <c r="E129" s="309" t="s">
        <v>460</v>
      </c>
      <c r="F129" s="309" t="s">
        <v>460</v>
      </c>
      <c r="G129" s="310" t="s">
        <v>449</v>
      </c>
      <c r="H129" s="448" t="str">
        <f t="shared" si="13"/>
        <v>Anleitung:</v>
      </c>
      <c r="I129" s="454"/>
      <c r="L129" s="532">
        <v>43</v>
      </c>
      <c r="M129" s="310" t="str">
        <f t="shared" si="11"/>
        <v>Kalenderwoche 43</v>
      </c>
    </row>
    <row r="130" spans="4:13" x14ac:dyDescent="0.2">
      <c r="D130" s="273" t="s">
        <v>472</v>
      </c>
      <c r="E130" s="309" t="s">
        <v>471</v>
      </c>
      <c r="F130" s="309" t="s">
        <v>477</v>
      </c>
      <c r="G130" s="310" t="s">
        <v>621</v>
      </c>
      <c r="H130" s="448" t="str">
        <f t="shared" si="13"/>
        <v>Vertriebspartner:</v>
      </c>
      <c r="I130" s="454"/>
      <c r="L130" s="532">
        <v>44</v>
      </c>
      <c r="M130" s="310" t="str">
        <f t="shared" si="11"/>
        <v>Kalenderwoche 44</v>
      </c>
    </row>
    <row r="131" spans="4:13" x14ac:dyDescent="0.2">
      <c r="D131" s="273" t="s">
        <v>469</v>
      </c>
      <c r="E131" s="309" t="s">
        <v>479</v>
      </c>
      <c r="F131" s="309" t="s">
        <v>478</v>
      </c>
      <c r="G131" s="310" t="s">
        <v>481</v>
      </c>
      <c r="H131" s="448" t="str">
        <f t="shared" si="13"/>
        <v>Bemerkungen:</v>
      </c>
      <c r="I131" s="454"/>
      <c r="L131" s="532">
        <v>45</v>
      </c>
      <c r="M131" s="310" t="str">
        <f t="shared" si="11"/>
        <v>Kalenderwoche 45</v>
      </c>
    </row>
    <row r="132" spans="4:13" x14ac:dyDescent="0.2">
      <c r="D132" s="273" t="s">
        <v>485</v>
      </c>
      <c r="E132" s="309" t="s">
        <v>489</v>
      </c>
      <c r="F132" s="309" t="s">
        <v>490</v>
      </c>
      <c r="G132" s="310" t="s">
        <v>491</v>
      </c>
      <c r="H132" s="448" t="str">
        <f>IF($B$3=$A$3,D132,IF($B$3=$A$4,E132,IF($B$3=$A$5,F132,IF($B$3=$A$6,G132,""))))</f>
        <v>Öffnung angeben →</v>
      </c>
      <c r="I132" s="454"/>
      <c r="L132" s="532">
        <v>46</v>
      </c>
      <c r="M132" s="310" t="str">
        <f t="shared" si="11"/>
        <v>Kalenderwoche 46</v>
      </c>
    </row>
    <row r="133" spans="4:13" x14ac:dyDescent="0.2">
      <c r="D133" s="273" t="s">
        <v>541</v>
      </c>
      <c r="E133" s="309" t="s">
        <v>542</v>
      </c>
      <c r="F133" s="309" t="s">
        <v>544</v>
      </c>
      <c r="G133" s="310" t="s">
        <v>543</v>
      </c>
      <c r="H133" s="448" t="str">
        <f t="shared" si="13"/>
        <v>5-gleisig</v>
      </c>
      <c r="I133" s="454" t="b">
        <f>IF(AND(I12=TRUE,'Pos. 5'!AT5=1),TRUE,FALSE)</f>
        <v>0</v>
      </c>
      <c r="L133" s="532">
        <v>47</v>
      </c>
      <c r="M133" s="310" t="str">
        <f t="shared" si="11"/>
        <v>Kalenderwoche 47</v>
      </c>
    </row>
    <row r="134" spans="4:13" x14ac:dyDescent="0.2">
      <c r="D134" s="535" t="s">
        <v>546</v>
      </c>
      <c r="E134" s="309" t="s">
        <v>546</v>
      </c>
      <c r="F134" s="309" t="s">
        <v>546</v>
      </c>
      <c r="G134" s="310" t="s">
        <v>546</v>
      </c>
      <c r="H134" s="448" t="str">
        <f t="shared" si="13"/>
        <v>Features</v>
      </c>
      <c r="I134" s="454"/>
      <c r="J134" s="272" t="str">
        <f>H159</f>
        <v>Keine</v>
      </c>
      <c r="L134" s="532">
        <v>48</v>
      </c>
      <c r="M134" s="310" t="str">
        <f t="shared" si="11"/>
        <v>Kalenderwoche 48</v>
      </c>
    </row>
    <row r="135" spans="4:13" x14ac:dyDescent="0.2">
      <c r="D135" s="273" t="s">
        <v>560</v>
      </c>
      <c r="E135" s="309" t="s">
        <v>562</v>
      </c>
      <c r="F135" s="309" t="s">
        <v>563</v>
      </c>
      <c r="G135" s="310" t="s">
        <v>564</v>
      </c>
      <c r="H135" s="448" t="str">
        <f t="shared" si="13"/>
        <v>Oben Links</v>
      </c>
      <c r="I135" s="454"/>
      <c r="J135" s="272" t="str">
        <f>H135</f>
        <v>Oben Links</v>
      </c>
      <c r="L135" s="532">
        <v>49</v>
      </c>
      <c r="M135" s="310" t="str">
        <f t="shared" si="11"/>
        <v>Kalenderwoche 49</v>
      </c>
    </row>
    <row r="136" spans="4:13" x14ac:dyDescent="0.2">
      <c r="D136" s="273" t="s">
        <v>561</v>
      </c>
      <c r="E136" s="309" t="s">
        <v>565</v>
      </c>
      <c r="F136" s="309" t="s">
        <v>566</v>
      </c>
      <c r="G136" s="310" t="s">
        <v>567</v>
      </c>
      <c r="H136" s="448" t="str">
        <f t="shared" si="13"/>
        <v>Oben Rechts</v>
      </c>
      <c r="I136" s="454"/>
      <c r="J136" s="272" t="str">
        <f>H136</f>
        <v>Oben Rechts</v>
      </c>
      <c r="L136" s="532">
        <v>50</v>
      </c>
      <c r="M136" s="310" t="str">
        <f t="shared" si="11"/>
        <v>Kalenderwoche 50</v>
      </c>
    </row>
    <row r="137" spans="4:13" x14ac:dyDescent="0.2">
      <c r="D137" s="273" t="s">
        <v>568</v>
      </c>
      <c r="E137" s="309" t="s">
        <v>569</v>
      </c>
      <c r="F137" s="309" t="s">
        <v>570</v>
      </c>
      <c r="G137" s="310" t="s">
        <v>571</v>
      </c>
      <c r="H137" s="448" t="str">
        <f t="shared" si="13"/>
        <v>Lage Glasspinne (Ansicht von Aussen)</v>
      </c>
      <c r="I137" s="454"/>
      <c r="L137" s="532">
        <v>51</v>
      </c>
      <c r="M137" s="310" t="str">
        <f t="shared" si="11"/>
        <v>Kalenderwoche 51</v>
      </c>
    </row>
    <row r="138" spans="4:13" ht="13.5" thickBot="1" x14ac:dyDescent="0.25">
      <c r="D138" s="273" t="s">
        <v>572</v>
      </c>
      <c r="E138" s="309" t="s">
        <v>654</v>
      </c>
      <c r="F138" s="309" t="s">
        <v>624</v>
      </c>
      <c r="G138" s="310" t="s">
        <v>633</v>
      </c>
      <c r="H138" s="448" t="str">
        <f t="shared" si="13"/>
        <v>Rinnenbestellung</v>
      </c>
      <c r="I138" s="454"/>
      <c r="L138" s="536">
        <v>52</v>
      </c>
      <c r="M138" s="380" t="str">
        <f t="shared" si="11"/>
        <v>Kalenderwoche 52</v>
      </c>
    </row>
    <row r="139" spans="4:13" x14ac:dyDescent="0.2">
      <c r="D139" s="273" t="s">
        <v>606</v>
      </c>
      <c r="E139" s="309" t="s">
        <v>655</v>
      </c>
      <c r="F139" s="309" t="s">
        <v>645</v>
      </c>
      <c r="G139" s="310" t="s">
        <v>634</v>
      </c>
      <c r="H139" s="448" t="str">
        <f t="shared" si="13"/>
        <v>Wahl des Rinnensystems:</v>
      </c>
      <c r="I139" s="454"/>
    </row>
    <row r="140" spans="4:13" x14ac:dyDescent="0.2">
      <c r="D140" s="273" t="s">
        <v>605</v>
      </c>
      <c r="E140" s="309" t="s">
        <v>656</v>
      </c>
      <c r="F140" s="309" t="s">
        <v>646</v>
      </c>
      <c r="G140" s="310" t="s">
        <v>842</v>
      </c>
      <c r="H140" s="448" t="str">
        <f t="shared" si="13"/>
        <v>Einzug an der linken Anlagenseite:</v>
      </c>
      <c r="I140" s="454"/>
    </row>
    <row r="141" spans="4:13" x14ac:dyDescent="0.2">
      <c r="D141" s="273" t="s">
        <v>604</v>
      </c>
      <c r="E141" s="309" t="s">
        <v>657</v>
      </c>
      <c r="F141" s="309" t="s">
        <v>647</v>
      </c>
      <c r="G141" s="310" t="s">
        <v>843</v>
      </c>
      <c r="H141" s="448" t="str">
        <f t="shared" si="13"/>
        <v>Einzug an der rechten Anlagenseite:</v>
      </c>
      <c r="I141" s="454"/>
    </row>
    <row r="142" spans="4:13" x14ac:dyDescent="0.2">
      <c r="D142" s="273" t="s">
        <v>603</v>
      </c>
      <c r="E142" s="309" t="s">
        <v>658</v>
      </c>
      <c r="F142" s="309" t="s">
        <v>648</v>
      </c>
      <c r="G142" s="310" t="s">
        <v>635</v>
      </c>
      <c r="H142" s="448" t="str">
        <f t="shared" si="13"/>
        <v>Anschlussstutzen:</v>
      </c>
      <c r="I142" s="454"/>
    </row>
    <row r="143" spans="4:13" x14ac:dyDescent="0.2">
      <c r="D143" s="273" t="s">
        <v>573</v>
      </c>
      <c r="E143" s="309" t="s">
        <v>659</v>
      </c>
      <c r="F143" s="309" t="s">
        <v>625</v>
      </c>
      <c r="G143" s="310" t="s">
        <v>636</v>
      </c>
      <c r="H143" s="448" t="str">
        <f t="shared" si="13"/>
        <v>lose mitliefern</v>
      </c>
      <c r="I143" s="454"/>
      <c r="J143" s="272" t="str">
        <f>H143</f>
        <v>lose mitliefern</v>
      </c>
    </row>
    <row r="144" spans="4:13" x14ac:dyDescent="0.2">
      <c r="D144" s="273" t="s">
        <v>574</v>
      </c>
      <c r="E144" s="309" t="s">
        <v>660</v>
      </c>
      <c r="F144" s="309" t="s">
        <v>626</v>
      </c>
      <c r="G144" s="310" t="s">
        <v>637</v>
      </c>
      <c r="H144" s="448" t="str">
        <f t="shared" si="13"/>
        <v>vordefiniert</v>
      </c>
      <c r="I144" s="454"/>
      <c r="J144" s="272" t="str">
        <f>H144</f>
        <v>vordefiniert</v>
      </c>
    </row>
    <row r="145" spans="4:10" x14ac:dyDescent="0.2">
      <c r="D145" s="273" t="s">
        <v>607</v>
      </c>
      <c r="E145" s="309" t="s">
        <v>661</v>
      </c>
      <c r="F145" s="309" t="s">
        <v>649</v>
      </c>
      <c r="G145" s="310" t="s">
        <v>638</v>
      </c>
      <c r="H145" s="448" t="str">
        <f t="shared" si="13"/>
        <v>Anzahl Anschlussstutzen:</v>
      </c>
      <c r="I145" s="454"/>
    </row>
    <row r="146" spans="4:10" x14ac:dyDescent="0.2">
      <c r="D146" s="273" t="s">
        <v>575</v>
      </c>
      <c r="E146" s="309" t="s">
        <v>627</v>
      </c>
      <c r="F146" s="309" t="s">
        <v>627</v>
      </c>
      <c r="G146" s="310" t="s">
        <v>639</v>
      </c>
      <c r="H146" s="448" t="str">
        <f t="shared" si="13"/>
        <v>Typ A</v>
      </c>
      <c r="I146" s="454"/>
      <c r="J146" s="272" t="str">
        <f>H146</f>
        <v>Typ A</v>
      </c>
    </row>
    <row r="147" spans="4:10" x14ac:dyDescent="0.2">
      <c r="D147" s="273" t="s">
        <v>576</v>
      </c>
      <c r="E147" s="309" t="s">
        <v>628</v>
      </c>
      <c r="F147" s="309" t="s">
        <v>628</v>
      </c>
      <c r="G147" s="310" t="s">
        <v>640</v>
      </c>
      <c r="H147" s="448" t="str">
        <f t="shared" si="13"/>
        <v>Typ B</v>
      </c>
      <c r="I147" s="454"/>
      <c r="J147" s="272" t="str">
        <f>H147</f>
        <v>Typ B</v>
      </c>
    </row>
    <row r="148" spans="4:10" x14ac:dyDescent="0.2">
      <c r="D148" s="273" t="s">
        <v>911</v>
      </c>
      <c r="E148" s="309" t="s">
        <v>912</v>
      </c>
      <c r="F148" s="309" t="s">
        <v>913</v>
      </c>
      <c r="G148" s="310" t="s">
        <v>914</v>
      </c>
      <c r="H148" s="448" t="str">
        <f t="shared" si="13"/>
        <v>Abstände Ablaufstutzen (E):</v>
      </c>
      <c r="I148" s="454"/>
    </row>
    <row r="149" spans="4:10" x14ac:dyDescent="0.2">
      <c r="D149" s="273" t="s">
        <v>577</v>
      </c>
      <c r="E149" s="309" t="s">
        <v>662</v>
      </c>
      <c r="F149" s="309" t="s">
        <v>675</v>
      </c>
      <c r="G149" s="310" t="s">
        <v>641</v>
      </c>
      <c r="H149" s="448" t="str">
        <f t="shared" si="13"/>
        <v>Rinnenanschluss:</v>
      </c>
      <c r="I149" s="454"/>
    </row>
    <row r="150" spans="4:10" x14ac:dyDescent="0.2">
      <c r="D150" s="273" t="s">
        <v>616</v>
      </c>
      <c r="E150" s="309" t="s">
        <v>663</v>
      </c>
      <c r="F150" s="309" t="s">
        <v>650</v>
      </c>
      <c r="G150" s="310" t="s">
        <v>642</v>
      </c>
      <c r="H150" s="448" t="str">
        <f t="shared" si="13"/>
        <v>Farbe Panele:</v>
      </c>
      <c r="I150" s="454"/>
    </row>
    <row r="151" spans="4:10" x14ac:dyDescent="0.2">
      <c r="D151" s="273" t="s">
        <v>16</v>
      </c>
      <c r="E151" s="309" t="s">
        <v>16</v>
      </c>
      <c r="F151" s="309" t="s">
        <v>16</v>
      </c>
      <c r="G151" s="310" t="s">
        <v>16</v>
      </c>
      <c r="H151" s="448" t="str">
        <f t="shared" si="13"/>
        <v>Standard</v>
      </c>
      <c r="I151" s="454"/>
      <c r="J151" s="272" t="str">
        <f>H151</f>
        <v>Standard</v>
      </c>
    </row>
    <row r="152" spans="4:10" x14ac:dyDescent="0.2">
      <c r="D152" s="273" t="s">
        <v>617</v>
      </c>
      <c r="E152" s="309" t="s">
        <v>664</v>
      </c>
      <c r="F152" s="309" t="s">
        <v>629</v>
      </c>
      <c r="G152" s="310" t="s">
        <v>643</v>
      </c>
      <c r="H152" s="448" t="str">
        <f t="shared" si="13"/>
        <v>Rahmenfarbe</v>
      </c>
      <c r="I152" s="454"/>
      <c r="J152" s="272" t="str">
        <f>H152</f>
        <v>Rahmenfarbe</v>
      </c>
    </row>
    <row r="153" spans="4:10" x14ac:dyDescent="0.2">
      <c r="D153" s="273" t="s">
        <v>618</v>
      </c>
      <c r="E153" s="309" t="s">
        <v>665</v>
      </c>
      <c r="F153" s="309" t="s">
        <v>630</v>
      </c>
      <c r="G153" s="310" t="s">
        <v>644</v>
      </c>
      <c r="H153" s="448" t="str">
        <f t="shared" si="13"/>
        <v>Glas Satinato</v>
      </c>
      <c r="I153" s="454"/>
      <c r="J153" s="272" t="str">
        <f>H153</f>
        <v>Glas Satinato</v>
      </c>
    </row>
    <row r="154" spans="4:10" x14ac:dyDescent="0.2">
      <c r="D154" s="273" t="s">
        <v>631</v>
      </c>
      <c r="E154" s="309" t="s">
        <v>666</v>
      </c>
      <c r="F154" s="309" t="s">
        <v>667</v>
      </c>
      <c r="G154" s="310" t="s">
        <v>668</v>
      </c>
      <c r="H154" s="448" t="str">
        <f t="shared" si="13"/>
        <v>Kalenderwoche</v>
      </c>
      <c r="I154" s="454"/>
    </row>
    <row r="155" spans="4:10" x14ac:dyDescent="0.2">
      <c r="D155" s="273" t="s">
        <v>691</v>
      </c>
      <c r="E155" s="309" t="s">
        <v>699</v>
      </c>
      <c r="F155" s="309" t="s">
        <v>702</v>
      </c>
      <c r="G155" s="310" t="s">
        <v>814</v>
      </c>
      <c r="H155" s="448" t="str">
        <f>IF($B$3=$A$3,D155,IF($B$3=$A$4,E155,IF($B$3=$A$5,F155,IF($B$3=$A$6,G155,""))))</f>
        <v>Bestellformular unvollständig!</v>
      </c>
      <c r="I155" s="454"/>
    </row>
    <row r="156" spans="4:10" x14ac:dyDescent="0.2">
      <c r="D156" s="273" t="s">
        <v>701</v>
      </c>
      <c r="E156" s="309" t="s">
        <v>700</v>
      </c>
      <c r="F156" s="309" t="s">
        <v>703</v>
      </c>
      <c r="G156" s="310" t="s">
        <v>815</v>
      </c>
      <c r="H156" s="448" t="str">
        <f t="shared" si="13"/>
        <v>Bestellformular vollständig.</v>
      </c>
      <c r="I156" s="454"/>
    </row>
    <row r="157" spans="4:10" x14ac:dyDescent="0.2">
      <c r="D157" s="273" t="s">
        <v>696</v>
      </c>
      <c r="E157" s="309" t="s">
        <v>695</v>
      </c>
      <c r="F157" s="309" t="s">
        <v>694</v>
      </c>
      <c r="G157" s="310" t="s">
        <v>697</v>
      </c>
      <c r="H157" s="448" t="str">
        <f t="shared" si="13"/>
        <v>B2B-Login Projektnr:</v>
      </c>
      <c r="I157" s="454"/>
    </row>
    <row r="158" spans="4:10" ht="12.75" customHeight="1" x14ac:dyDescent="0.2">
      <c r="D158" s="323" t="s">
        <v>748</v>
      </c>
      <c r="E158" s="309" t="s">
        <v>749</v>
      </c>
      <c r="F158" s="309" t="s">
        <v>750</v>
      </c>
      <c r="G158" s="310" t="s">
        <v>751</v>
      </c>
      <c r="H158" s="448" t="str">
        <f t="shared" si="13"/>
        <v>OHNE Glas</v>
      </c>
      <c r="I158" s="454"/>
    </row>
    <row r="159" spans="4:10" ht="12.75" customHeight="1" x14ac:dyDescent="0.2">
      <c r="D159" s="273" t="s">
        <v>752</v>
      </c>
      <c r="E159" s="309" t="s">
        <v>753</v>
      </c>
      <c r="F159" s="309" t="s">
        <v>264</v>
      </c>
      <c r="G159" s="310" t="s">
        <v>277</v>
      </c>
      <c r="H159" s="448" t="str">
        <f t="shared" si="13"/>
        <v>Keine</v>
      </c>
      <c r="I159" s="454"/>
    </row>
    <row r="160" spans="4:10" ht="12.75" customHeight="1" x14ac:dyDescent="0.2">
      <c r="D160" s="273" t="s">
        <v>813</v>
      </c>
      <c r="E160" s="309" t="s">
        <v>812</v>
      </c>
      <c r="F160" s="309" t="s">
        <v>811</v>
      </c>
      <c r="G160" s="310" t="s">
        <v>810</v>
      </c>
      <c r="H160" s="448" t="str">
        <f t="shared" si="13"/>
        <v>Nur nach Rücksprache mit Sky-Frame!</v>
      </c>
      <c r="I160" s="454"/>
    </row>
    <row r="161" spans="4:10" x14ac:dyDescent="0.2">
      <c r="D161" s="273" t="s">
        <v>818</v>
      </c>
      <c r="E161" s="309" t="s">
        <v>819</v>
      </c>
      <c r="F161" s="309" t="s">
        <v>820</v>
      </c>
      <c r="G161" s="310" t="s">
        <v>821</v>
      </c>
      <c r="H161" s="448" t="str">
        <f t="shared" si="13"/>
        <v>ohne Verschlussraster (Zylinder)</v>
      </c>
      <c r="I161" s="454"/>
    </row>
    <row r="162" spans="4:10" x14ac:dyDescent="0.2">
      <c r="D162" s="273"/>
      <c r="E162" s="309"/>
      <c r="F162" s="309"/>
      <c r="G162" s="310"/>
      <c r="H162" s="448">
        <f t="shared" si="13"/>
        <v>0</v>
      </c>
      <c r="I162" s="454"/>
    </row>
    <row r="163" spans="4:10" x14ac:dyDescent="0.2">
      <c r="D163" s="273"/>
      <c r="E163" s="309"/>
      <c r="F163" s="309"/>
      <c r="G163" s="310"/>
      <c r="H163" s="448">
        <f t="shared" si="13"/>
        <v>0</v>
      </c>
      <c r="I163" s="454"/>
    </row>
    <row r="164" spans="4:10" x14ac:dyDescent="0.2">
      <c r="D164" s="273"/>
      <c r="E164" s="309"/>
      <c r="F164" s="309"/>
      <c r="G164" s="310"/>
      <c r="H164" s="448">
        <f t="shared" si="13"/>
        <v>0</v>
      </c>
      <c r="I164" s="454"/>
    </row>
    <row r="165" spans="4:10" x14ac:dyDescent="0.2">
      <c r="D165" s="273" t="s">
        <v>954</v>
      </c>
      <c r="E165" s="359" t="s">
        <v>955</v>
      </c>
      <c r="F165" s="359" t="s">
        <v>478</v>
      </c>
      <c r="G165" s="359" t="s">
        <v>956</v>
      </c>
      <c r="H165" s="448" t="str">
        <f t="shared" si="13"/>
        <v>Hinweise:</v>
      </c>
      <c r="I165" s="454"/>
    </row>
    <row r="166" spans="4:10" x14ac:dyDescent="0.2">
      <c r="D166" s="273" t="s">
        <v>832</v>
      </c>
      <c r="E166" s="360" t="s">
        <v>844</v>
      </c>
      <c r="F166" s="359" t="s">
        <v>852</v>
      </c>
      <c r="G166" s="360" t="s">
        <v>860</v>
      </c>
      <c r="H166" s="448" t="str">
        <f t="shared" si="13"/>
        <v>Angabe erstöffnender Flügel</v>
      </c>
      <c r="I166" s="454"/>
    </row>
    <row r="167" spans="4:10" ht="102" x14ac:dyDescent="0.2">
      <c r="D167" s="336" t="s">
        <v>840</v>
      </c>
      <c r="E167" s="361" t="s">
        <v>845</v>
      </c>
      <c r="F167" s="361" t="s">
        <v>853</v>
      </c>
      <c r="G167" s="361" t="s">
        <v>861</v>
      </c>
      <c r="H167" s="534" t="str">
        <f t="shared" si="13"/>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54"/>
    </row>
    <row r="168" spans="4:10" x14ac:dyDescent="0.2">
      <c r="D168" s="336" t="s">
        <v>841</v>
      </c>
      <c r="E168" s="360" t="s">
        <v>846</v>
      </c>
      <c r="F168" s="360" t="s">
        <v>854</v>
      </c>
      <c r="G168" s="361" t="s">
        <v>862</v>
      </c>
      <c r="H168" s="534" t="str">
        <f t="shared" si="13"/>
        <v>Eingabe Ecke ≠ 90° (von 60° - 160°)</v>
      </c>
      <c r="I168" s="454"/>
    </row>
    <row r="169" spans="4:10" ht="63.75" x14ac:dyDescent="0.2">
      <c r="D169" s="336" t="s">
        <v>833</v>
      </c>
      <c r="E169" s="361" t="s">
        <v>847</v>
      </c>
      <c r="F169" s="361" t="s">
        <v>855</v>
      </c>
      <c r="G169" s="361" t="s">
        <v>863</v>
      </c>
      <c r="H169" s="534" t="str">
        <f t="shared" si="13"/>
        <v xml:space="preserve">Um eine Ecke auszuwählen, welche grösser oder kleiner wie 90° ist, muss das dementsprechende Feld ausgewählt werden. Danach muss der gewünschte Wert angegeben werden. </v>
      </c>
      <c r="I169" s="454"/>
    </row>
    <row r="170" spans="4:10" ht="25.5" x14ac:dyDescent="0.2">
      <c r="D170" s="336" t="s">
        <v>835</v>
      </c>
      <c r="E170" s="360" t="s">
        <v>848</v>
      </c>
      <c r="F170" s="360" t="s">
        <v>856</v>
      </c>
      <c r="G170" s="361" t="s">
        <v>864</v>
      </c>
      <c r="H170" s="534" t="str">
        <f t="shared" si="13"/>
        <v>Breitenangabe bei Eckanlagen</v>
      </c>
      <c r="I170" s="454"/>
    </row>
    <row r="171" spans="4:10" ht="102" x14ac:dyDescent="0.2">
      <c r="D171" s="336" t="s">
        <v>836</v>
      </c>
      <c r="E171" s="361" t="s">
        <v>849</v>
      </c>
      <c r="F171" s="361" t="s">
        <v>857</v>
      </c>
      <c r="G171" s="361" t="s">
        <v>865</v>
      </c>
      <c r="H171" s="534" t="str">
        <f t="shared" si="13"/>
        <v>Wird eine Eckanlage eingegeben, erscheint bei der Angabe "Breite" automatisch ein neues Eingabefeld. Die Länge der einzelnen Fronten muss hier separat angegeben werden (Rahmenaussenmass). Die verschiedenen Fronten sind von links nach rechts anzugeben:</v>
      </c>
      <c r="I171" s="454"/>
    </row>
    <row r="172" spans="4:10" x14ac:dyDescent="0.2">
      <c r="D172" s="336" t="s">
        <v>838</v>
      </c>
      <c r="E172" s="360" t="s">
        <v>850</v>
      </c>
      <c r="F172" s="360" t="s">
        <v>858</v>
      </c>
      <c r="G172" s="361" t="s">
        <v>866</v>
      </c>
      <c r="H172" s="534" t="str">
        <f t="shared" si="13"/>
        <v>Rinnenlänge angeben</v>
      </c>
      <c r="I172" s="454"/>
    </row>
    <row r="173" spans="4:10" ht="140.25" x14ac:dyDescent="0.2">
      <c r="D173" s="336" t="s">
        <v>839</v>
      </c>
      <c r="E173" s="362" t="s">
        <v>851</v>
      </c>
      <c r="F173" s="361" t="s">
        <v>859</v>
      </c>
      <c r="G173" s="361" t="s">
        <v>867</v>
      </c>
      <c r="H173" s="534" t="str">
        <f t="shared" si="13"/>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54"/>
    </row>
    <row r="174" spans="4:10" x14ac:dyDescent="0.2">
      <c r="D174" s="336" t="s">
        <v>16</v>
      </c>
      <c r="E174" s="309" t="s">
        <v>16</v>
      </c>
      <c r="F174" s="309" t="s">
        <v>16</v>
      </c>
      <c r="G174" s="310" t="s">
        <v>16</v>
      </c>
      <c r="H174" s="534" t="str">
        <f t="shared" si="13"/>
        <v>Standard</v>
      </c>
      <c r="I174" s="454"/>
      <c r="J174" s="272" t="str">
        <f>H174</f>
        <v>Standard</v>
      </c>
    </row>
    <row r="175" spans="4:10" x14ac:dyDescent="0.2">
      <c r="D175" s="336" t="s">
        <v>871</v>
      </c>
      <c r="E175" s="309" t="s">
        <v>872</v>
      </c>
      <c r="F175" s="309" t="s">
        <v>873</v>
      </c>
      <c r="G175" s="310" t="s">
        <v>874</v>
      </c>
      <c r="H175" s="534" t="str">
        <f t="shared" si="13"/>
        <v>Seaside (Pool/Meer)</v>
      </c>
      <c r="I175" s="454"/>
      <c r="J175" s="272" t="str">
        <f>H175</f>
        <v>Seaside (Pool/Meer)</v>
      </c>
    </row>
    <row r="176" spans="4:10" x14ac:dyDescent="0.2">
      <c r="D176" s="273" t="s">
        <v>875</v>
      </c>
      <c r="E176" s="309" t="s">
        <v>876</v>
      </c>
      <c r="F176" s="309" t="s">
        <v>877</v>
      </c>
      <c r="G176" s="310" t="s">
        <v>878</v>
      </c>
      <c r="H176" s="534" t="str">
        <f t="shared" si="13"/>
        <v>Pulverlack Klasse:</v>
      </c>
      <c r="I176" s="454"/>
    </row>
    <row r="177" spans="4:10" x14ac:dyDescent="0.2">
      <c r="D177" s="273" t="s">
        <v>879</v>
      </c>
      <c r="E177" s="309" t="s">
        <v>879</v>
      </c>
      <c r="F177" s="309" t="s">
        <v>879</v>
      </c>
      <c r="G177" s="310" t="s">
        <v>879</v>
      </c>
      <c r="H177" s="534" t="str">
        <f t="shared" si="13"/>
        <v>Qualicoat 1</v>
      </c>
      <c r="I177" s="454"/>
      <c r="J177" s="272" t="str">
        <f>H177</f>
        <v>Qualicoat 1</v>
      </c>
    </row>
    <row r="178" spans="4:10" x14ac:dyDescent="0.2">
      <c r="D178" s="273" t="s">
        <v>880</v>
      </c>
      <c r="E178" s="309" t="s">
        <v>880</v>
      </c>
      <c r="F178" s="309" t="s">
        <v>880</v>
      </c>
      <c r="G178" s="310" t="s">
        <v>880</v>
      </c>
      <c r="H178" s="534" t="str">
        <f t="shared" si="13"/>
        <v>Qualicoat 2</v>
      </c>
      <c r="I178" s="454"/>
      <c r="J178" s="272" t="str">
        <f>H178</f>
        <v>Qualicoat 2</v>
      </c>
    </row>
    <row r="179" spans="4:10" x14ac:dyDescent="0.2">
      <c r="D179" s="273" t="s">
        <v>904</v>
      </c>
      <c r="E179" s="309" t="s">
        <v>905</v>
      </c>
      <c r="F179" s="309" t="s">
        <v>906</v>
      </c>
      <c r="G179" s="310" t="s">
        <v>915</v>
      </c>
      <c r="H179" s="534" t="str">
        <f t="shared" si="13"/>
        <v>Übersicht:</v>
      </c>
      <c r="I179" s="454"/>
    </row>
    <row r="180" spans="4:10" x14ac:dyDescent="0.2">
      <c r="D180" s="273" t="s">
        <v>895</v>
      </c>
      <c r="E180" s="309" t="s">
        <v>896</v>
      </c>
      <c r="F180" s="309" t="s">
        <v>897</v>
      </c>
      <c r="G180" s="310" t="s">
        <v>898</v>
      </c>
      <c r="H180" s="534" t="str">
        <f t="shared" si="13"/>
        <v>VE</v>
      </c>
      <c r="I180" s="454"/>
    </row>
    <row r="181" spans="4:10" x14ac:dyDescent="0.2">
      <c r="D181" s="273" t="s">
        <v>916</v>
      </c>
      <c r="E181" s="309" t="s">
        <v>958</v>
      </c>
      <c r="F181" s="309" t="s">
        <v>959</v>
      </c>
      <c r="G181" s="310" t="s">
        <v>960</v>
      </c>
      <c r="H181" s="534" t="str">
        <f t="shared" ref="H181:H209" si="14">IF($B$3=$A$3,D181,IF($B$3=$A$4,E181,IF($B$3=$A$5,F181,IF($B$3=$A$6,G181,""))))</f>
        <v>Sky-Frame Beratung vorhanden:</v>
      </c>
      <c r="I181" s="454"/>
    </row>
    <row r="182" spans="4:10" x14ac:dyDescent="0.2">
      <c r="D182" s="273" t="s">
        <v>917</v>
      </c>
      <c r="E182" s="309" t="s">
        <v>961</v>
      </c>
      <c r="F182" s="309" t="s">
        <v>962</v>
      </c>
      <c r="G182" s="310" t="s">
        <v>963</v>
      </c>
      <c r="H182" s="534" t="str">
        <f t="shared" si="14"/>
        <v>Beratungsnummer: (z.B. P123456)</v>
      </c>
      <c r="I182" s="454"/>
    </row>
    <row r="183" spans="4:10" x14ac:dyDescent="0.2">
      <c r="D183" s="273" t="s">
        <v>918</v>
      </c>
      <c r="E183" s="309" t="s">
        <v>919</v>
      </c>
      <c r="F183" s="309" t="s">
        <v>964</v>
      </c>
      <c r="G183" s="310" t="s">
        <v>965</v>
      </c>
      <c r="H183" s="534" t="str">
        <f t="shared" si="14"/>
        <v>Inch-Rechner</v>
      </c>
      <c r="I183" s="454"/>
    </row>
    <row r="184" spans="4:10" x14ac:dyDescent="0.2">
      <c r="D184" s="273" t="s">
        <v>920</v>
      </c>
      <c r="E184" s="309" t="s">
        <v>921</v>
      </c>
      <c r="F184" s="309" t="s">
        <v>966</v>
      </c>
      <c r="G184" s="310" t="s">
        <v>967</v>
      </c>
      <c r="H184" s="534" t="str">
        <f t="shared" si="14"/>
        <v>Fuss:</v>
      </c>
      <c r="I184" s="454"/>
    </row>
    <row r="185" spans="4:10" x14ac:dyDescent="0.2">
      <c r="D185" s="273" t="s">
        <v>922</v>
      </c>
      <c r="E185" s="309" t="s">
        <v>923</v>
      </c>
      <c r="F185" s="309" t="s">
        <v>968</v>
      </c>
      <c r="G185" s="310" t="s">
        <v>969</v>
      </c>
      <c r="H185" s="534" t="str">
        <f t="shared" si="14"/>
        <v>Zoll:</v>
      </c>
      <c r="I185" s="454"/>
    </row>
    <row r="186" spans="4:10" x14ac:dyDescent="0.2">
      <c r="D186" s="273" t="s">
        <v>924</v>
      </c>
      <c r="E186" s="309" t="s">
        <v>970</v>
      </c>
      <c r="F186" s="309" t="s">
        <v>971</v>
      </c>
      <c r="G186" s="310" t="s">
        <v>972</v>
      </c>
      <c r="H186" s="534" t="str">
        <f t="shared" si="14"/>
        <v>Bemassung Bahnhof</v>
      </c>
      <c r="I186" s="454"/>
    </row>
    <row r="187" spans="4:10" ht="102" x14ac:dyDescent="0.2">
      <c r="D187" s="446" t="s">
        <v>925</v>
      </c>
      <c r="E187" s="362" t="s">
        <v>973</v>
      </c>
      <c r="F187" s="362" t="s">
        <v>974</v>
      </c>
      <c r="G187" s="447" t="s">
        <v>937</v>
      </c>
      <c r="H187" s="534" t="str">
        <f t="shared" si="14"/>
        <v>Die Vermassung von Bahnhofanlagen funktioniert gleich wie bei normalen Rahmen. Bitte geben Sie uns als Rahmenmass das komplette Mass von Aussenkant Rahmen an. Für die Vermassung der Labyrinthposition geben Sie bitte das Mass bis Achse Labyrinth an.</v>
      </c>
      <c r="I187" s="454"/>
    </row>
    <row r="188" spans="4:10" x14ac:dyDescent="0.2">
      <c r="D188" s="273" t="s">
        <v>926</v>
      </c>
      <c r="E188" s="309" t="s">
        <v>975</v>
      </c>
      <c r="F188" s="309" t="s">
        <v>976</v>
      </c>
      <c r="G188" s="310" t="s">
        <v>977</v>
      </c>
      <c r="H188" s="534" t="str">
        <f t="shared" si="14"/>
        <v>Bahnhof Typ 1:</v>
      </c>
      <c r="I188" s="454"/>
    </row>
    <row r="189" spans="4:10" x14ac:dyDescent="0.2">
      <c r="D189" s="273" t="s">
        <v>927</v>
      </c>
      <c r="E189" s="309" t="s">
        <v>978</v>
      </c>
      <c r="F189" s="309" t="s">
        <v>979</v>
      </c>
      <c r="G189" s="310" t="s">
        <v>980</v>
      </c>
      <c r="H189" s="534" t="str">
        <f t="shared" si="14"/>
        <v>Bahnhof Typ 2:</v>
      </c>
      <c r="I189" s="454"/>
    </row>
    <row r="190" spans="4:10" x14ac:dyDescent="0.2">
      <c r="D190" s="273" t="s">
        <v>928</v>
      </c>
      <c r="E190" s="309" t="s">
        <v>253</v>
      </c>
      <c r="F190" s="309" t="s">
        <v>271</v>
      </c>
      <c r="G190" s="310" t="s">
        <v>282</v>
      </c>
      <c r="H190" s="534" t="str">
        <f t="shared" si="14"/>
        <v>schwarz</v>
      </c>
      <c r="I190" s="454"/>
    </row>
    <row r="191" spans="4:10" x14ac:dyDescent="0.2">
      <c r="D191" s="273" t="s">
        <v>617</v>
      </c>
      <c r="E191" s="309" t="s">
        <v>929</v>
      </c>
      <c r="F191" s="309" t="s">
        <v>930</v>
      </c>
      <c r="G191" s="310" t="s">
        <v>931</v>
      </c>
      <c r="H191" s="534" t="str">
        <f t="shared" si="14"/>
        <v>Rahmenfarbe</v>
      </c>
      <c r="I191" s="454"/>
    </row>
    <row r="192" spans="4:10" x14ac:dyDescent="0.2">
      <c r="D192" s="273" t="s">
        <v>928</v>
      </c>
      <c r="E192" s="309" t="s">
        <v>253</v>
      </c>
      <c r="F192" s="309" t="s">
        <v>271</v>
      </c>
      <c r="G192" s="310" t="s">
        <v>282</v>
      </c>
      <c r="H192" s="534" t="str">
        <f t="shared" si="14"/>
        <v>schwarz</v>
      </c>
      <c r="I192" s="454"/>
    </row>
    <row r="193" spans="4:9" x14ac:dyDescent="0.2">
      <c r="D193" s="273" t="s">
        <v>938</v>
      </c>
      <c r="E193" s="309" t="s">
        <v>939</v>
      </c>
      <c r="F193" s="309" t="s">
        <v>981</v>
      </c>
      <c r="G193" s="310" t="s">
        <v>982</v>
      </c>
      <c r="H193" s="534" t="str">
        <f t="shared" si="14"/>
        <v>Sonstiges:</v>
      </c>
      <c r="I193" s="454"/>
    </row>
    <row r="194" spans="4:9" x14ac:dyDescent="0.2">
      <c r="D194" s="273" t="s">
        <v>957</v>
      </c>
      <c r="E194" s="309" t="s">
        <v>940</v>
      </c>
      <c r="F194" s="309" t="s">
        <v>983</v>
      </c>
      <c r="G194" s="310" t="s">
        <v>984</v>
      </c>
      <c r="H194" s="534" t="str">
        <f t="shared" si="14"/>
        <v>Sichtbare Rahmenprofile (aussen):</v>
      </c>
      <c r="I194" s="454"/>
    </row>
    <row r="195" spans="4:9" x14ac:dyDescent="0.2">
      <c r="D195" s="273" t="s">
        <v>941</v>
      </c>
      <c r="E195" s="309" t="s">
        <v>942</v>
      </c>
      <c r="F195" s="309" t="s">
        <v>985</v>
      </c>
      <c r="G195" s="310" t="s">
        <v>986</v>
      </c>
      <c r="H195" s="534" t="str">
        <f t="shared" si="14"/>
        <v>Lieferung Glas und Rahmen:</v>
      </c>
      <c r="I195" s="454"/>
    </row>
    <row r="196" spans="4:9" x14ac:dyDescent="0.2">
      <c r="D196" s="273" t="s">
        <v>943</v>
      </c>
      <c r="E196" s="309" t="s">
        <v>944</v>
      </c>
      <c r="F196" s="309" t="s">
        <v>987</v>
      </c>
      <c r="G196" s="310" t="s">
        <v>988</v>
      </c>
      <c r="H196" s="534" t="str">
        <f t="shared" si="14"/>
        <v>zusammen</v>
      </c>
      <c r="I196" s="454"/>
    </row>
    <row r="197" spans="4:9" x14ac:dyDescent="0.2">
      <c r="D197" s="273" t="s">
        <v>945</v>
      </c>
      <c r="E197" s="309" t="s">
        <v>946</v>
      </c>
      <c r="F197" s="309" t="s">
        <v>989</v>
      </c>
      <c r="G197" s="310" t="s">
        <v>990</v>
      </c>
      <c r="H197" s="534" t="str">
        <f t="shared" si="14"/>
        <v>getrennt</v>
      </c>
      <c r="I197" s="454"/>
    </row>
    <row r="198" spans="4:9" x14ac:dyDescent="0.2">
      <c r="D198" s="273" t="s">
        <v>947</v>
      </c>
      <c r="E198" s="309" t="s">
        <v>948</v>
      </c>
      <c r="F198" s="309" t="s">
        <v>948</v>
      </c>
      <c r="G198" s="310" t="s">
        <v>991</v>
      </c>
      <c r="H198" s="534" t="str">
        <f t="shared" si="14"/>
        <v>sichtbar</v>
      </c>
      <c r="I198" s="454"/>
    </row>
    <row r="199" spans="4:9" x14ac:dyDescent="0.2">
      <c r="D199" s="273" t="s">
        <v>949</v>
      </c>
      <c r="E199" s="309" t="s">
        <v>950</v>
      </c>
      <c r="F199" s="309" t="s">
        <v>992</v>
      </c>
      <c r="G199" s="310" t="s">
        <v>993</v>
      </c>
      <c r="H199" s="534" t="str">
        <f t="shared" si="14"/>
        <v>nicht sichtbar</v>
      </c>
      <c r="I199" s="454"/>
    </row>
    <row r="200" spans="4:9" x14ac:dyDescent="0.2">
      <c r="D200" s="336"/>
      <c r="E200" s="309"/>
      <c r="F200" s="309"/>
      <c r="G200" s="310"/>
      <c r="H200" s="534">
        <f t="shared" si="14"/>
        <v>0</v>
      </c>
      <c r="I200" s="454"/>
    </row>
    <row r="201" spans="4:9" x14ac:dyDescent="0.2">
      <c r="D201" s="336"/>
      <c r="E201" s="309"/>
      <c r="F201" s="309"/>
      <c r="G201" s="310"/>
      <c r="H201" s="534">
        <f t="shared" si="14"/>
        <v>0</v>
      </c>
      <c r="I201" s="454"/>
    </row>
    <row r="202" spans="4:9" x14ac:dyDescent="0.2">
      <c r="D202" s="336"/>
      <c r="E202" s="309"/>
      <c r="F202" s="309"/>
      <c r="G202" s="310"/>
      <c r="H202" s="534">
        <f t="shared" si="14"/>
        <v>0</v>
      </c>
      <c r="I202" s="454"/>
    </row>
    <row r="203" spans="4:9" x14ac:dyDescent="0.2">
      <c r="D203" s="336"/>
      <c r="E203" s="309"/>
      <c r="F203" s="309"/>
      <c r="G203" s="310"/>
      <c r="H203" s="534">
        <f t="shared" si="14"/>
        <v>0</v>
      </c>
      <c r="I203" s="454"/>
    </row>
    <row r="204" spans="4:9" x14ac:dyDescent="0.2">
      <c r="D204" s="336"/>
      <c r="E204" s="309"/>
      <c r="F204" s="309"/>
      <c r="G204" s="310"/>
      <c r="H204" s="534">
        <f t="shared" si="14"/>
        <v>0</v>
      </c>
      <c r="I204" s="454"/>
    </row>
    <row r="205" spans="4:9" x14ac:dyDescent="0.2">
      <c r="D205" s="336"/>
      <c r="E205" s="309"/>
      <c r="F205" s="309"/>
      <c r="G205" s="310"/>
      <c r="H205" s="534">
        <f t="shared" si="14"/>
        <v>0</v>
      </c>
      <c r="I205" s="454"/>
    </row>
    <row r="206" spans="4:9" x14ac:dyDescent="0.2">
      <c r="D206" s="336"/>
      <c r="E206" s="309"/>
      <c r="F206" s="309"/>
      <c r="G206" s="310"/>
      <c r="H206" s="534">
        <f t="shared" si="14"/>
        <v>0</v>
      </c>
      <c r="I206" s="454"/>
    </row>
    <row r="207" spans="4:9" x14ac:dyDescent="0.2">
      <c r="D207" s="336"/>
      <c r="E207" s="309"/>
      <c r="F207" s="309"/>
      <c r="G207" s="310"/>
      <c r="H207" s="534">
        <f t="shared" si="14"/>
        <v>0</v>
      </c>
      <c r="I207" s="454"/>
    </row>
    <row r="208" spans="4:9" x14ac:dyDescent="0.2">
      <c r="D208" s="336"/>
      <c r="E208" s="309"/>
      <c r="F208" s="309"/>
      <c r="G208" s="310"/>
      <c r="H208" s="534">
        <f t="shared" si="14"/>
        <v>0</v>
      </c>
      <c r="I208" s="454"/>
    </row>
    <row r="209" spans="4:9" x14ac:dyDescent="0.2">
      <c r="D209" s="336"/>
      <c r="E209" s="309"/>
      <c r="F209" s="309"/>
      <c r="G209" s="310"/>
      <c r="H209" s="534">
        <f t="shared" si="14"/>
        <v>0</v>
      </c>
      <c r="I209" s="454"/>
    </row>
  </sheetData>
  <mergeCells count="4">
    <mergeCell ref="N40:P40"/>
    <mergeCell ref="M60:M61"/>
    <mergeCell ref="L85:M85"/>
    <mergeCell ref="B87:C87"/>
  </mergeCells>
  <dataValidations count="1">
    <dataValidation type="list" allowBlank="1" showInputMessage="1" showErrorMessage="1" sqref="P38" xr:uid="{E427E948-8EDF-49E4-9F4C-D74DD0E138D8}">
      <formula1>$O$45:$O$46</formula1>
    </dataValidation>
  </dataValidations>
  <pageMargins left="0.7" right="0.7" top="0.78740157499999996" bottom="0.78740157499999996"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0CD0-38F4-461F-9653-12F4C5E49E26}">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ColWidth="11.42578125" defaultRowHeight="12.75" x14ac:dyDescent="0.2"/>
  <cols>
    <col min="1" max="1" width="12.42578125" style="136" customWidth="1"/>
    <col min="2" max="2" width="3.7109375" style="136" customWidth="1"/>
    <col min="3" max="3" width="2.85546875" style="136" customWidth="1"/>
    <col min="4" max="4" width="1.28515625" style="136" customWidth="1"/>
    <col min="5" max="44" width="3.28515625" style="136" customWidth="1"/>
    <col min="45" max="45" width="1.42578125" style="136" customWidth="1"/>
    <col min="46" max="46" width="4.5703125" style="136" customWidth="1"/>
    <col min="47" max="47" width="3.7109375" style="136" customWidth="1"/>
    <col min="48" max="48" width="7.28515625" style="136" customWidth="1"/>
    <col min="49" max="50" width="11.42578125" style="136"/>
    <col min="51" max="51" width="20.28515625" style="136" customWidth="1"/>
    <col min="52" max="53" width="10.140625" style="136" customWidth="1"/>
    <col min="54" max="54" width="9.5703125" style="136" customWidth="1"/>
    <col min="55" max="55" width="11.42578125" style="136"/>
    <col min="56" max="56" width="5.5703125" style="136" customWidth="1"/>
    <col min="57" max="57" width="4.5703125" style="136" customWidth="1"/>
    <col min="58" max="58" width="1.85546875" style="136" customWidth="1"/>
    <col min="59" max="59" width="5.7109375" style="136" customWidth="1"/>
    <col min="60" max="60" width="6.28515625" style="136" customWidth="1"/>
    <col min="61" max="61" width="5.85546875" style="136" customWidth="1"/>
    <col min="62" max="64" width="0" style="136" hidden="1" customWidth="1"/>
    <col min="65" max="16384" width="11.42578125" style="136"/>
  </cols>
  <sheetData>
    <row r="1" spans="1:64" ht="13.5" thickBot="1" x14ac:dyDescent="0.25">
      <c r="A1" s="153" t="s">
        <v>493</v>
      </c>
      <c r="C1" s="61"/>
      <c r="AW1" s="154"/>
    </row>
    <row r="2" spans="1:64" ht="13.5" thickTop="1" x14ac:dyDescent="0.2">
      <c r="B2" s="198">
        <v>5</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109"/>
      <c r="AW2" s="423"/>
      <c r="AX2" s="233"/>
      <c r="AY2" s="233"/>
      <c r="AZ2" s="233"/>
      <c r="BA2" s="233"/>
      <c r="BB2" s="364" t="str">
        <f>CONCATENATE(ROUND(SUM(I46:K49)*Z42/1000000,2)*AJ6,"m²")</f>
        <v>0m²</v>
      </c>
      <c r="BD2" s="232"/>
      <c r="BE2" s="233"/>
      <c r="BF2" s="233"/>
      <c r="BG2" s="233"/>
      <c r="BH2" s="233"/>
      <c r="BI2" s="234"/>
    </row>
    <row r="3" spans="1:64" ht="36.75" customHeight="1" x14ac:dyDescent="0.3">
      <c r="B3" s="197"/>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137"/>
      <c r="AR3" s="84"/>
      <c r="AS3" s="84"/>
      <c r="AT3" s="138" t="s">
        <v>706</v>
      </c>
      <c r="AU3" s="111"/>
      <c r="AW3" s="235"/>
      <c r="AX3" s="236" t="str">
        <f>'Sprachen &amp; Rückgabewerte(5)'!$H$2</f>
        <v>Sprache:</v>
      </c>
      <c r="AY3" s="61"/>
      <c r="AZ3" s="61"/>
      <c r="BA3" s="61"/>
      <c r="BB3" s="381" t="str">
        <f>IF(AJ6&gt;1,CONCATENATE(AH6," ",AJ6),"")</f>
        <v/>
      </c>
      <c r="BD3" s="235"/>
      <c r="BE3" s="415" t="str">
        <f>'Sprachen &amp; Rückgabewerte(5)'!H183</f>
        <v>Inch-Rechner</v>
      </c>
      <c r="BF3" s="415"/>
      <c r="BG3" s="61"/>
      <c r="BH3" s="61"/>
      <c r="BI3" s="237"/>
    </row>
    <row r="4" spans="1:64" ht="19.5" customHeight="1" x14ac:dyDescent="0.2">
      <c r="B4" s="107"/>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109"/>
      <c r="AW4" s="235"/>
      <c r="AX4" s="61"/>
      <c r="AY4" s="61"/>
      <c r="AZ4" s="61"/>
      <c r="BA4" s="61"/>
      <c r="BB4" s="237"/>
      <c r="BD4" s="235"/>
      <c r="BE4" s="150" t="str">
        <f>'Sprachen &amp; Rückgabewerte(5)'!H184</f>
        <v>Fuss:</v>
      </c>
      <c r="BF4" s="150"/>
      <c r="BG4" s="150" t="str">
        <f>'Sprachen &amp; Rückgabewerte(5)'!H185</f>
        <v>Zoll:</v>
      </c>
      <c r="BH4" s="61"/>
      <c r="BI4" s="237"/>
    </row>
    <row r="5" spans="1:64" x14ac:dyDescent="0.2">
      <c r="B5" s="60"/>
      <c r="C5" s="121"/>
      <c r="D5" s="122"/>
      <c r="E5" s="123" t="str">
        <f>'Sprachen &amp; Rückgabewerte(5)'!H4</f>
        <v>BESTELLUNG</v>
      </c>
      <c r="F5" s="122"/>
      <c r="G5" s="122"/>
      <c r="H5" s="122"/>
      <c r="I5" s="122"/>
      <c r="J5" s="122"/>
      <c r="K5" s="122"/>
      <c r="L5" s="122"/>
      <c r="M5" s="122"/>
      <c r="N5" s="122"/>
      <c r="O5" s="122"/>
      <c r="P5" s="122"/>
      <c r="Q5" s="122"/>
      <c r="R5" s="124"/>
      <c r="S5" s="669" t="str">
        <f>'Sprachen &amp; Rückgabewerte(5)'!$H$130</f>
        <v>Vertriebspartner:</v>
      </c>
      <c r="T5" s="670"/>
      <c r="U5" s="670"/>
      <c r="V5" s="670"/>
      <c r="W5" s="670"/>
      <c r="X5" s="671"/>
      <c r="Y5" s="672"/>
      <c r="Z5" s="673"/>
      <c r="AA5" s="673"/>
      <c r="AB5" s="673"/>
      <c r="AC5" s="673"/>
      <c r="AD5" s="673"/>
      <c r="AE5" s="673"/>
      <c r="AF5" s="674"/>
      <c r="AG5" s="139"/>
      <c r="AH5" s="125" t="str">
        <f>'Sprachen &amp; Rückgabewerte(5)'!H55</f>
        <v>Pos:</v>
      </c>
      <c r="AI5" s="140"/>
      <c r="AJ5" s="663"/>
      <c r="AK5" s="664"/>
      <c r="AL5" s="665"/>
      <c r="AM5" s="139"/>
      <c r="AN5" s="125" t="str">
        <f>'Sprachen &amp; Rückgabewerte(5)'!$H$10</f>
        <v>2-gleisig</v>
      </c>
      <c r="AO5" s="140"/>
      <c r="AP5" s="140"/>
      <c r="AQ5" s="140"/>
      <c r="AR5" s="140"/>
      <c r="AS5" s="140"/>
      <c r="AT5" s="183"/>
      <c r="AU5" s="110"/>
      <c r="AW5" s="235"/>
      <c r="AX5" s="61"/>
      <c r="AY5" s="61"/>
      <c r="AZ5" s="61"/>
      <c r="BA5" s="61"/>
      <c r="BB5" s="237"/>
      <c r="BD5" s="235"/>
      <c r="BE5" s="552"/>
      <c r="BF5" s="554" t="str">
        <f>"'"</f>
        <v>'</v>
      </c>
      <c r="BG5" s="555"/>
      <c r="BH5" s="416"/>
      <c r="BI5" s="237"/>
      <c r="BJ5" s="136">
        <f>BE5*304.8</f>
        <v>0</v>
      </c>
      <c r="BK5" s="136">
        <f>BG5*25.4</f>
        <v>0</v>
      </c>
      <c r="BL5" s="136">
        <f>IF(AND(BH5="",BH6=""),0,25.4*BH5/BH6)</f>
        <v>0</v>
      </c>
    </row>
    <row r="6" spans="1:64" ht="12" customHeight="1" x14ac:dyDescent="0.2">
      <c r="B6" s="60"/>
      <c r="C6" s="126"/>
      <c r="D6" s="127"/>
      <c r="E6" s="67"/>
      <c r="F6" s="127" t="str">
        <f>'Sprachen &amp; Rückgabewerte(5)'!$H$5</f>
        <v>Gemäss Zeichnung Nr.:</v>
      </c>
      <c r="G6" s="127"/>
      <c r="H6" s="127"/>
      <c r="I6" s="127"/>
      <c r="J6" s="127"/>
      <c r="K6" s="127"/>
      <c r="L6" s="141"/>
      <c r="M6" s="681"/>
      <c r="N6" s="682"/>
      <c r="O6" s="682"/>
      <c r="P6" s="682"/>
      <c r="Q6" s="683"/>
      <c r="R6" s="128"/>
      <c r="S6" s="129" t="str">
        <f>'Sprachen &amp; Rückgabewerte(5)'!$H$7</f>
        <v xml:space="preserve">Objekt: </v>
      </c>
      <c r="T6" s="127"/>
      <c r="U6" s="127"/>
      <c r="V6" s="127"/>
      <c r="W6" s="127"/>
      <c r="X6" s="90"/>
      <c r="Y6" s="666"/>
      <c r="Z6" s="667"/>
      <c r="AA6" s="667"/>
      <c r="AB6" s="667"/>
      <c r="AC6" s="667"/>
      <c r="AD6" s="667"/>
      <c r="AE6" s="667"/>
      <c r="AF6" s="668"/>
      <c r="AG6" s="128"/>
      <c r="AH6" s="129" t="str">
        <f>'Sprachen &amp; Rückgabewerte(5)'!H56</f>
        <v>Stück:</v>
      </c>
      <c r="AI6" s="127"/>
      <c r="AJ6" s="675"/>
      <c r="AK6" s="676"/>
      <c r="AL6" s="677"/>
      <c r="AM6" s="112"/>
      <c r="AN6" s="129" t="str">
        <f>IF($AT$5="",'Sprachen &amp; Rückgabewerte(5)'!$H$11,'Sprachen &amp; Rückgabewerte(5)'!$H$12)</f>
        <v>3-gleisig</v>
      </c>
      <c r="AO6" s="127"/>
      <c r="AP6" s="127"/>
      <c r="AQ6" s="127"/>
      <c r="AR6" s="127"/>
      <c r="AS6" s="127"/>
      <c r="AT6" s="128"/>
      <c r="AU6" s="110"/>
      <c r="AW6" s="235"/>
      <c r="AX6" s="61"/>
      <c r="AY6" s="61"/>
      <c r="AZ6" s="61"/>
      <c r="BA6" s="61"/>
      <c r="BB6" s="237"/>
      <c r="BD6" s="235"/>
      <c r="BE6" s="553"/>
      <c r="BF6" s="554"/>
      <c r="BG6" s="556"/>
      <c r="BH6" s="417"/>
      <c r="BI6" s="237"/>
    </row>
    <row r="7" spans="1:64" ht="12" customHeight="1" x14ac:dyDescent="0.2">
      <c r="B7" s="60"/>
      <c r="C7" s="126"/>
      <c r="D7" s="127"/>
      <c r="E7" s="67"/>
      <c r="F7" s="127" t="str">
        <f>'Sprachen &amp; Rückgabewerte(5)'!$H$6</f>
        <v>Gemäss Skizze: (Ansicht von Aussen)</v>
      </c>
      <c r="G7" s="127"/>
      <c r="H7" s="127"/>
      <c r="I7" s="127"/>
      <c r="J7" s="127"/>
      <c r="K7" s="127"/>
      <c r="L7" s="127"/>
      <c r="M7" s="127"/>
      <c r="N7" s="127"/>
      <c r="O7" s="127"/>
      <c r="P7" s="127"/>
      <c r="Q7" s="127"/>
      <c r="R7" s="128"/>
      <c r="S7" s="129" t="str">
        <f>'Sprachen &amp; Rückgabewerte(5)'!$H$8</f>
        <v>Bestelldatum:</v>
      </c>
      <c r="T7" s="127"/>
      <c r="U7" s="127"/>
      <c r="V7" s="127"/>
      <c r="W7" s="127"/>
      <c r="X7" s="90"/>
      <c r="Y7" s="678"/>
      <c r="Z7" s="679"/>
      <c r="AA7" s="679"/>
      <c r="AB7" s="679"/>
      <c r="AC7" s="679"/>
      <c r="AD7" s="679"/>
      <c r="AE7" s="679"/>
      <c r="AF7" s="680"/>
      <c r="AG7" s="142"/>
      <c r="AH7" s="129" t="str">
        <f>'Sprachen &amp; Rückgabewerte(5)'!H57</f>
        <v>Seite:</v>
      </c>
      <c r="AI7" s="143"/>
      <c r="AJ7" s="663"/>
      <c r="AK7" s="664"/>
      <c r="AL7" s="665"/>
      <c r="AM7" s="112"/>
      <c r="AN7" s="129"/>
      <c r="AO7" s="90"/>
      <c r="AP7" s="141"/>
      <c r="AQ7" s="141"/>
      <c r="AR7" s="141"/>
      <c r="AS7" s="141"/>
      <c r="AT7" s="128"/>
      <c r="AU7" s="110"/>
      <c r="AW7" s="235"/>
      <c r="AX7" s="441" t="str">
        <f>'Sprachen &amp; Rückgabewerte(5)'!H193</f>
        <v>Sonstiges:</v>
      </c>
      <c r="AY7" s="61"/>
      <c r="AZ7" s="61"/>
      <c r="BA7" s="61"/>
      <c r="BB7" s="237"/>
      <c r="BD7" s="235"/>
      <c r="BE7" s="61"/>
      <c r="BF7" s="61"/>
      <c r="BG7" s="61"/>
      <c r="BH7" s="61"/>
      <c r="BI7" s="237"/>
    </row>
    <row r="8" spans="1:64" ht="7.5" customHeight="1" thickBot="1" x14ac:dyDescent="0.25">
      <c r="B8" s="60"/>
      <c r="C8" s="130"/>
      <c r="D8" s="131"/>
      <c r="E8" s="131"/>
      <c r="F8" s="131"/>
      <c r="G8" s="131"/>
      <c r="H8" s="131"/>
      <c r="I8" s="131"/>
      <c r="J8" s="131"/>
      <c r="K8" s="131"/>
      <c r="L8" s="131"/>
      <c r="M8" s="131"/>
      <c r="N8" s="131"/>
      <c r="O8" s="131"/>
      <c r="P8" s="131"/>
      <c r="Q8" s="131"/>
      <c r="R8" s="132"/>
      <c r="S8" s="130"/>
      <c r="T8" s="131"/>
      <c r="U8" s="131"/>
      <c r="V8" s="131"/>
      <c r="W8" s="131"/>
      <c r="X8" s="131"/>
      <c r="Y8" s="131"/>
      <c r="Z8" s="131"/>
      <c r="AA8" s="131"/>
      <c r="AB8" s="131"/>
      <c r="AC8" s="131"/>
      <c r="AD8" s="131"/>
      <c r="AE8" s="131"/>
      <c r="AF8" s="131"/>
      <c r="AG8" s="132"/>
      <c r="AH8" s="130"/>
      <c r="AI8" s="131"/>
      <c r="AJ8" s="131"/>
      <c r="AK8" s="131"/>
      <c r="AL8" s="131"/>
      <c r="AM8" s="113"/>
      <c r="AN8" s="130"/>
      <c r="AO8" s="131"/>
      <c r="AP8" s="131"/>
      <c r="AQ8" s="131"/>
      <c r="AR8" s="131"/>
      <c r="AS8" s="131"/>
      <c r="AT8" s="132"/>
      <c r="AU8" s="110"/>
      <c r="AW8" s="235"/>
      <c r="AX8" s="442"/>
      <c r="AY8" s="61"/>
      <c r="AZ8" s="61"/>
      <c r="BA8" s="61"/>
      <c r="BB8" s="237"/>
      <c r="BD8" s="235"/>
      <c r="BE8" s="61"/>
      <c r="BF8" s="61"/>
      <c r="BG8" s="61"/>
      <c r="BH8" s="61"/>
      <c r="BI8" s="237"/>
    </row>
    <row r="9" spans="1:64" ht="15" customHeight="1" thickTop="1" x14ac:dyDescent="0.2">
      <c r="A9" s="645" t="str">
        <f>IF('Sprachen &amp; Rückgabewerte(5)'!L62=1,'Sprachen &amp; Rückgabewerte(5)'!$H$132,"")</f>
        <v/>
      </c>
      <c r="B9" s="220"/>
      <c r="C9" s="60"/>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3"/>
      <c r="AN9" s="61"/>
      <c r="AO9" s="61"/>
      <c r="AP9" s="61"/>
      <c r="AQ9" s="61"/>
      <c r="AR9" s="61"/>
      <c r="AS9" s="61"/>
      <c r="AT9" s="110"/>
      <c r="AU9" s="110"/>
      <c r="AW9" s="235"/>
      <c r="AX9" s="442" t="str">
        <f>'Sprachen &amp; Rückgabewerte(5)'!H194</f>
        <v>Sichtbare Rahmenprofile (aussen):</v>
      </c>
      <c r="AY9" s="61"/>
      <c r="AZ9" s="550"/>
      <c r="BA9" s="551"/>
      <c r="BB9" s="237"/>
      <c r="BD9" s="235"/>
      <c r="BE9" s="557">
        <f>ROUND(SUM(BJ5,BK5,BL5),1)</f>
        <v>0</v>
      </c>
      <c r="BF9" s="558"/>
      <c r="BG9" s="559"/>
      <c r="BH9" s="150" t="s">
        <v>176</v>
      </c>
      <c r="BI9" s="237"/>
    </row>
    <row r="10" spans="1:64" ht="15" customHeight="1" thickBot="1" x14ac:dyDescent="0.25">
      <c r="A10" s="646"/>
      <c r="B10" s="220"/>
      <c r="C10" s="60"/>
      <c r="D10" s="61"/>
      <c r="E10" s="61"/>
      <c r="F10" s="652"/>
      <c r="G10" s="653"/>
      <c r="H10" s="61"/>
      <c r="I10" s="61"/>
      <c r="J10" s="652"/>
      <c r="K10" s="653"/>
      <c r="L10" s="61"/>
      <c r="M10" s="61"/>
      <c r="N10" s="652"/>
      <c r="O10" s="653"/>
      <c r="P10" s="61"/>
      <c r="Q10" s="61"/>
      <c r="R10" s="652"/>
      <c r="S10" s="653"/>
      <c r="T10" s="61"/>
      <c r="U10" s="61"/>
      <c r="V10" s="652"/>
      <c r="W10" s="653"/>
      <c r="X10" s="61"/>
      <c r="Y10" s="61"/>
      <c r="Z10" s="652"/>
      <c r="AA10" s="653"/>
      <c r="AB10" s="61"/>
      <c r="AC10" s="61"/>
      <c r="AD10" s="652"/>
      <c r="AE10" s="653"/>
      <c r="AF10" s="61"/>
      <c r="AG10" s="61"/>
      <c r="AH10" s="652"/>
      <c r="AI10" s="653"/>
      <c r="AJ10" s="61"/>
      <c r="AK10" s="61"/>
      <c r="AL10" s="652"/>
      <c r="AM10" s="653"/>
      <c r="AN10" s="61"/>
      <c r="AO10" s="61"/>
      <c r="AP10" s="652"/>
      <c r="AQ10" s="653"/>
      <c r="AR10" s="61"/>
      <c r="AS10" s="61"/>
      <c r="AT10" s="110"/>
      <c r="AU10" s="110"/>
      <c r="AW10" s="235"/>
      <c r="AX10" s="442" t="str">
        <f>'Sprachen &amp; Rückgabewerte(5)'!H195</f>
        <v>Lieferung Glas und Rahmen:</v>
      </c>
      <c r="AY10" s="61"/>
      <c r="AZ10" s="550"/>
      <c r="BA10" s="551"/>
      <c r="BB10" s="237"/>
      <c r="BD10" s="251"/>
      <c r="BE10" s="241"/>
      <c r="BF10" s="241"/>
      <c r="BG10" s="241"/>
      <c r="BH10" s="241"/>
      <c r="BI10" s="243"/>
    </row>
    <row r="11" spans="1:64" ht="15" customHeight="1" thickTop="1" thickBot="1" x14ac:dyDescent="0.25">
      <c r="A11" s="647"/>
      <c r="B11" s="220"/>
      <c r="C11" s="231">
        <f>COUNTBLANK(E11:AO11)</f>
        <v>37</v>
      </c>
      <c r="D11" s="61"/>
      <c r="E11" s="67"/>
      <c r="F11" s="67"/>
      <c r="G11" s="67"/>
      <c r="H11" s="156"/>
      <c r="I11" s="156"/>
      <c r="J11" s="67"/>
      <c r="K11" s="67"/>
      <c r="L11" s="156"/>
      <c r="M11" s="156"/>
      <c r="N11" s="67"/>
      <c r="O11" s="67"/>
      <c r="P11" s="156"/>
      <c r="Q11" s="156"/>
      <c r="R11" s="67"/>
      <c r="S11" s="67"/>
      <c r="T11" s="156"/>
      <c r="U11" s="156"/>
      <c r="V11" s="67"/>
      <c r="W11" s="67"/>
      <c r="X11" s="156"/>
      <c r="Y11" s="156"/>
      <c r="Z11" s="67"/>
      <c r="AA11" s="67"/>
      <c r="AB11" s="156"/>
      <c r="AC11" s="156"/>
      <c r="AD11" s="67"/>
      <c r="AE11" s="67"/>
      <c r="AF11" s="156"/>
      <c r="AG11" s="156"/>
      <c r="AH11" s="67"/>
      <c r="AI11" s="67"/>
      <c r="AJ11" s="156"/>
      <c r="AK11" s="156"/>
      <c r="AL11" s="67"/>
      <c r="AM11" s="67"/>
      <c r="AN11" s="156"/>
      <c r="AO11" s="156"/>
      <c r="AP11" s="67"/>
      <c r="AQ11" s="67"/>
      <c r="AR11" s="67"/>
      <c r="AS11" s="61"/>
      <c r="AT11" s="110"/>
      <c r="AU11" s="110"/>
      <c r="AW11" s="235"/>
      <c r="AX11" s="61"/>
      <c r="AY11" s="61"/>
      <c r="AZ11" s="61"/>
      <c r="BA11" s="61"/>
      <c r="BB11" s="237"/>
    </row>
    <row r="12" spans="1:64" ht="13.5" customHeight="1" thickTop="1" x14ac:dyDescent="0.2">
      <c r="B12" s="60"/>
      <c r="C12" s="60"/>
      <c r="D12" s="61"/>
      <c r="E12" s="94"/>
      <c r="F12" s="82"/>
      <c r="G12" s="82"/>
      <c r="H12" s="83" t="str">
        <f>IF(F10&lt;&gt;"",IF(AND(F10&gt;0,F10&lt;&gt;"F"),CONCATENATE('Sprachen &amp; Rückgabewerte(5)'!$C$28," ",'Sprachen &amp; Rückgabewerte(5)'!$C$29," ",'Sprachen &amp; Rückgabewerte(5)'!$C$30),'Sprachen &amp; Rückgabewerte(5)'!$C$30),"")</f>
        <v/>
      </c>
      <c r="I12" s="94"/>
      <c r="J12" s="82"/>
      <c r="K12" s="82"/>
      <c r="L12" s="83" t="str">
        <f>IF(J10&lt;&gt;"",IF(AND(J10&gt;0,J10&lt;&gt;"F"),CONCATENATE('Sprachen &amp; Rückgabewerte(5)'!$C$28," ",'Sprachen &amp; Rückgabewerte(5)'!$C$29," ",'Sprachen &amp; Rückgabewerte(5)'!$C$30),'Sprachen &amp; Rückgabewerte(5)'!$C$30),"")</f>
        <v/>
      </c>
      <c r="M12" s="94"/>
      <c r="N12" s="82"/>
      <c r="O12" s="82"/>
      <c r="P12" s="83" t="str">
        <f>IF(N10&lt;&gt;"",IF(AND(N10&gt;0,N10&lt;&gt;"F"),CONCATENATE('Sprachen &amp; Rückgabewerte(5)'!$C$28," ",'Sprachen &amp; Rückgabewerte(5)'!$C$29," ",'Sprachen &amp; Rückgabewerte(5)'!$C$30),'Sprachen &amp; Rückgabewerte(5)'!$C$30),"")</f>
        <v/>
      </c>
      <c r="Q12" s="94"/>
      <c r="R12" s="82"/>
      <c r="S12" s="82"/>
      <c r="T12" s="83" t="str">
        <f>IF(R10&lt;&gt;"",IF(AND(R10&gt;0,R10&lt;&gt;"F"),CONCATENATE('Sprachen &amp; Rückgabewerte(5)'!$C$28," ",'Sprachen &amp; Rückgabewerte(5)'!$C$29," ",'Sprachen &amp; Rückgabewerte(5)'!$C$30),'Sprachen &amp; Rückgabewerte(5)'!$C$30),"")</f>
        <v/>
      </c>
      <c r="U12" s="94"/>
      <c r="V12" s="82"/>
      <c r="W12" s="82"/>
      <c r="X12" s="83" t="str">
        <f>IF(V10&lt;&gt;"",IF(AND(V10&gt;0,V10&lt;&gt;"F"),CONCATENATE('Sprachen &amp; Rückgabewerte(5)'!$C$28," ",'Sprachen &amp; Rückgabewerte(5)'!$C$29," ",'Sprachen &amp; Rückgabewerte(5)'!$C$30),'Sprachen &amp; Rückgabewerte(5)'!$C$30),"")</f>
        <v/>
      </c>
      <c r="Y12" s="94"/>
      <c r="Z12" s="82"/>
      <c r="AA12" s="82"/>
      <c r="AB12" s="83" t="str">
        <f>IF(Z10&lt;&gt;"",IF(AND(Z10&gt;0,Z10&lt;&gt;"F"),CONCATENATE('Sprachen &amp; Rückgabewerte(5)'!$C$28," ",'Sprachen &amp; Rückgabewerte(5)'!$C$29," ",'Sprachen &amp; Rückgabewerte(5)'!$C$30),'Sprachen &amp; Rückgabewerte(5)'!$C$30),"")</f>
        <v/>
      </c>
      <c r="AC12" s="94"/>
      <c r="AD12" s="82"/>
      <c r="AE12" s="82"/>
      <c r="AF12" s="83" t="str">
        <f>IF(AD10&lt;&gt;"",IF(AND(AD10&gt;0,AD10&lt;&gt;"F"),CONCATENATE('Sprachen &amp; Rückgabewerte(5)'!$C$28," ",'Sprachen &amp; Rückgabewerte(5)'!$C$29," ",'Sprachen &amp; Rückgabewerte(5)'!$C$30),'Sprachen &amp; Rückgabewerte(5)'!$C$30),"")</f>
        <v/>
      </c>
      <c r="AG12" s="94"/>
      <c r="AH12" s="82"/>
      <c r="AI12" s="82"/>
      <c r="AJ12" s="83" t="str">
        <f>IF(AH10&lt;&gt;"",IF(AND(AH10&gt;0,AH10&lt;&gt;"F"),CONCATENATE('Sprachen &amp; Rückgabewerte(5)'!$C$28," ",'Sprachen &amp; Rückgabewerte(5)'!$C$29," ",'Sprachen &amp; Rückgabewerte(5)'!$C$30),'Sprachen &amp; Rückgabewerte(5)'!$C$30),"")</f>
        <v/>
      </c>
      <c r="AK12" s="94"/>
      <c r="AL12" s="82"/>
      <c r="AM12" s="82"/>
      <c r="AN12" s="83" t="str">
        <f>IF(AL10&lt;&gt;"",IF(AND(AL10&gt;0,AL10&lt;&gt;"F"),CONCATENATE('Sprachen &amp; Rückgabewerte(5)'!$C$28," ",'Sprachen &amp; Rückgabewerte(5)'!$C$29," ",'Sprachen &amp; Rückgabewerte(5)'!$C$30),'Sprachen &amp; Rückgabewerte(5)'!$C$30),"")</f>
        <v/>
      </c>
      <c r="AO12" s="94"/>
      <c r="AP12" s="82"/>
      <c r="AQ12" s="82"/>
      <c r="AR12" s="83" t="str">
        <f>IF(AP10&lt;&gt;"",IF(AND(AP10&gt;0,AP10&lt;&gt;"F"),CONCATENATE('Sprachen &amp; Rückgabewerte(5)'!$C$28," ",'Sprachen &amp; Rückgabewerte(5)'!$C$29," ",'Sprachen &amp; Rückgabewerte(5)'!$C$30),'Sprachen &amp; Rückgabewerte(5)'!$C$30),"")</f>
        <v/>
      </c>
      <c r="AS12" s="144"/>
      <c r="AT12" s="110"/>
      <c r="AU12" s="110"/>
      <c r="AW12" s="235"/>
      <c r="AX12" s="238"/>
      <c r="AY12" s="61"/>
      <c r="AZ12" s="61"/>
      <c r="BA12" s="61"/>
      <c r="BB12" s="237"/>
    </row>
    <row r="13" spans="1:64" ht="13.5" customHeight="1" x14ac:dyDescent="0.2">
      <c r="B13" s="60"/>
      <c r="C13" s="60"/>
      <c r="D13" s="61"/>
      <c r="E13" s="648" t="str">
        <f>IF(AND('Sprachen &amp; Rückgabewerte(5)'!$I$30=TRUE,$F$10="R"),'Sprachen &amp; Rückgabewerte(5)'!H60,"")</f>
        <v/>
      </c>
      <c r="F13" s="61"/>
      <c r="G13" s="61"/>
      <c r="H13" s="650" t="str">
        <f>IF(AND('Sprachen &amp; Rückgabewerte(5)'!$I$31=TRUE,$F$10="L",$J$10=""),'Sprachen &amp; Rückgabewerte(5)'!$H$60,"")</f>
        <v/>
      </c>
      <c r="I13" s="60"/>
      <c r="J13" s="61"/>
      <c r="K13" s="61"/>
      <c r="L13" s="650" t="str">
        <f>IF(AND('Sprachen &amp; Rückgabewerte(5)'!$I$31=TRUE,$J$10="L",$N$10=""),'Sprachen &amp; Rückgabewerte(5)'!$H$60,"")</f>
        <v/>
      </c>
      <c r="M13" s="60"/>
      <c r="N13" s="61"/>
      <c r="O13" s="61"/>
      <c r="P13" s="650" t="str">
        <f>IF(AND('Sprachen &amp; Rückgabewerte(5)'!$I$31=TRUE,$N$10="L",$R$10=""),'Sprachen &amp; Rückgabewerte(5)'!$H$60,"")</f>
        <v/>
      </c>
      <c r="Q13" s="60"/>
      <c r="R13" s="61"/>
      <c r="S13" s="61"/>
      <c r="T13" s="650" t="str">
        <f>IF(AND('Sprachen &amp; Rückgabewerte(5)'!$I$31=TRUE,$R$10="L",$V$10=""),'Sprachen &amp; Rückgabewerte(5)'!$H$60,"")</f>
        <v/>
      </c>
      <c r="U13" s="60"/>
      <c r="V13" s="61"/>
      <c r="W13" s="61"/>
      <c r="X13" s="650" t="str">
        <f>IF(AND('Sprachen &amp; Rückgabewerte(5)'!$I$31=TRUE,$V$10="L",$Z$10=""),'Sprachen &amp; Rückgabewerte(5)'!$H$60,"")</f>
        <v/>
      </c>
      <c r="Y13" s="60"/>
      <c r="Z13" s="61"/>
      <c r="AA13" s="61"/>
      <c r="AB13" s="650" t="str">
        <f>IF(AND('Sprachen &amp; Rückgabewerte(5)'!$I$31=TRUE,$Z$10="L",$AD$10=""),'Sprachen &amp; Rückgabewerte(5)'!$H$60,"")</f>
        <v/>
      </c>
      <c r="AC13" s="60"/>
      <c r="AD13" s="61"/>
      <c r="AE13" s="61"/>
      <c r="AF13" s="650" t="str">
        <f>IF(AND('Sprachen &amp; Rückgabewerte(5)'!$I$31=TRUE,$AD$10="L",$AH$10=""),'Sprachen &amp; Rückgabewerte(5)'!$H$60,"")</f>
        <v/>
      </c>
      <c r="AG13" s="60"/>
      <c r="AH13" s="61"/>
      <c r="AI13" s="61"/>
      <c r="AJ13" s="650" t="str">
        <f>IF(AND('Sprachen &amp; Rückgabewerte(5)'!$I$31=TRUE,$AH$10="L",$AL$10=""),'Sprachen &amp; Rückgabewerte(5)'!$H$60,"")</f>
        <v/>
      </c>
      <c r="AK13" s="60"/>
      <c r="AL13" s="61"/>
      <c r="AM13" s="61"/>
      <c r="AN13" s="650" t="str">
        <f>IF(AND('Sprachen &amp; Rückgabewerte(5)'!$I$31=TRUE,$AL$10="L",$AP$10=""),'Sprachen &amp; Rückgabewerte(5)'!$H$60,"")</f>
        <v/>
      </c>
      <c r="AO13" s="60"/>
      <c r="AP13" s="61"/>
      <c r="AQ13" s="61"/>
      <c r="AR13" s="650" t="str">
        <f>IF(AND('Sprachen &amp; Rückgabewerte(5)'!$I$31=TRUE,$AP$10="L"),'Sprachen &amp; Rückgabewerte(5)'!$H$60,"")</f>
        <v/>
      </c>
      <c r="AS13" s="145"/>
      <c r="AT13" s="110"/>
      <c r="AU13" s="110"/>
      <c r="AW13" s="235"/>
      <c r="AX13" s="61"/>
      <c r="AY13" s="61"/>
      <c r="AZ13" s="61"/>
      <c r="BA13" s="61"/>
      <c r="BB13" s="237"/>
    </row>
    <row r="14" spans="1:64" ht="13.5" customHeight="1" x14ac:dyDescent="0.2">
      <c r="B14" s="60"/>
      <c r="C14" s="60"/>
      <c r="D14" s="61"/>
      <c r="E14" s="648"/>
      <c r="F14" s="660" t="str">
        <f>IF(F10='Sprachen &amp; Rückgabewerte(5)'!$B$9,'Sprachen &amp; Rückgabewerte(5)'!$C$9,IF(F10='Sprachen &amp; Rückgabewerte(5)'!$B$10,'Sprachen &amp; Rückgabewerte(5)'!$C$10,IF(F10='Sprachen &amp; Rückgabewerte(5)'!$B$11,'Sprachen &amp; Rückgabewerte(5)'!$C$11,IF(F10='Sprachen &amp; Rückgabewerte(5)'!$B$12,'Sprachen &amp; Rückgabewerte(5)'!$C$12,IF(F10='Sprachen &amp; Rückgabewerte(5)'!$B$13,'Sprachen &amp; Rückgabewerte(5)'!$C$13,IF(F10='Sprachen &amp; Rückgabewerte(5)'!$B$14,'Sprachen &amp; Rückgabewerte(5)'!$C$14,""))))))</f>
        <v/>
      </c>
      <c r="G14" s="660"/>
      <c r="H14" s="650"/>
      <c r="I14" s="60"/>
      <c r="J14" s="660" t="str">
        <f>IF(J10='Sprachen &amp; Rückgabewerte(5)'!$B$9,'Sprachen &amp; Rückgabewerte(5)'!$C$9,IF(J10='Sprachen &amp; Rückgabewerte(5)'!$B$10,'Sprachen &amp; Rückgabewerte(5)'!$C$10,IF(J10='Sprachen &amp; Rückgabewerte(5)'!$B$11,'Sprachen &amp; Rückgabewerte(5)'!$C$11,IF(J10='Sprachen &amp; Rückgabewerte(5)'!$B$12,'Sprachen &amp; Rückgabewerte(5)'!$C$12,IF(J10='Sprachen &amp; Rückgabewerte(5)'!$B$13,'Sprachen &amp; Rückgabewerte(5)'!$C$13,IF(J10='Sprachen &amp; Rückgabewerte(5)'!$B$14,'Sprachen &amp; Rückgabewerte(5)'!$C$14,""))))))</f>
        <v/>
      </c>
      <c r="K14" s="660"/>
      <c r="L14" s="650"/>
      <c r="M14" s="60"/>
      <c r="N14" s="660" t="str">
        <f>IF(N10='Sprachen &amp; Rückgabewerte(5)'!$B$9,'Sprachen &amp; Rückgabewerte(5)'!$C$9,IF(N10='Sprachen &amp; Rückgabewerte(5)'!$B$10,'Sprachen &amp; Rückgabewerte(5)'!$C$10,IF(N10='Sprachen &amp; Rückgabewerte(5)'!$B$11,'Sprachen &amp; Rückgabewerte(5)'!$C$11,IF(N10='Sprachen &amp; Rückgabewerte(5)'!$B$12,'Sprachen &amp; Rückgabewerte(5)'!$C$12,IF(N10='Sprachen &amp; Rückgabewerte(5)'!$B$13,'Sprachen &amp; Rückgabewerte(5)'!$C$13,IF(N10='Sprachen &amp; Rückgabewerte(5)'!$B$14,'Sprachen &amp; Rückgabewerte(5)'!$C$14,""))))))</f>
        <v/>
      </c>
      <c r="O14" s="660"/>
      <c r="P14" s="650"/>
      <c r="Q14" s="60"/>
      <c r="R14" s="660" t="str">
        <f>IF(R10='Sprachen &amp; Rückgabewerte(5)'!$B$9,'Sprachen &amp; Rückgabewerte(5)'!$C$9,IF(R10='Sprachen &amp; Rückgabewerte(5)'!$B$10,'Sprachen &amp; Rückgabewerte(5)'!$C$10,IF(R10='Sprachen &amp; Rückgabewerte(5)'!$B$11,'Sprachen &amp; Rückgabewerte(5)'!$C$11,IF(R10='Sprachen &amp; Rückgabewerte(5)'!$B$12,'Sprachen &amp; Rückgabewerte(5)'!$C$12,IF(R10='Sprachen &amp; Rückgabewerte(5)'!$B$13,'Sprachen &amp; Rückgabewerte(5)'!$C$13,IF(R10='Sprachen &amp; Rückgabewerte(5)'!$B$14,'Sprachen &amp; Rückgabewerte(5)'!$C$14,""))))))</f>
        <v/>
      </c>
      <c r="S14" s="660"/>
      <c r="T14" s="650"/>
      <c r="U14" s="60"/>
      <c r="V14" s="660" t="str">
        <f>IF(V10='Sprachen &amp; Rückgabewerte(5)'!$B$9,'Sprachen &amp; Rückgabewerte(5)'!$C$9,IF(V10='Sprachen &amp; Rückgabewerte(5)'!$B$10,'Sprachen &amp; Rückgabewerte(5)'!$C$10,IF(V10='Sprachen &amp; Rückgabewerte(5)'!$B$11,'Sprachen &amp; Rückgabewerte(5)'!$C$11,IF(V10='Sprachen &amp; Rückgabewerte(5)'!$B$12,'Sprachen &amp; Rückgabewerte(5)'!$C$12,IF(V10='Sprachen &amp; Rückgabewerte(5)'!$B$13,'Sprachen &amp; Rückgabewerte(5)'!$C$13,IF(V10='Sprachen &amp; Rückgabewerte(5)'!$B$14,'Sprachen &amp; Rückgabewerte(5)'!$C$14,""))))))</f>
        <v/>
      </c>
      <c r="W14" s="660"/>
      <c r="X14" s="650"/>
      <c r="Y14" s="60"/>
      <c r="Z14" s="660" t="str">
        <f>IF(Z10='Sprachen &amp; Rückgabewerte(5)'!$B$9,'Sprachen &amp; Rückgabewerte(5)'!$C$9,IF(Z10='Sprachen &amp; Rückgabewerte(5)'!$B$10,'Sprachen &amp; Rückgabewerte(5)'!$C$10,IF(Z10='Sprachen &amp; Rückgabewerte(5)'!$B$11,'Sprachen &amp; Rückgabewerte(5)'!$C$11,IF(Z10='Sprachen &amp; Rückgabewerte(5)'!$B$12,'Sprachen &amp; Rückgabewerte(5)'!$C$12,IF(Z10='Sprachen &amp; Rückgabewerte(5)'!$B$13,'Sprachen &amp; Rückgabewerte(5)'!$C$13,IF(Z10='Sprachen &amp; Rückgabewerte(5)'!$B$14,'Sprachen &amp; Rückgabewerte(5)'!$C$14,""))))))</f>
        <v/>
      </c>
      <c r="AA14" s="660"/>
      <c r="AB14" s="650"/>
      <c r="AC14" s="60"/>
      <c r="AD14" s="660" t="str">
        <f>IF(AD10='Sprachen &amp; Rückgabewerte(5)'!$B$9,'Sprachen &amp; Rückgabewerte(5)'!$C$9,IF(AD10='Sprachen &amp; Rückgabewerte(5)'!$B$10,'Sprachen &amp; Rückgabewerte(5)'!$C$10,IF(AD10='Sprachen &amp; Rückgabewerte(5)'!$B$11,'Sprachen &amp; Rückgabewerte(5)'!$C$11,IF(AD10='Sprachen &amp; Rückgabewerte(5)'!$B$12,'Sprachen &amp; Rückgabewerte(5)'!$C$12,IF(AD10='Sprachen &amp; Rückgabewerte(5)'!$B$13,'Sprachen &amp; Rückgabewerte(5)'!$C$13,IF(AD10='Sprachen &amp; Rückgabewerte(5)'!$B$14,'Sprachen &amp; Rückgabewerte(5)'!$C$14,""))))))</f>
        <v/>
      </c>
      <c r="AE14" s="660"/>
      <c r="AF14" s="650"/>
      <c r="AG14" s="60"/>
      <c r="AH14" s="660" t="str">
        <f>IF(AH10='Sprachen &amp; Rückgabewerte(5)'!$B$9,'Sprachen &amp; Rückgabewerte(5)'!$C$9,IF(AH10='Sprachen &amp; Rückgabewerte(5)'!$B$10,'Sprachen &amp; Rückgabewerte(5)'!$C$10,IF(AH10='Sprachen &amp; Rückgabewerte(5)'!$B$11,'Sprachen &amp; Rückgabewerte(5)'!$C$11,IF(AH10='Sprachen &amp; Rückgabewerte(5)'!$B$12,'Sprachen &amp; Rückgabewerte(5)'!$C$12,IF(AH10='Sprachen &amp; Rückgabewerte(5)'!$B$13,'Sprachen &amp; Rückgabewerte(5)'!$C$13,IF(AH10='Sprachen &amp; Rückgabewerte(5)'!$B$14,'Sprachen &amp; Rückgabewerte(5)'!$C$14,""))))))</f>
        <v/>
      </c>
      <c r="AI14" s="660"/>
      <c r="AJ14" s="650"/>
      <c r="AK14" s="60"/>
      <c r="AL14" s="660" t="str">
        <f>IF(AL10='Sprachen &amp; Rückgabewerte(5)'!$B$9,'Sprachen &amp; Rückgabewerte(5)'!$C$9,IF(AL10='Sprachen &amp; Rückgabewerte(5)'!$B$10,'Sprachen &amp; Rückgabewerte(5)'!$C$10,IF(AL10='Sprachen &amp; Rückgabewerte(5)'!$B$11,'Sprachen &amp; Rückgabewerte(5)'!$C$11,IF(AL10='Sprachen &amp; Rückgabewerte(5)'!$B$12,'Sprachen &amp; Rückgabewerte(5)'!$C$12,IF(AL10='Sprachen &amp; Rückgabewerte(5)'!$B$13,'Sprachen &amp; Rückgabewerte(5)'!$C$13,IF(AL10='Sprachen &amp; Rückgabewerte(5)'!$B$14,'Sprachen &amp; Rückgabewerte(5)'!$C$14,""))))))</f>
        <v/>
      </c>
      <c r="AM14" s="660"/>
      <c r="AN14" s="650"/>
      <c r="AO14" s="60"/>
      <c r="AP14" s="660" t="str">
        <f>IF(AP10='Sprachen &amp; Rückgabewerte(5)'!$B$9,'Sprachen &amp; Rückgabewerte(5)'!$C$9,IF(AP10='Sprachen &amp; Rückgabewerte(5)'!$B$10,'Sprachen &amp; Rückgabewerte(5)'!$C$10,IF(AP10='Sprachen &amp; Rückgabewerte(5)'!$B$11,'Sprachen &amp; Rückgabewerte(5)'!$C$11,IF(AP10='Sprachen &amp; Rückgabewerte(5)'!$B$12,'Sprachen &amp; Rückgabewerte(5)'!$C$12,IF(AP10='Sprachen &amp; Rückgabewerte(5)'!$B$13,'Sprachen &amp; Rückgabewerte(5)'!$C$13,IF(AP10='Sprachen &amp; Rückgabewerte(5)'!$B$14,'Sprachen &amp; Rückgabewerte(5)'!$C$14,""))))))</f>
        <v/>
      </c>
      <c r="AQ14" s="660"/>
      <c r="AR14" s="650"/>
      <c r="AS14" s="144"/>
      <c r="AT14" s="110"/>
      <c r="AU14" s="110"/>
      <c r="AW14" s="235"/>
      <c r="AX14" s="149" t="str">
        <f>'Sprachen &amp; Rückgabewerte(5)'!H131</f>
        <v>Bemerkungen:</v>
      </c>
      <c r="AY14" s="61"/>
      <c r="AZ14" s="61"/>
      <c r="BA14" s="61"/>
      <c r="BB14" s="237"/>
    </row>
    <row r="15" spans="1:64" ht="13.5" customHeight="1" x14ac:dyDescent="0.2">
      <c r="B15" s="60"/>
      <c r="C15" s="60"/>
      <c r="D15" s="61"/>
      <c r="E15" s="648"/>
      <c r="F15" s="660"/>
      <c r="G15" s="660"/>
      <c r="H15" s="650"/>
      <c r="I15" s="60"/>
      <c r="J15" s="660"/>
      <c r="K15" s="660"/>
      <c r="L15" s="650"/>
      <c r="M15" s="60"/>
      <c r="N15" s="660"/>
      <c r="O15" s="660"/>
      <c r="P15" s="650"/>
      <c r="Q15" s="60"/>
      <c r="R15" s="660"/>
      <c r="S15" s="660"/>
      <c r="T15" s="650"/>
      <c r="U15" s="60"/>
      <c r="V15" s="660"/>
      <c r="W15" s="660"/>
      <c r="X15" s="650"/>
      <c r="Y15" s="60"/>
      <c r="Z15" s="660"/>
      <c r="AA15" s="660"/>
      <c r="AB15" s="650"/>
      <c r="AC15" s="60"/>
      <c r="AD15" s="660"/>
      <c r="AE15" s="660"/>
      <c r="AF15" s="650"/>
      <c r="AG15" s="60"/>
      <c r="AH15" s="660"/>
      <c r="AI15" s="660"/>
      <c r="AJ15" s="650"/>
      <c r="AK15" s="60"/>
      <c r="AL15" s="660"/>
      <c r="AM15" s="660"/>
      <c r="AN15" s="650"/>
      <c r="AO15" s="60"/>
      <c r="AP15" s="660"/>
      <c r="AQ15" s="660"/>
      <c r="AR15" s="650"/>
      <c r="AS15" s="61"/>
      <c r="AT15" s="110"/>
      <c r="AU15" s="110"/>
      <c r="AW15" s="235"/>
      <c r="AX15" s="684" t="s">
        <v>480</v>
      </c>
      <c r="AY15" s="685"/>
      <c r="AZ15" s="685"/>
      <c r="BA15" s="686"/>
      <c r="BB15" s="237"/>
    </row>
    <row r="16" spans="1:64" ht="13.5" customHeight="1" x14ac:dyDescent="0.2">
      <c r="B16" s="60"/>
      <c r="C16" s="60"/>
      <c r="D16" s="61"/>
      <c r="E16" s="648"/>
      <c r="F16" s="654"/>
      <c r="G16" s="654"/>
      <c r="H16" s="650"/>
      <c r="I16" s="60"/>
      <c r="J16" s="654"/>
      <c r="K16" s="654"/>
      <c r="L16" s="650"/>
      <c r="M16" s="60"/>
      <c r="N16" s="654"/>
      <c r="O16" s="654"/>
      <c r="P16" s="650"/>
      <c r="Q16" s="60"/>
      <c r="R16" s="654"/>
      <c r="S16" s="654"/>
      <c r="T16" s="650"/>
      <c r="U16" s="60"/>
      <c r="V16" s="654"/>
      <c r="W16" s="654"/>
      <c r="X16" s="650"/>
      <c r="Y16" s="60"/>
      <c r="Z16" s="654"/>
      <c r="AA16" s="654"/>
      <c r="AB16" s="650"/>
      <c r="AC16" s="60"/>
      <c r="AD16" s="654"/>
      <c r="AE16" s="654"/>
      <c r="AF16" s="650"/>
      <c r="AG16" s="60"/>
      <c r="AH16" s="654"/>
      <c r="AI16" s="654"/>
      <c r="AJ16" s="650"/>
      <c r="AK16" s="60"/>
      <c r="AL16" s="654"/>
      <c r="AM16" s="654"/>
      <c r="AN16" s="650"/>
      <c r="AO16" s="60"/>
      <c r="AP16" s="654"/>
      <c r="AQ16" s="654"/>
      <c r="AR16" s="650"/>
      <c r="AS16" s="61"/>
      <c r="AT16" s="110"/>
      <c r="AU16" s="110"/>
      <c r="AW16" s="239"/>
      <c r="AX16" s="687"/>
      <c r="AY16" s="688"/>
      <c r="AZ16" s="688"/>
      <c r="BA16" s="689"/>
      <c r="BB16" s="237"/>
    </row>
    <row r="17" spans="1:54" ht="13.5" customHeight="1" x14ac:dyDescent="0.2">
      <c r="B17" s="60"/>
      <c r="C17" s="60"/>
      <c r="D17" s="61"/>
      <c r="E17" s="648"/>
      <c r="F17" s="654"/>
      <c r="G17" s="654"/>
      <c r="H17" s="650"/>
      <c r="I17" s="60"/>
      <c r="J17" s="654"/>
      <c r="K17" s="654"/>
      <c r="L17" s="650"/>
      <c r="M17" s="60"/>
      <c r="N17" s="654"/>
      <c r="O17" s="654"/>
      <c r="P17" s="650"/>
      <c r="Q17" s="60"/>
      <c r="R17" s="654"/>
      <c r="S17" s="654"/>
      <c r="T17" s="650"/>
      <c r="U17" s="60"/>
      <c r="V17" s="654"/>
      <c r="W17" s="654"/>
      <c r="X17" s="650"/>
      <c r="Y17" s="60"/>
      <c r="Z17" s="654"/>
      <c r="AA17" s="654"/>
      <c r="AB17" s="650"/>
      <c r="AC17" s="60"/>
      <c r="AD17" s="654"/>
      <c r="AE17" s="654"/>
      <c r="AF17" s="650"/>
      <c r="AG17" s="60"/>
      <c r="AH17" s="654"/>
      <c r="AI17" s="654"/>
      <c r="AJ17" s="650"/>
      <c r="AK17" s="60"/>
      <c r="AL17" s="654"/>
      <c r="AM17" s="654"/>
      <c r="AN17" s="650"/>
      <c r="AO17" s="60"/>
      <c r="AP17" s="654"/>
      <c r="AQ17" s="654"/>
      <c r="AR17" s="650"/>
      <c r="AS17" s="61"/>
      <c r="AT17" s="110"/>
      <c r="AU17" s="110"/>
      <c r="AW17" s="239"/>
      <c r="AX17" s="687"/>
      <c r="AY17" s="688"/>
      <c r="AZ17" s="688"/>
      <c r="BA17" s="689"/>
      <c r="BB17" s="237"/>
    </row>
    <row r="18" spans="1:54" ht="13.5" customHeight="1" x14ac:dyDescent="0.2">
      <c r="B18" s="60"/>
      <c r="C18" s="60"/>
      <c r="D18" s="61"/>
      <c r="E18" s="648"/>
      <c r="F18" s="445"/>
      <c r="G18" s="445"/>
      <c r="H18" s="650"/>
      <c r="I18" s="60"/>
      <c r="J18" s="445"/>
      <c r="K18" s="445"/>
      <c r="L18" s="650"/>
      <c r="M18" s="60"/>
      <c r="N18" s="445"/>
      <c r="O18" s="445"/>
      <c r="P18" s="650"/>
      <c r="Q18" s="60"/>
      <c r="R18" s="445"/>
      <c r="S18" s="445"/>
      <c r="T18" s="650"/>
      <c r="U18" s="60"/>
      <c r="V18" s="445"/>
      <c r="W18" s="445"/>
      <c r="X18" s="650"/>
      <c r="Y18" s="60"/>
      <c r="Z18" s="445"/>
      <c r="AA18" s="445"/>
      <c r="AB18" s="650"/>
      <c r="AC18" s="60"/>
      <c r="AD18" s="445"/>
      <c r="AE18" s="445"/>
      <c r="AF18" s="650"/>
      <c r="AG18" s="60"/>
      <c r="AH18" s="445"/>
      <c r="AI18" s="445"/>
      <c r="AJ18" s="650"/>
      <c r="AK18" s="60"/>
      <c r="AL18" s="445"/>
      <c r="AM18" s="445"/>
      <c r="AN18" s="650"/>
      <c r="AO18" s="60"/>
      <c r="AP18" s="445"/>
      <c r="AQ18" s="445"/>
      <c r="AR18" s="650"/>
      <c r="AS18" s="61"/>
      <c r="AT18" s="110"/>
      <c r="AU18" s="110"/>
      <c r="AW18" s="239"/>
      <c r="AX18" s="690"/>
      <c r="AY18" s="691"/>
      <c r="AZ18" s="691"/>
      <c r="BA18" s="692"/>
      <c r="BB18" s="237"/>
    </row>
    <row r="19" spans="1:54" ht="13.5" customHeight="1" x14ac:dyDescent="0.2">
      <c r="B19" s="60"/>
      <c r="C19" s="60"/>
      <c r="D19" s="61"/>
      <c r="E19" s="649"/>
      <c r="F19" s="84"/>
      <c r="G19" s="84"/>
      <c r="H19" s="651"/>
      <c r="I19" s="68"/>
      <c r="J19" s="84"/>
      <c r="K19" s="84"/>
      <c r="L19" s="651"/>
      <c r="M19" s="68"/>
      <c r="N19" s="84"/>
      <c r="O19" s="84"/>
      <c r="P19" s="651"/>
      <c r="Q19" s="68"/>
      <c r="R19" s="84"/>
      <c r="S19" s="84"/>
      <c r="T19" s="651"/>
      <c r="U19" s="68"/>
      <c r="V19" s="84"/>
      <c r="W19" s="84"/>
      <c r="X19" s="651"/>
      <c r="Y19" s="68"/>
      <c r="Z19" s="84"/>
      <c r="AA19" s="84"/>
      <c r="AB19" s="651"/>
      <c r="AC19" s="68"/>
      <c r="AD19" s="84"/>
      <c r="AE19" s="84"/>
      <c r="AF19" s="651"/>
      <c r="AG19" s="68"/>
      <c r="AH19" s="84"/>
      <c r="AI19" s="84"/>
      <c r="AJ19" s="651"/>
      <c r="AK19" s="68"/>
      <c r="AL19" s="84"/>
      <c r="AM19" s="84"/>
      <c r="AN19" s="651"/>
      <c r="AO19" s="68"/>
      <c r="AP19" s="84"/>
      <c r="AQ19" s="84"/>
      <c r="AR19" s="651"/>
      <c r="AS19" s="61"/>
      <c r="AT19" s="110"/>
      <c r="AU19" s="110"/>
      <c r="AW19" s="239"/>
      <c r="AX19" s="694" t="str">
        <f>IF('Sprachen &amp; Rückgabewerte(5)'!U83=FALSE,'Sprachen &amp; Rückgabewerte(5)'!H155,'Sprachen &amp; Rückgabewerte(5)'!H156)</f>
        <v>Bestellformular unvollständig!</v>
      </c>
      <c r="AY19" s="694"/>
      <c r="AZ19" s="694"/>
      <c r="BA19" s="694"/>
      <c r="BB19" s="237"/>
    </row>
    <row r="20" spans="1:54" ht="13.5" customHeight="1" thickBot="1" x14ac:dyDescent="0.25">
      <c r="B20" s="60"/>
      <c r="C20" s="60"/>
      <c r="D20" s="61"/>
      <c r="E20" s="61"/>
      <c r="F20" s="90" t="str">
        <f>'Sprachen &amp; Rückgabewerte(5)'!$H$124</f>
        <v>Ecke:</v>
      </c>
      <c r="G20" s="658"/>
      <c r="H20" s="658"/>
      <c r="I20" s="659"/>
      <c r="J20" s="659"/>
      <c r="K20" s="659"/>
      <c r="L20" s="659"/>
      <c r="M20" s="659"/>
      <c r="N20" s="659"/>
      <c r="O20" s="659"/>
      <c r="P20" s="659"/>
      <c r="Q20" s="659"/>
      <c r="R20" s="659"/>
      <c r="S20" s="659"/>
      <c r="T20" s="659"/>
      <c r="U20" s="659"/>
      <c r="V20" s="659"/>
      <c r="W20" s="659"/>
      <c r="X20" s="659"/>
      <c r="Y20" s="659"/>
      <c r="Z20" s="659"/>
      <c r="AA20" s="659"/>
      <c r="AB20" s="659"/>
      <c r="AC20" s="659"/>
      <c r="AD20" s="659"/>
      <c r="AE20" s="659"/>
      <c r="AF20" s="659"/>
      <c r="AG20" s="659"/>
      <c r="AH20" s="659"/>
      <c r="AI20" s="659"/>
      <c r="AJ20" s="659"/>
      <c r="AK20" s="659"/>
      <c r="AL20" s="659"/>
      <c r="AM20" s="659"/>
      <c r="AN20" s="659"/>
      <c r="AO20" s="658"/>
      <c r="AP20" s="658"/>
      <c r="AQ20" s="61"/>
      <c r="AR20" s="62"/>
      <c r="AS20" s="61"/>
      <c r="AT20" s="110"/>
      <c r="AU20" s="110"/>
      <c r="AW20" s="240"/>
      <c r="AX20" s="695"/>
      <c r="AY20" s="695"/>
      <c r="AZ20" s="695"/>
      <c r="BA20" s="695"/>
      <c r="BB20" s="243"/>
    </row>
    <row r="21" spans="1:54" ht="13.5" customHeight="1" thickTop="1" thickBot="1" x14ac:dyDescent="0.25">
      <c r="B21" s="60"/>
      <c r="C21" s="60"/>
      <c r="D21" s="61"/>
      <c r="E21" s="64"/>
      <c r="F21" s="90" t="str">
        <f>IF(OR(G20='Sprachen &amp; Rückgabewerte(5)'!$H$106,G20='Sprachen &amp; Rückgabewerte(5)'!$H$107,K20='Sprachen &amp; Rückgabewerte(5)'!$H$106,K20='Sprachen &amp; Rückgabewerte(5)'!$H$107,O20='Sprachen &amp; Rückgabewerte(5)'!$H$106,O20='Sprachen &amp; Rückgabewerte(5)'!$H$107,S20='Sprachen &amp; Rückgabewerte(5)'!$H$106,S20='Sprachen &amp; Rückgabewerte(5)'!$H$107,W20='Sprachen &amp; Rückgabewerte(5)'!$H$106,W20='Sprachen &amp; Rückgabewerte(5)'!$H$107,AA20='Sprachen &amp; Rückgabewerte(5)'!$H$106,AA20='Sprachen &amp; Rückgabewerte(5)'!$H$107,AE20='Sprachen &amp; Rückgabewerte(5)'!$H$106,AE20='Sprachen &amp; Rückgabewerte(5)'!$H$107,AI20='Sprachen &amp; Rückgabewerte(5)'!$H$106,AI20='Sprachen &amp; Rückgabewerte(5)'!$H$107,AM20='Sprachen &amp; Rückgabewerte(5)'!$H$106,AM20='Sprachen &amp; Rückgabewerte(5)'!$H$107),'Sprachen &amp; Rückgabewerte(5)'!$H$108,"")</f>
        <v/>
      </c>
      <c r="G21" s="65"/>
      <c r="H21" s="656">
        <v>85</v>
      </c>
      <c r="I21" s="656"/>
      <c r="J21" s="66"/>
      <c r="K21" s="66"/>
      <c r="L21" s="656"/>
      <c r="M21" s="656"/>
      <c r="N21" s="657"/>
      <c r="O21" s="657"/>
      <c r="P21" s="656"/>
      <c r="Q21" s="656"/>
      <c r="R21" s="693"/>
      <c r="S21" s="693"/>
      <c r="T21" s="656"/>
      <c r="U21" s="656"/>
      <c r="V21" s="657"/>
      <c r="W21" s="657"/>
      <c r="X21" s="656"/>
      <c r="Y21" s="656"/>
      <c r="Z21" s="657"/>
      <c r="AA21" s="657"/>
      <c r="AB21" s="656"/>
      <c r="AC21" s="656"/>
      <c r="AD21" s="657"/>
      <c r="AE21" s="657"/>
      <c r="AF21" s="656"/>
      <c r="AG21" s="656"/>
      <c r="AH21" s="657"/>
      <c r="AI21" s="657"/>
      <c r="AJ21" s="656"/>
      <c r="AK21" s="656"/>
      <c r="AL21" s="657"/>
      <c r="AM21" s="657"/>
      <c r="AN21" s="656"/>
      <c r="AO21" s="656"/>
      <c r="AP21" s="61"/>
      <c r="AQ21" s="61"/>
      <c r="AR21" s="62"/>
      <c r="AS21" s="61"/>
      <c r="AT21" s="110"/>
      <c r="AU21" s="110"/>
      <c r="AW21" s="146"/>
      <c r="AY21" s="184"/>
      <c r="AZ21" s="184"/>
      <c r="BA21" s="184"/>
    </row>
    <row r="22" spans="1:54" ht="9.75" customHeight="1" thickTop="1" x14ac:dyDescent="0.2">
      <c r="B22" s="60"/>
      <c r="C22" s="60"/>
      <c r="D22" s="61"/>
      <c r="E22" s="655"/>
      <c r="F22" s="655"/>
      <c r="G22" s="655"/>
      <c r="H22" s="655"/>
      <c r="I22" s="655"/>
      <c r="J22" s="655"/>
      <c r="K22" s="655"/>
      <c r="L22" s="655"/>
      <c r="M22" s="655"/>
      <c r="N22" s="655"/>
      <c r="O22" s="655"/>
      <c r="P22" s="655"/>
      <c r="Q22" s="655"/>
      <c r="R22" s="655"/>
      <c r="S22" s="655"/>
      <c r="T22" s="655"/>
      <c r="U22" s="655"/>
      <c r="V22" s="655"/>
      <c r="W22" s="655"/>
      <c r="X22" s="655"/>
      <c r="Y22" s="655"/>
      <c r="Z22" s="655"/>
      <c r="AA22" s="655"/>
      <c r="AB22" s="655"/>
      <c r="AC22" s="655"/>
      <c r="AD22" s="655"/>
      <c r="AE22" s="655"/>
      <c r="AF22" s="655"/>
      <c r="AG22" s="655"/>
      <c r="AH22" s="655"/>
      <c r="AI22" s="655"/>
      <c r="AJ22" s="655"/>
      <c r="AK22" s="655"/>
      <c r="AL22" s="655"/>
      <c r="AM22" s="655"/>
      <c r="AN22" s="655"/>
      <c r="AO22" s="655"/>
      <c r="AP22" s="655"/>
      <c r="AQ22" s="655"/>
      <c r="AR22" s="655"/>
      <c r="AS22" s="61"/>
      <c r="AT22" s="110"/>
      <c r="AU22" s="110"/>
      <c r="AW22" s="232"/>
      <c r="AX22" s="696" t="str">
        <f>'Sprachen &amp; Rückgabewerte(5)'!H157</f>
        <v>B2B-Login Projektnr:</v>
      </c>
      <c r="AY22" s="696"/>
      <c r="AZ22" s="696"/>
      <c r="BA22" s="696"/>
      <c r="BB22" s="234"/>
    </row>
    <row r="23" spans="1:54" ht="9.9499999999999993" customHeight="1" x14ac:dyDescent="0.2">
      <c r="B23" s="60"/>
      <c r="C23" s="60"/>
      <c r="D23" s="61"/>
      <c r="E23" s="571"/>
      <c r="F23" s="571"/>
      <c r="G23" s="571"/>
      <c r="H23" s="571"/>
      <c r="I23" s="571"/>
      <c r="J23" s="571"/>
      <c r="K23" s="571"/>
      <c r="L23" s="571"/>
      <c r="M23" s="571"/>
      <c r="N23" s="571"/>
      <c r="O23" s="571"/>
      <c r="P23" s="571"/>
      <c r="Q23" s="571"/>
      <c r="R23" s="571"/>
      <c r="S23" s="571"/>
      <c r="T23" s="571"/>
      <c r="U23" s="571"/>
      <c r="V23" s="571"/>
      <c r="W23" s="571"/>
      <c r="X23" s="571"/>
      <c r="Y23" s="571"/>
      <c r="Z23" s="571"/>
      <c r="AA23" s="571"/>
      <c r="AB23" s="571"/>
      <c r="AC23" s="571"/>
      <c r="AD23" s="571"/>
      <c r="AE23" s="571"/>
      <c r="AF23" s="571"/>
      <c r="AG23" s="571"/>
      <c r="AH23" s="571"/>
      <c r="AI23" s="571"/>
      <c r="AJ23" s="571"/>
      <c r="AK23" s="571"/>
      <c r="AL23" s="571"/>
      <c r="AM23" s="571"/>
      <c r="AN23" s="571"/>
      <c r="AO23" s="571"/>
      <c r="AP23" s="571"/>
      <c r="AQ23" s="571"/>
      <c r="AR23" s="571"/>
      <c r="AS23" s="67"/>
      <c r="AT23" s="110"/>
      <c r="AU23" s="110"/>
      <c r="AW23" s="235"/>
      <c r="AX23" s="697"/>
      <c r="AY23" s="697"/>
      <c r="AZ23" s="697"/>
      <c r="BA23" s="697"/>
      <c r="BB23" s="237"/>
    </row>
    <row r="24" spans="1:54" ht="9.9499999999999993" customHeight="1" x14ac:dyDescent="0.2">
      <c r="B24" s="60"/>
      <c r="C24" s="60"/>
      <c r="D24" s="61"/>
      <c r="E24" s="571"/>
      <c r="F24" s="571"/>
      <c r="G24" s="571"/>
      <c r="H24" s="571"/>
      <c r="I24" s="571"/>
      <c r="J24" s="571"/>
      <c r="K24" s="571"/>
      <c r="L24" s="571"/>
      <c r="M24" s="571"/>
      <c r="N24" s="571"/>
      <c r="O24" s="571"/>
      <c r="P24" s="571"/>
      <c r="Q24" s="571"/>
      <c r="R24" s="571"/>
      <c r="S24" s="571"/>
      <c r="T24" s="571"/>
      <c r="U24" s="571"/>
      <c r="V24" s="571"/>
      <c r="W24" s="571"/>
      <c r="X24" s="571"/>
      <c r="Y24" s="571"/>
      <c r="Z24" s="571"/>
      <c r="AA24" s="571"/>
      <c r="AB24" s="571"/>
      <c r="AC24" s="571"/>
      <c r="AD24" s="571"/>
      <c r="AE24" s="571"/>
      <c r="AF24" s="571"/>
      <c r="AG24" s="571"/>
      <c r="AH24" s="571"/>
      <c r="AI24" s="571"/>
      <c r="AJ24" s="571"/>
      <c r="AK24" s="571"/>
      <c r="AL24" s="571"/>
      <c r="AM24" s="571"/>
      <c r="AN24" s="571"/>
      <c r="AO24" s="571"/>
      <c r="AP24" s="571"/>
      <c r="AQ24" s="571"/>
      <c r="AR24" s="571"/>
      <c r="AS24" s="67"/>
      <c r="AT24" s="110"/>
      <c r="AU24" s="110"/>
      <c r="AW24" s="235"/>
      <c r="AX24" s="697"/>
      <c r="AY24" s="697"/>
      <c r="AZ24" s="697"/>
      <c r="BA24" s="697"/>
      <c r="BB24" s="237"/>
    </row>
    <row r="25" spans="1:54" ht="9.9499999999999993" customHeight="1" x14ac:dyDescent="0.2">
      <c r="B25" s="60"/>
      <c r="C25" s="60"/>
      <c r="D25" s="61"/>
      <c r="E25" s="571"/>
      <c r="F25" s="571"/>
      <c r="G25" s="571"/>
      <c r="H25" s="571"/>
      <c r="I25" s="571"/>
      <c r="J25" s="571"/>
      <c r="K25" s="571"/>
      <c r="L25" s="571"/>
      <c r="M25" s="571"/>
      <c r="N25" s="571"/>
      <c r="O25" s="571"/>
      <c r="P25" s="571"/>
      <c r="Q25" s="571"/>
      <c r="R25" s="571"/>
      <c r="S25" s="571"/>
      <c r="T25" s="571"/>
      <c r="U25" s="571"/>
      <c r="V25" s="571"/>
      <c r="W25" s="571"/>
      <c r="X25" s="571"/>
      <c r="Y25" s="571"/>
      <c r="Z25" s="571"/>
      <c r="AA25" s="571"/>
      <c r="AB25" s="571"/>
      <c r="AC25" s="571"/>
      <c r="AD25" s="571"/>
      <c r="AE25" s="571"/>
      <c r="AF25" s="571"/>
      <c r="AG25" s="571"/>
      <c r="AH25" s="571"/>
      <c r="AI25" s="571"/>
      <c r="AJ25" s="571"/>
      <c r="AK25" s="571"/>
      <c r="AL25" s="571"/>
      <c r="AM25" s="571"/>
      <c r="AN25" s="571"/>
      <c r="AO25" s="571"/>
      <c r="AP25" s="571"/>
      <c r="AQ25" s="571"/>
      <c r="AR25" s="571"/>
      <c r="AS25" s="67"/>
      <c r="AT25" s="110"/>
      <c r="AU25" s="110"/>
      <c r="AW25" s="235"/>
      <c r="AX25" s="565"/>
      <c r="AY25" s="566"/>
      <c r="AZ25" s="567"/>
      <c r="BA25" s="184"/>
      <c r="BB25" s="237"/>
    </row>
    <row r="26" spans="1:54" ht="9.9499999999999993" customHeight="1" x14ac:dyDescent="0.2">
      <c r="B26" s="60"/>
      <c r="C26" s="60"/>
      <c r="D26" s="61"/>
      <c r="E26" s="571"/>
      <c r="F26" s="571"/>
      <c r="G26" s="571"/>
      <c r="H26" s="571"/>
      <c r="I26" s="571"/>
      <c r="J26" s="571"/>
      <c r="K26" s="571"/>
      <c r="L26" s="571"/>
      <c r="M26" s="571"/>
      <c r="N26" s="571"/>
      <c r="O26" s="571"/>
      <c r="P26" s="571"/>
      <c r="Q26" s="571"/>
      <c r="R26" s="571"/>
      <c r="S26" s="571"/>
      <c r="T26" s="571"/>
      <c r="U26" s="571"/>
      <c r="V26" s="571"/>
      <c r="W26" s="571"/>
      <c r="X26" s="571"/>
      <c r="Y26" s="571"/>
      <c r="Z26" s="571"/>
      <c r="AA26" s="571"/>
      <c r="AB26" s="571"/>
      <c r="AC26" s="571"/>
      <c r="AD26" s="571"/>
      <c r="AE26" s="571"/>
      <c r="AF26" s="571"/>
      <c r="AG26" s="571"/>
      <c r="AH26" s="571"/>
      <c r="AI26" s="571"/>
      <c r="AJ26" s="571"/>
      <c r="AK26" s="571"/>
      <c r="AL26" s="571"/>
      <c r="AM26" s="571"/>
      <c r="AN26" s="571"/>
      <c r="AO26" s="571"/>
      <c r="AP26" s="571"/>
      <c r="AQ26" s="571"/>
      <c r="AR26" s="571"/>
      <c r="AS26" s="67"/>
      <c r="AT26" s="110"/>
      <c r="AU26" s="110"/>
      <c r="AW26" s="235"/>
      <c r="AX26" s="568"/>
      <c r="AY26" s="569"/>
      <c r="AZ26" s="570"/>
      <c r="BA26" s="184"/>
      <c r="BB26" s="237"/>
    </row>
    <row r="27" spans="1:54" ht="15.75" customHeight="1" thickBot="1" x14ac:dyDescent="0.25">
      <c r="B27" s="60"/>
      <c r="C27" s="60"/>
      <c r="D27" s="61"/>
      <c r="E27" s="91"/>
      <c r="F27" s="92"/>
      <c r="G27" s="92"/>
      <c r="H27" s="93"/>
      <c r="I27" s="91"/>
      <c r="J27" s="92"/>
      <c r="K27" s="92"/>
      <c r="L27" s="93"/>
      <c r="M27" s="91"/>
      <c r="N27" s="92"/>
      <c r="O27" s="92"/>
      <c r="P27" s="93"/>
      <c r="Q27" s="91"/>
      <c r="R27" s="92"/>
      <c r="S27" s="92"/>
      <c r="T27" s="93"/>
      <c r="U27" s="91"/>
      <c r="V27" s="92"/>
      <c r="W27" s="92"/>
      <c r="X27" s="93"/>
      <c r="Y27" s="91"/>
      <c r="Z27" s="92"/>
      <c r="AA27" s="92"/>
      <c r="AB27" s="93"/>
      <c r="AC27" s="91"/>
      <c r="AD27" s="92"/>
      <c r="AE27" s="92"/>
      <c r="AF27" s="93"/>
      <c r="AG27" s="91"/>
      <c r="AH27" s="92"/>
      <c r="AI27" s="92"/>
      <c r="AJ27" s="93"/>
      <c r="AK27" s="91"/>
      <c r="AL27" s="92"/>
      <c r="AM27" s="92"/>
      <c r="AN27" s="93"/>
      <c r="AO27" s="91"/>
      <c r="AP27" s="92"/>
      <c r="AQ27" s="92"/>
      <c r="AR27" s="93"/>
      <c r="AS27" s="67"/>
      <c r="AT27" s="110"/>
      <c r="AU27" s="110"/>
      <c r="AW27" s="235"/>
      <c r="AX27" s="311"/>
      <c r="AY27" s="184"/>
      <c r="AZ27" s="184"/>
      <c r="BA27" s="184"/>
      <c r="BB27" s="237"/>
    </row>
    <row r="28" spans="1:54" ht="18" customHeight="1" thickBot="1" x14ac:dyDescent="0.25">
      <c r="A28" s="151" t="str">
        <f>IF('Sprachen &amp; Rückgabewerte(5)'!$I$13=TRUE,'Sprachen &amp; Rückgabewerte(5)'!$H$58,"")</f>
        <v/>
      </c>
      <c r="B28" s="220"/>
      <c r="C28" s="60"/>
      <c r="D28" s="84"/>
      <c r="E28" s="572"/>
      <c r="F28" s="573"/>
      <c r="G28" s="573"/>
      <c r="H28" s="574"/>
      <c r="I28" s="572"/>
      <c r="J28" s="573"/>
      <c r="K28" s="573"/>
      <c r="L28" s="574"/>
      <c r="M28" s="572"/>
      <c r="N28" s="573"/>
      <c r="O28" s="573"/>
      <c r="P28" s="574"/>
      <c r="Q28" s="572"/>
      <c r="R28" s="573"/>
      <c r="S28" s="573"/>
      <c r="T28" s="574"/>
      <c r="U28" s="572"/>
      <c r="V28" s="573"/>
      <c r="W28" s="573"/>
      <c r="X28" s="574"/>
      <c r="Y28" s="572"/>
      <c r="Z28" s="573"/>
      <c r="AA28" s="573"/>
      <c r="AB28" s="574"/>
      <c r="AC28" s="572"/>
      <c r="AD28" s="573"/>
      <c r="AE28" s="573"/>
      <c r="AF28" s="574"/>
      <c r="AG28" s="572"/>
      <c r="AH28" s="573"/>
      <c r="AI28" s="573"/>
      <c r="AJ28" s="574"/>
      <c r="AK28" s="572"/>
      <c r="AL28" s="573"/>
      <c r="AM28" s="573"/>
      <c r="AN28" s="574"/>
      <c r="AO28" s="572"/>
      <c r="AP28" s="573"/>
      <c r="AQ28" s="573"/>
      <c r="AR28" s="574"/>
      <c r="AS28" s="68"/>
      <c r="AT28" s="110"/>
      <c r="AU28" s="110"/>
      <c r="AW28" s="251"/>
      <c r="AX28" s="241"/>
      <c r="AY28" s="242"/>
      <c r="AZ28" s="242"/>
      <c r="BA28" s="242"/>
      <c r="BB28" s="243"/>
    </row>
    <row r="29" spans="1:54" ht="7.5" customHeight="1" x14ac:dyDescent="0.2">
      <c r="B29" s="60"/>
      <c r="C29" s="60"/>
      <c r="D29" s="61"/>
      <c r="E29" s="69"/>
      <c r="F29" s="70"/>
      <c r="G29" s="70"/>
      <c r="H29" s="71"/>
      <c r="I29" s="70"/>
      <c r="J29" s="70"/>
      <c r="K29" s="70"/>
      <c r="L29" s="71"/>
      <c r="M29" s="70"/>
      <c r="N29" s="70"/>
      <c r="O29" s="70"/>
      <c r="P29" s="71"/>
      <c r="Q29" s="70"/>
      <c r="R29" s="70"/>
      <c r="S29" s="70"/>
      <c r="T29" s="71"/>
      <c r="U29" s="70"/>
      <c r="V29" s="70"/>
      <c r="W29" s="70"/>
      <c r="X29" s="71"/>
      <c r="Y29" s="70"/>
      <c r="Z29" s="70"/>
      <c r="AA29" s="70"/>
      <c r="AB29" s="71"/>
      <c r="AC29" s="70"/>
      <c r="AD29" s="70"/>
      <c r="AE29" s="70"/>
      <c r="AF29" s="71"/>
      <c r="AG29" s="70"/>
      <c r="AH29" s="70"/>
      <c r="AI29" s="70"/>
      <c r="AJ29" s="71"/>
      <c r="AK29" s="69"/>
      <c r="AL29" s="70"/>
      <c r="AM29" s="70"/>
      <c r="AN29" s="71"/>
      <c r="AO29" s="69"/>
      <c r="AP29" s="70"/>
      <c r="AQ29" s="70"/>
      <c r="AR29" s="71"/>
      <c r="AS29" s="61"/>
      <c r="AT29" s="110"/>
      <c r="AU29" s="110"/>
      <c r="AY29" s="184"/>
      <c r="AZ29" s="184"/>
      <c r="BA29" s="184"/>
    </row>
    <row r="30" spans="1:54" ht="10.5" customHeight="1" x14ac:dyDescent="0.2">
      <c r="B30" s="60"/>
      <c r="C30" s="68"/>
      <c r="D30" s="84"/>
      <c r="E30" s="444"/>
      <c r="F30" s="444"/>
      <c r="G30" s="444"/>
      <c r="H30" s="444"/>
      <c r="I30" s="444"/>
      <c r="J30" s="444"/>
      <c r="K30" s="444"/>
      <c r="L30" s="444"/>
      <c r="M30" s="444"/>
      <c r="N30" s="444"/>
      <c r="O30" s="444"/>
      <c r="P30" s="444"/>
      <c r="Q30" s="444"/>
      <c r="R30" s="444"/>
      <c r="S30" s="444"/>
      <c r="T30" s="444"/>
      <c r="U30" s="444"/>
      <c r="V30" s="444"/>
      <c r="W30" s="444"/>
      <c r="X30" s="444"/>
      <c r="Y30" s="444"/>
      <c r="Z30" s="444"/>
      <c r="AA30" s="444"/>
      <c r="AB30" s="444"/>
      <c r="AC30" s="444"/>
      <c r="AD30" s="444"/>
      <c r="AE30" s="444"/>
      <c r="AF30" s="444"/>
      <c r="AG30" s="444"/>
      <c r="AH30" s="444"/>
      <c r="AI30" s="444"/>
      <c r="AJ30" s="444"/>
      <c r="AK30" s="444"/>
      <c r="AL30" s="444"/>
      <c r="AM30" s="444"/>
      <c r="AN30" s="444"/>
      <c r="AO30" s="444"/>
      <c r="AP30" s="444"/>
      <c r="AQ30" s="444"/>
      <c r="AR30" s="444"/>
      <c r="AS30" s="84"/>
      <c r="AT30" s="111"/>
      <c r="AU30" s="110"/>
      <c r="AW30" s="588" t="str">
        <f>IF('Sprachen &amp; Rückgabewerte(5)'!$I$19=TRUE,'Sprachen &amp; Rückgabewerte(5)'!$H$137,"")</f>
        <v/>
      </c>
      <c r="AX30" s="589"/>
      <c r="AY30" s="589"/>
      <c r="AZ30" s="589"/>
      <c r="BA30" s="590"/>
    </row>
    <row r="31" spans="1:54" ht="11.25" customHeight="1" x14ac:dyDescent="0.2">
      <c r="B31" s="60"/>
      <c r="C31" s="61"/>
      <c r="D31" s="61"/>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61"/>
      <c r="AL31" s="61"/>
      <c r="AM31" s="63"/>
      <c r="AN31" s="61"/>
      <c r="AO31" s="61"/>
      <c r="AP31" s="61"/>
      <c r="AQ31" s="61"/>
      <c r="AR31" s="61"/>
      <c r="AS31" s="61"/>
      <c r="AT31" s="61"/>
      <c r="AU31" s="110"/>
      <c r="AW31" s="591"/>
      <c r="AX31" s="592"/>
      <c r="AY31" s="592"/>
      <c r="AZ31" s="592"/>
      <c r="BA31" s="593"/>
    </row>
    <row r="32" spans="1:54" ht="12.75" customHeight="1" x14ac:dyDescent="0.2">
      <c r="B32" s="60"/>
      <c r="C32" s="107"/>
      <c r="D32" s="82"/>
      <c r="E32" s="82"/>
      <c r="F32" s="82"/>
      <c r="G32" s="82"/>
      <c r="H32" s="82"/>
      <c r="I32" s="82"/>
      <c r="J32" s="82"/>
      <c r="K32" s="82"/>
      <c r="L32" s="82"/>
      <c r="M32" s="82"/>
      <c r="N32" s="82"/>
      <c r="O32" s="82"/>
      <c r="P32" s="82"/>
      <c r="Q32" s="82"/>
      <c r="R32" s="82"/>
      <c r="S32" s="82"/>
      <c r="T32" s="82"/>
      <c r="U32" s="82"/>
      <c r="V32" s="82"/>
      <c r="W32" s="82"/>
      <c r="X32" s="82"/>
      <c r="Y32" s="82"/>
      <c r="Z32" s="82"/>
      <c r="AA32" s="82"/>
      <c r="AB32" s="109"/>
      <c r="AC32" s="61"/>
      <c r="AD32" s="107"/>
      <c r="AE32" s="116" t="str">
        <f>'Sprachen &amp; Rückgabewerte(5)'!$H$134</f>
        <v>Features</v>
      </c>
      <c r="AF32" s="116"/>
      <c r="AG32" s="82"/>
      <c r="AH32" s="82"/>
      <c r="AI32" s="82"/>
      <c r="AJ32" s="82"/>
      <c r="AK32" s="82"/>
      <c r="AL32" s="82"/>
      <c r="AM32" s="133"/>
      <c r="AN32" s="82"/>
      <c r="AO32" s="82"/>
      <c r="AP32" s="82"/>
      <c r="AQ32" s="82"/>
      <c r="AR32" s="82"/>
      <c r="AS32" s="82"/>
      <c r="AT32" s="109"/>
      <c r="AU32" s="199"/>
      <c r="AV32" s="109"/>
      <c r="AW32" s="591"/>
      <c r="AX32" s="592"/>
      <c r="AY32" s="592"/>
      <c r="AZ32" s="592"/>
      <c r="BA32" s="593"/>
    </row>
    <row r="33" spans="2:53" ht="12.75" customHeight="1" x14ac:dyDescent="0.2">
      <c r="B33" s="60"/>
      <c r="C33" s="60"/>
      <c r="D33" s="72"/>
      <c r="E33" s="443"/>
      <c r="F33" s="442" t="str">
        <f>'Sprachen &amp; Rückgabewerte(5)'!$H$13</f>
        <v>Teilung Achsmasse</v>
      </c>
      <c r="G33" s="72"/>
      <c r="H33" s="72"/>
      <c r="I33" s="72"/>
      <c r="J33" s="72"/>
      <c r="K33" s="72"/>
      <c r="L33" s="72"/>
      <c r="M33" s="72"/>
      <c r="N33" s="72"/>
      <c r="O33" s="72"/>
      <c r="P33" s="72"/>
      <c r="Q33" s="72"/>
      <c r="R33" s="72"/>
      <c r="S33" s="72"/>
      <c r="T33" s="72"/>
      <c r="U33" s="72"/>
      <c r="V33" s="72"/>
      <c r="W33" s="72"/>
      <c r="X33" s="72"/>
      <c r="Y33" s="72"/>
      <c r="Z33" s="72"/>
      <c r="AA33" s="72"/>
      <c r="AB33" s="118"/>
      <c r="AC33" s="72"/>
      <c r="AD33" s="117"/>
      <c r="AE33" s="72"/>
      <c r="AF33" s="72" t="str">
        <f>'Sprachen &amp; Rückgabewerte(5)'!$H$15</f>
        <v>Standard</v>
      </c>
      <c r="AH33" s="72"/>
      <c r="AI33" s="72"/>
      <c r="AJ33" s="72"/>
      <c r="AK33" s="72"/>
      <c r="AL33" s="72"/>
      <c r="AM33" s="72"/>
      <c r="AN33" s="443"/>
      <c r="AO33" s="72" t="str">
        <f>'Sprachen &amp; Rückgabewerte(5)'!$H$25</f>
        <v>Pool</v>
      </c>
      <c r="AQ33" s="72"/>
      <c r="AR33" s="72"/>
      <c r="AS33" s="442"/>
      <c r="AT33" s="110"/>
      <c r="AU33" s="110"/>
      <c r="AW33" s="185" t="str">
        <f>IF(AND(F$10&gt;0,'Sprachen &amp; Rückgabewerte(5)'!$I$19=TRUE),CONCATENATE("Pos. ",'Pos. 5'!$B$2,".1"),"")</f>
        <v/>
      </c>
      <c r="AX33" s="734"/>
      <c r="AY33" s="735"/>
      <c r="AZ33" s="184"/>
      <c r="BA33" s="186"/>
    </row>
    <row r="34" spans="2:53" ht="12.75" customHeight="1" x14ac:dyDescent="0.2">
      <c r="B34" s="60"/>
      <c r="C34" s="60"/>
      <c r="D34" s="72"/>
      <c r="E34" s="443"/>
      <c r="F34" s="73" t="str">
        <f>'Sprachen &amp; Rückgabewerte(5)'!$H$14</f>
        <v>alle Gläser gleiche Breite (Empfehlung)</v>
      </c>
      <c r="G34" s="72"/>
      <c r="H34" s="72"/>
      <c r="I34" s="72"/>
      <c r="J34" s="72"/>
      <c r="K34" s="72"/>
      <c r="L34" s="72"/>
      <c r="M34" s="72"/>
      <c r="N34" s="72"/>
      <c r="O34" s="72"/>
      <c r="P34" s="72"/>
      <c r="Q34" s="72"/>
      <c r="R34" s="72"/>
      <c r="S34" s="72"/>
      <c r="T34" s="72"/>
      <c r="U34" s="72"/>
      <c r="V34" s="72"/>
      <c r="W34" s="72"/>
      <c r="X34" s="72"/>
      <c r="Y34" s="72"/>
      <c r="Z34" s="72"/>
      <c r="AA34" s="72"/>
      <c r="AB34" s="118"/>
      <c r="AC34" s="72"/>
      <c r="AD34" s="117"/>
      <c r="AE34" s="72"/>
      <c r="AF34" s="72" t="str">
        <f>'Sprachen &amp; Rückgabewerte(5)'!$H$16</f>
        <v>Einbruchschutz RC2</v>
      </c>
      <c r="AH34" s="72"/>
      <c r="AI34" s="72"/>
      <c r="AJ34" s="72"/>
      <c r="AK34" s="72"/>
      <c r="AL34" s="72"/>
      <c r="AM34" s="72"/>
      <c r="AN34" s="443"/>
      <c r="AO34" s="72" t="str">
        <f>'Sprachen &amp; Rückgabewerte(5)'!H125</f>
        <v>NFRC (USA)</v>
      </c>
      <c r="AQ34" s="72"/>
      <c r="AR34" s="72"/>
      <c r="AS34" s="442"/>
      <c r="AT34" s="110"/>
      <c r="AU34" s="110"/>
      <c r="AW34" s="185" t="str">
        <f>IF(AND(J10&gt;0,'Sprachen &amp; Rückgabewerte(5)'!$I$19=TRUE),CONCATENATE("Pos. ",'Pos. 5'!$B$2,".2"),"")</f>
        <v/>
      </c>
      <c r="AX34" s="734"/>
      <c r="AY34" s="735"/>
      <c r="AZ34" s="184"/>
      <c r="BA34" s="186"/>
    </row>
    <row r="35" spans="2:53" ht="12.75" customHeight="1" x14ac:dyDescent="0.2">
      <c r="B35" s="60"/>
      <c r="C35" s="60"/>
      <c r="D35" s="72"/>
      <c r="E35" s="72"/>
      <c r="F35" s="72"/>
      <c r="G35" s="72"/>
      <c r="H35" s="72"/>
      <c r="I35" s="72"/>
      <c r="J35" s="72"/>
      <c r="K35" s="72"/>
      <c r="L35" s="72"/>
      <c r="M35" s="72"/>
      <c r="N35" s="72"/>
      <c r="O35" s="72"/>
      <c r="P35" s="72"/>
      <c r="Q35" s="72"/>
      <c r="R35" s="72"/>
      <c r="S35" s="72"/>
      <c r="T35" s="72"/>
      <c r="U35" s="72"/>
      <c r="V35" s="72"/>
      <c r="W35" s="72"/>
      <c r="X35" s="72"/>
      <c r="Y35" s="72"/>
      <c r="Z35" s="72"/>
      <c r="AA35" s="72"/>
      <c r="AB35" s="118"/>
      <c r="AC35" s="72"/>
      <c r="AD35" s="117"/>
      <c r="AE35" s="72"/>
      <c r="AF35" s="72" t="str">
        <f>'Sprachen &amp; Rückgabewerte(5)'!$H$17</f>
        <v>Positionsüberwachung (P)</v>
      </c>
      <c r="AH35" s="72"/>
      <c r="AI35" s="72"/>
      <c r="AJ35" s="72"/>
      <c r="AK35" s="72"/>
      <c r="AL35" s="72"/>
      <c r="AM35" s="72"/>
      <c r="AN35" s="443"/>
      <c r="AO35" s="72" t="str">
        <f>'Sprachen &amp; Rückgabewerte(5)'!H26</f>
        <v>Schallschutz</v>
      </c>
      <c r="AQ35" s="72"/>
      <c r="AR35" s="72"/>
      <c r="AS35" s="74"/>
      <c r="AT35" s="110"/>
      <c r="AU35" s="110"/>
      <c r="AW35" s="185" t="str">
        <f>IF(AND(N10&gt;0,'Sprachen &amp; Rückgabewerte(5)'!$I$19=TRUE),CONCATENATE("Pos. ",'Pos. 5'!$B$2,".3"),"")</f>
        <v/>
      </c>
      <c r="AX35" s="734"/>
      <c r="AY35" s="735"/>
      <c r="AZ35" s="184"/>
      <c r="BA35" s="186"/>
    </row>
    <row r="36" spans="2:53" ht="12.75" customHeight="1" x14ac:dyDescent="0.2">
      <c r="B36" s="60"/>
      <c r="C36" s="60"/>
      <c r="D36" s="72"/>
      <c r="E36" s="72"/>
      <c r="F36" s="72"/>
      <c r="G36" s="72"/>
      <c r="H36" s="72"/>
      <c r="I36" s="72"/>
      <c r="J36" s="72"/>
      <c r="K36" s="72"/>
      <c r="L36" s="72"/>
      <c r="M36" s="72"/>
      <c r="N36" s="72"/>
      <c r="O36" s="72"/>
      <c r="P36" s="72"/>
      <c r="Q36" s="72"/>
      <c r="R36" s="72"/>
      <c r="S36" s="72"/>
      <c r="T36" s="72"/>
      <c r="U36" s="72"/>
      <c r="V36" s="72"/>
      <c r="W36" s="72"/>
      <c r="X36" s="72"/>
      <c r="Y36" s="72"/>
      <c r="Z36" s="72"/>
      <c r="AA36" s="72"/>
      <c r="AB36" s="118"/>
      <c r="AC36" s="72"/>
      <c r="AD36" s="117"/>
      <c r="AE36" s="72"/>
      <c r="AF36" s="72" t="str">
        <f>'Sprachen &amp; Rückgabewerte(5)'!$H$18</f>
        <v xml:space="preserve">Riegelüberwachung (R) </v>
      </c>
      <c r="AH36" s="72"/>
      <c r="AI36" s="72"/>
      <c r="AJ36" s="72"/>
      <c r="AK36" s="72"/>
      <c r="AL36" s="72"/>
      <c r="AM36" s="72"/>
      <c r="AN36" s="443"/>
      <c r="AO36" s="72" t="str">
        <f>'Sprachen &amp; Rückgabewerte(5)'!H27</f>
        <v>MINERGIE Modul</v>
      </c>
      <c r="AP36" s="72"/>
      <c r="AQ36" s="72"/>
      <c r="AR36" s="72"/>
      <c r="AS36" s="74"/>
      <c r="AT36" s="110"/>
      <c r="AU36" s="110"/>
      <c r="AW36" s="185" t="str">
        <f>IF(AND(R10&gt;0,'Sprachen &amp; Rückgabewerte(5)'!$I$19=TRUE),CONCATENATE("Pos. ",'Pos. 5'!$B$2,".4"),"")</f>
        <v/>
      </c>
      <c r="AX36" s="734"/>
      <c r="AY36" s="735"/>
      <c r="AZ36" s="184"/>
      <c r="BA36" s="186"/>
    </row>
    <row r="37" spans="2:53" ht="12.75" customHeight="1" x14ac:dyDescent="0.2">
      <c r="B37" s="60"/>
      <c r="C37" s="60"/>
      <c r="D37" s="72"/>
      <c r="E37" s="72"/>
      <c r="F37" s="72"/>
      <c r="G37" s="72"/>
      <c r="H37" s="72"/>
      <c r="I37" s="72"/>
      <c r="J37" s="72"/>
      <c r="K37" s="72"/>
      <c r="L37" s="72"/>
      <c r="M37" s="72"/>
      <c r="N37" s="72"/>
      <c r="O37" s="72"/>
      <c r="P37" s="72"/>
      <c r="Q37" s="72"/>
      <c r="R37" s="72"/>
      <c r="S37" s="72"/>
      <c r="T37" s="72"/>
      <c r="U37" s="72"/>
      <c r="V37" s="72"/>
      <c r="W37" s="72"/>
      <c r="X37" s="72"/>
      <c r="Y37" s="72"/>
      <c r="Z37" s="72"/>
      <c r="AA37" s="72"/>
      <c r="AB37" s="118"/>
      <c r="AC37" s="72"/>
      <c r="AD37" s="117"/>
      <c r="AE37" s="72"/>
      <c r="AF37" s="72" t="str">
        <f>'Sprachen &amp; Rückgabewerte(5)'!$H$19</f>
        <v>Glasbruchüberwachung (G)</v>
      </c>
      <c r="AH37" s="72"/>
      <c r="AI37" s="72"/>
      <c r="AJ37" s="72"/>
      <c r="AK37" s="72"/>
      <c r="AL37" s="72"/>
      <c r="AM37" s="72"/>
      <c r="AN37" s="443"/>
      <c r="AO37" s="72" t="str">
        <f>'Sprachen &amp; Rückgabewerte(5)'!H28</f>
        <v>MINERGIE-P Modul</v>
      </c>
      <c r="AP37" s="72"/>
      <c r="AQ37" s="72"/>
      <c r="AR37" s="72"/>
      <c r="AS37" s="74"/>
      <c r="AT37" s="110"/>
      <c r="AU37" s="110"/>
      <c r="AW37" s="185" t="str">
        <f>IF(AND(V10&gt;0,'Sprachen &amp; Rückgabewerte(5)'!$I$19=TRUE),CONCATENATE("Pos. ",'Pos. 5'!$B$2,".5"),"")</f>
        <v/>
      </c>
      <c r="AX37" s="734"/>
      <c r="AY37" s="735"/>
      <c r="AZ37" s="184"/>
      <c r="BA37" s="186"/>
    </row>
    <row r="38" spans="2:53" ht="12.75" customHeight="1" x14ac:dyDescent="0.2">
      <c r="B38" s="60"/>
      <c r="C38" s="60"/>
      <c r="D38" s="72"/>
      <c r="E38" s="72"/>
      <c r="F38" s="72"/>
      <c r="G38" s="72"/>
      <c r="H38" s="72"/>
      <c r="I38" s="72"/>
      <c r="J38" s="72"/>
      <c r="K38" s="72"/>
      <c r="L38" s="72"/>
      <c r="M38" s="72"/>
      <c r="N38" s="72"/>
      <c r="O38" s="72"/>
      <c r="P38" s="72"/>
      <c r="Q38" s="72"/>
      <c r="R38" s="72"/>
      <c r="S38" s="72"/>
      <c r="T38" s="72"/>
      <c r="U38" s="72"/>
      <c r="V38" s="72"/>
      <c r="W38" s="72"/>
      <c r="X38" s="72"/>
      <c r="Y38" s="72"/>
      <c r="Z38" s="72"/>
      <c r="AA38" s="72"/>
      <c r="AB38" s="118"/>
      <c r="AC38" s="72"/>
      <c r="AD38" s="117"/>
      <c r="AE38" s="72"/>
      <c r="AF38" s="662" t="str">
        <f>'Sprachen &amp; Rückgabewerte(5)'!$H$20</f>
        <v>Elektrischer Antrieb, Anzahl</v>
      </c>
      <c r="AG38" s="662"/>
      <c r="AH38" s="662"/>
      <c r="AI38" s="662"/>
      <c r="AJ38" s="662"/>
      <c r="AK38" s="662"/>
      <c r="AL38" s="662"/>
      <c r="AM38" s="661">
        <f>IF('Sprachen &amp; Rückgabewerte(5)'!I20=FALSE,0,COUNTIF(F13:AQ19,"E"))</f>
        <v>0</v>
      </c>
      <c r="AN38" s="661"/>
      <c r="AO38" s="72" t="str">
        <f>'Sprachen &amp; Rückgabewerte(5)'!$H$21</f>
        <v>Stk.</v>
      </c>
      <c r="AQ38" s="72"/>
      <c r="AR38" s="72"/>
      <c r="AS38" s="442"/>
      <c r="AT38" s="110"/>
      <c r="AU38" s="110"/>
      <c r="AW38" s="185" t="str">
        <f>IF(AND(Z10&gt;0,'Sprachen &amp; Rückgabewerte(5)'!$I$19=TRUE),CONCATENATE("Pos. ",'Pos. 5'!$B$2,".6"),"")</f>
        <v/>
      </c>
      <c r="AX38" s="734"/>
      <c r="AY38" s="735"/>
      <c r="AZ38" s="61"/>
      <c r="BA38" s="110"/>
    </row>
    <row r="39" spans="2:53" ht="12.75" customHeight="1" x14ac:dyDescent="0.2">
      <c r="B39" s="60"/>
      <c r="C39" s="60"/>
      <c r="D39" s="72"/>
      <c r="E39" s="72"/>
      <c r="F39" s="72"/>
      <c r="G39" s="72"/>
      <c r="H39" s="72"/>
      <c r="I39" s="72"/>
      <c r="J39" s="72"/>
      <c r="K39" s="72"/>
      <c r="L39" s="72"/>
      <c r="M39" s="72"/>
      <c r="N39" s="72"/>
      <c r="O39" s="72"/>
      <c r="P39" s="72"/>
      <c r="Q39" s="72"/>
      <c r="R39" s="72"/>
      <c r="S39" s="72"/>
      <c r="T39" s="72"/>
      <c r="U39" s="72"/>
      <c r="V39" s="72"/>
      <c r="W39" s="72"/>
      <c r="X39" s="72"/>
      <c r="Y39" s="72"/>
      <c r="Z39" s="72"/>
      <c r="AA39" s="72"/>
      <c r="AB39" s="118"/>
      <c r="AC39" s="72"/>
      <c r="AD39" s="117"/>
      <c r="AE39" s="72"/>
      <c r="AF39" s="72" t="str">
        <f>'Sprachen &amp; Rückgabewerte(5)'!$H$22</f>
        <v>geforderte Klassen:</v>
      </c>
      <c r="AH39" s="72"/>
      <c r="AI39" s="72"/>
      <c r="AJ39" s="72"/>
      <c r="AK39" s="72"/>
      <c r="AL39" s="639"/>
      <c r="AM39" s="640"/>
      <c r="AN39" s="640"/>
      <c r="AO39" s="640"/>
      <c r="AP39" s="640"/>
      <c r="AQ39" s="640"/>
      <c r="AR39" s="640"/>
      <c r="AS39" s="641"/>
      <c r="AT39" s="110"/>
      <c r="AU39" s="110"/>
      <c r="AW39" s="185" t="str">
        <f>IF(AND(AD10&gt;0,'Sprachen &amp; Rückgabewerte(5)'!$I$19=TRUE),CONCATENATE("Pos. ",'Pos. 5'!$B$2,".7"),"")</f>
        <v/>
      </c>
      <c r="AX39" s="734"/>
      <c r="AY39" s="735"/>
      <c r="AZ39" s="61"/>
      <c r="BA39" s="110"/>
    </row>
    <row r="40" spans="2:53" ht="12.75" customHeight="1" x14ac:dyDescent="0.2">
      <c r="B40" s="60"/>
      <c r="C40" s="60"/>
      <c r="D40" s="72"/>
      <c r="E40" s="445"/>
      <c r="F40" s="73" t="str">
        <f>'Sprachen &amp; Rückgabewerte(5)'!H30</f>
        <v>nach rechts</v>
      </c>
      <c r="G40" s="72"/>
      <c r="H40" s="72"/>
      <c r="I40" s="72"/>
      <c r="J40" s="72"/>
      <c r="K40" s="72"/>
      <c r="L40" s="72"/>
      <c r="M40" s="72"/>
      <c r="N40" s="75" t="str">
        <f>'Sprachen &amp; Rückgabewerte(5)'!H31</f>
        <v>nach links</v>
      </c>
      <c r="O40" s="445"/>
      <c r="P40" s="75"/>
      <c r="Q40" s="443"/>
      <c r="R40" s="72"/>
      <c r="S40" s="72"/>
      <c r="T40" s="72"/>
      <c r="U40" s="72"/>
      <c r="V40" s="72"/>
      <c r="W40" s="72"/>
      <c r="X40" s="72"/>
      <c r="Y40" s="72"/>
      <c r="Z40" s="632" t="s">
        <v>176</v>
      </c>
      <c r="AA40" s="72"/>
      <c r="AB40" s="118"/>
      <c r="AC40" s="72"/>
      <c r="AD40" s="119"/>
      <c r="AE40" s="120"/>
      <c r="AF40" s="120" t="str">
        <f>'Sprachen &amp; Rückgabewerte(5)'!H29</f>
        <v>Sky-Frame Gun</v>
      </c>
      <c r="AG40" s="316"/>
      <c r="AH40" s="316"/>
      <c r="AI40" s="316"/>
      <c r="AJ40" s="316"/>
      <c r="AK40" s="316"/>
      <c r="AL40" s="316"/>
      <c r="AM40" s="316"/>
      <c r="AN40" s="316"/>
      <c r="AO40" s="316"/>
      <c r="AP40" s="316"/>
      <c r="AQ40" s="316"/>
      <c r="AR40" s="316"/>
      <c r="AS40" s="120"/>
      <c r="AT40" s="111"/>
      <c r="AU40" s="110"/>
      <c r="AW40" s="185" t="str">
        <f>IF(AND(AH10&gt;0,'Sprachen &amp; Rückgabewerte(5)'!$I$19=TRUE),CONCATENATE("Pos. ",'Pos. 5'!$B$2,".8"),"")</f>
        <v/>
      </c>
      <c r="AX40" s="734"/>
      <c r="AY40" s="735"/>
      <c r="AZ40" s="61"/>
      <c r="BA40" s="110"/>
    </row>
    <row r="41" spans="2:53" ht="12.75" customHeight="1" x14ac:dyDescent="0.2">
      <c r="B41" s="60"/>
      <c r="C41" s="60"/>
      <c r="D41" s="72"/>
      <c r="E41" s="445"/>
      <c r="F41" s="73"/>
      <c r="G41" s="72"/>
      <c r="H41" s="72"/>
      <c r="I41" s="72"/>
      <c r="J41" s="72"/>
      <c r="K41" s="72"/>
      <c r="L41" s="72"/>
      <c r="M41" s="72"/>
      <c r="N41" s="75"/>
      <c r="O41" s="445"/>
      <c r="P41" s="75"/>
      <c r="Q41" s="443"/>
      <c r="R41" s="72"/>
      <c r="S41" s="72"/>
      <c r="T41" s="72"/>
      <c r="U41" s="72"/>
      <c r="V41" s="72"/>
      <c r="W41" s="72"/>
      <c r="X41" s="72"/>
      <c r="Y41" s="72"/>
      <c r="Z41" s="633"/>
      <c r="AA41" s="72"/>
      <c r="AB41" s="118"/>
      <c r="AC41" s="72"/>
      <c r="AD41" s="72"/>
      <c r="AE41" s="72"/>
      <c r="AF41" s="72"/>
      <c r="AG41" s="76"/>
      <c r="AH41" s="76"/>
      <c r="AI41" s="76"/>
      <c r="AJ41" s="76"/>
      <c r="AK41" s="76"/>
      <c r="AL41" s="76"/>
      <c r="AM41" s="76"/>
      <c r="AN41" s="76"/>
      <c r="AO41" s="76"/>
      <c r="AP41" s="76"/>
      <c r="AQ41" s="76"/>
      <c r="AR41" s="76"/>
      <c r="AS41" s="72"/>
      <c r="AT41" s="61"/>
      <c r="AU41" s="110"/>
      <c r="AW41" s="185" t="str">
        <f>IF(AND(AL10&gt;0,'Sprachen &amp; Rückgabewerte(5)'!$I$19=TRUE),CONCATENATE("Pos. ",'Pos. 5'!$B$2,".9"),"")</f>
        <v/>
      </c>
      <c r="AX41" s="734"/>
      <c r="AY41" s="735"/>
      <c r="AZ41" s="61"/>
      <c r="BA41" s="110"/>
    </row>
    <row r="42" spans="2:53" ht="12.75" customHeight="1" x14ac:dyDescent="0.2">
      <c r="B42" s="60"/>
      <c r="C42" s="60"/>
      <c r="D42" s="72"/>
      <c r="E42" s="72"/>
      <c r="F42" s="72"/>
      <c r="G42" s="72"/>
      <c r="H42" s="72"/>
      <c r="I42" s="72"/>
      <c r="J42" s="72"/>
      <c r="K42" s="72"/>
      <c r="L42" s="72"/>
      <c r="M42" s="72"/>
      <c r="N42" s="72"/>
      <c r="O42" s="72"/>
      <c r="P42" s="72"/>
      <c r="Q42" s="72"/>
      <c r="R42" s="72"/>
      <c r="S42" s="72"/>
      <c r="T42" s="72"/>
      <c r="U42" s="72"/>
      <c r="V42" s="72"/>
      <c r="W42" s="72"/>
      <c r="X42" s="72"/>
      <c r="Y42" s="72"/>
      <c r="Z42" s="636"/>
      <c r="AA42" s="72"/>
      <c r="AB42" s="118"/>
      <c r="AC42" s="77"/>
      <c r="AD42" s="114"/>
      <c r="AE42" s="116" t="str">
        <f>'Sprachen &amp; Rückgabewerte(5)'!$H$35</f>
        <v>Oberfläche:</v>
      </c>
      <c r="AF42" s="116"/>
      <c r="AG42" s="115"/>
      <c r="AH42" s="115"/>
      <c r="AI42" s="115"/>
      <c r="AJ42" s="115"/>
      <c r="AK42" s="115"/>
      <c r="AL42" s="115"/>
      <c r="AM42" s="134"/>
      <c r="AN42" s="115"/>
      <c r="AO42" s="115"/>
      <c r="AP42" s="115"/>
      <c r="AQ42" s="115"/>
      <c r="AR42" s="115"/>
      <c r="AS42" s="115"/>
      <c r="AT42" s="109"/>
      <c r="AU42" s="110"/>
      <c r="AW42" s="185" t="str">
        <f>IF(AND(AP10&gt;0,'Sprachen &amp; Rückgabewerte(5)'!$I$19=TRUE),CONCATENATE("Pos. ",'Pos. 5'!$B$2,".10"),"")</f>
        <v/>
      </c>
      <c r="AX42" s="734"/>
      <c r="AY42" s="735"/>
      <c r="AZ42" s="61"/>
      <c r="BA42" s="110"/>
    </row>
    <row r="43" spans="2:53" ht="12.75" customHeight="1" x14ac:dyDescent="0.2">
      <c r="B43" s="60"/>
      <c r="C43" s="60"/>
      <c r="D43" s="72"/>
      <c r="E43" s="72"/>
      <c r="F43" s="72"/>
      <c r="G43" s="72"/>
      <c r="H43" s="72"/>
      <c r="I43" s="72"/>
      <c r="J43" s="72"/>
      <c r="K43" s="72"/>
      <c r="L43" s="72"/>
      <c r="M43" s="72"/>
      <c r="N43" s="72"/>
      <c r="O43" s="72"/>
      <c r="P43" s="72"/>
      <c r="Q43" s="72"/>
      <c r="R43" s="72"/>
      <c r="S43" s="72"/>
      <c r="T43" s="72"/>
      <c r="U43" s="72"/>
      <c r="V43" s="72"/>
      <c r="W43" s="72"/>
      <c r="X43" s="72"/>
      <c r="Y43" s="72"/>
      <c r="Z43" s="637"/>
      <c r="AA43" s="72"/>
      <c r="AB43" s="118"/>
      <c r="AC43" s="77"/>
      <c r="AD43" s="117"/>
      <c r="AE43" s="72"/>
      <c r="AF43" s="174" t="str">
        <f>'Sprachen &amp; Rückgabewerte(5)'!H36</f>
        <v>eloxiert (Qualanod):</v>
      </c>
      <c r="AG43" s="72"/>
      <c r="AH43" s="72"/>
      <c r="AI43" s="72"/>
      <c r="AJ43" s="72"/>
      <c r="AK43" s="72"/>
      <c r="AL43" s="72"/>
      <c r="AM43" s="604"/>
      <c r="AN43" s="604"/>
      <c r="AO43" s="604"/>
      <c r="AP43" s="604"/>
      <c r="AQ43" s="604"/>
      <c r="AR43" s="604"/>
      <c r="AS43" s="604"/>
      <c r="AT43" s="110"/>
      <c r="AU43" s="110"/>
      <c r="AW43" s="200">
        <f>COUNTBLANK(AW33:AW42)</f>
        <v>10</v>
      </c>
      <c r="AX43" s="201">
        <f>COUNTBLANK(AX33:AX42)</f>
        <v>10</v>
      </c>
      <c r="AY43" s="201">
        <f>AW43-AX43</f>
        <v>0</v>
      </c>
      <c r="AZ43" s="84"/>
      <c r="BA43" s="111"/>
    </row>
    <row r="44" spans="2:53" ht="12.75" customHeight="1" x14ac:dyDescent="0.2">
      <c r="B44" s="60"/>
      <c r="C44" s="60"/>
      <c r="D44" s="72"/>
      <c r="E44" s="72"/>
      <c r="F44" s="72"/>
      <c r="G44" s="72"/>
      <c r="H44" s="72"/>
      <c r="I44" s="72"/>
      <c r="J44" s="72"/>
      <c r="K44" s="72"/>
      <c r="L44" s="72"/>
      <c r="M44" s="72"/>
      <c r="N44" s="72"/>
      <c r="O44" s="72"/>
      <c r="P44" s="722" t="str">
        <f>'Sprachen &amp; Rückgabewerte(5)'!$H$33</f>
        <v>Griffhöhe:</v>
      </c>
      <c r="Q44" s="722"/>
      <c r="R44" s="722"/>
      <c r="S44" s="722"/>
      <c r="T44" s="72"/>
      <c r="U44" s="72"/>
      <c r="V44" s="72"/>
      <c r="W44" s="72"/>
      <c r="X44" s="72"/>
      <c r="Y44" s="72"/>
      <c r="Z44" s="637"/>
      <c r="AA44" s="72"/>
      <c r="AB44" s="118"/>
      <c r="AC44" s="77"/>
      <c r="AD44" s="117"/>
      <c r="AE44" s="72"/>
      <c r="AF44" s="443"/>
      <c r="AG44" s="73"/>
      <c r="AH44" s="72"/>
      <c r="AI44" s="72"/>
      <c r="AJ44" s="72"/>
      <c r="AK44" s="72"/>
      <c r="AL44" s="72"/>
      <c r="AM44" s="442"/>
      <c r="AN44" s="443"/>
      <c r="AO44" s="613"/>
      <c r="AP44" s="613"/>
      <c r="AQ44" s="613"/>
      <c r="AR44" s="613"/>
      <c r="AS44" s="613"/>
      <c r="AT44" s="110"/>
      <c r="AU44" s="110"/>
    </row>
    <row r="45" spans="2:53" ht="12.75" customHeight="1" x14ac:dyDescent="0.2">
      <c r="B45" s="60"/>
      <c r="C45" s="60"/>
      <c r="D45" s="72"/>
      <c r="E45" s="72"/>
      <c r="F45" s="72"/>
      <c r="G45" s="72"/>
      <c r="H45" s="72"/>
      <c r="I45" s="72"/>
      <c r="J45" s="72"/>
      <c r="K45" s="72"/>
      <c r="L45" s="72"/>
      <c r="M45" s="72"/>
      <c r="N45" s="72"/>
      <c r="O45" s="72"/>
      <c r="P45" s="722"/>
      <c r="Q45" s="722"/>
      <c r="R45" s="722"/>
      <c r="S45" s="722"/>
      <c r="T45" s="598"/>
      <c r="U45" s="599"/>
      <c r="V45" s="73" t="s">
        <v>176</v>
      </c>
      <c r="W45" s="72"/>
      <c r="X45" s="72"/>
      <c r="Y45" s="72"/>
      <c r="Z45" s="638"/>
      <c r="AA45" s="72"/>
      <c r="AB45" s="118"/>
      <c r="AC45" s="77"/>
      <c r="AD45" s="117"/>
      <c r="AE45" s="72"/>
      <c r="AF45" s="442" t="str">
        <f>'Sprachen &amp; Rückgabewerte(5)'!$H$39</f>
        <v>pulverbeschichtet:</v>
      </c>
      <c r="AG45" s="147"/>
      <c r="AH45" s="147"/>
      <c r="AI45" s="147"/>
      <c r="AJ45" s="147"/>
      <c r="AK45" s="147"/>
      <c r="AL45" s="147"/>
      <c r="AM45" s="629"/>
      <c r="AN45" s="630"/>
      <c r="AO45" s="630"/>
      <c r="AP45" s="630"/>
      <c r="AQ45" s="630"/>
      <c r="AR45" s="630"/>
      <c r="AS45" s="631"/>
      <c r="AT45" s="110"/>
      <c r="AU45" s="199"/>
      <c r="AV45" s="109"/>
      <c r="AW45" s="107"/>
      <c r="AX45" s="109"/>
    </row>
    <row r="46" spans="2:53" ht="12.75" customHeight="1" x14ac:dyDescent="0.2">
      <c r="B46" s="60"/>
      <c r="C46" s="60"/>
      <c r="D46" s="72"/>
      <c r="E46" s="72"/>
      <c r="F46" s="72"/>
      <c r="G46" s="72"/>
      <c r="H46" s="72"/>
      <c r="I46" s="716"/>
      <c r="J46" s="716"/>
      <c r="K46" s="716"/>
      <c r="L46" s="157" t="s">
        <v>190</v>
      </c>
      <c r="M46" s="72"/>
      <c r="N46" s="72"/>
      <c r="O46" s="72"/>
      <c r="P46" s="72"/>
      <c r="Q46" s="72"/>
      <c r="R46" s="72"/>
      <c r="S46" s="72"/>
      <c r="T46" s="72"/>
      <c r="U46" s="72"/>
      <c r="V46" s="72"/>
      <c r="W46" s="72"/>
      <c r="X46" s="72"/>
      <c r="Y46" s="72"/>
      <c r="Z46" s="634" t="str">
        <f>'Sprachen &amp; Rückgabewerte(5)'!$H$34</f>
        <v xml:space="preserve">Höhe = </v>
      </c>
      <c r="AA46" s="72"/>
      <c r="AB46" s="118"/>
      <c r="AC46" s="77"/>
      <c r="AD46" s="117"/>
      <c r="AE46" s="72"/>
      <c r="AF46" s="442" t="str">
        <f>'Sprachen &amp; Rückgabewerte(5)'!$H$40</f>
        <v>Vorbehandlung:</v>
      </c>
      <c r="AG46" s="72"/>
      <c r="AH46" s="72"/>
      <c r="AI46" s="72"/>
      <c r="AJ46" s="72"/>
      <c r="AK46" s="72"/>
      <c r="AL46" s="72"/>
      <c r="AM46" s="642"/>
      <c r="AN46" s="643"/>
      <c r="AO46" s="643"/>
      <c r="AP46" s="643"/>
      <c r="AQ46" s="643"/>
      <c r="AR46" s="643"/>
      <c r="AS46" s="644"/>
      <c r="AT46" s="110"/>
      <c r="AU46" s="110"/>
      <c r="AW46" s="229" t="str">
        <f>'Sprachen &amp; Rückgabewerte(5)'!$H$150</f>
        <v>Farbe Panele:</v>
      </c>
      <c r="AX46" s="110"/>
    </row>
    <row r="47" spans="2:53" ht="12.75" customHeight="1" x14ac:dyDescent="0.2">
      <c r="B47" s="60"/>
      <c r="C47" s="60"/>
      <c r="D47" s="72"/>
      <c r="E47" s="72"/>
      <c r="F47" s="72"/>
      <c r="G47" s="72"/>
      <c r="H47" s="72"/>
      <c r="I47" s="716"/>
      <c r="J47" s="716"/>
      <c r="K47" s="716"/>
      <c r="L47" s="157" t="s">
        <v>190</v>
      </c>
      <c r="M47" s="72"/>
      <c r="N47" s="72"/>
      <c r="O47" s="445"/>
      <c r="P47" s="72"/>
      <c r="Q47" s="72"/>
      <c r="R47" s="72"/>
      <c r="S47" s="72"/>
      <c r="T47" s="72"/>
      <c r="U47" s="72"/>
      <c r="V47" s="72"/>
      <c r="W47" s="72"/>
      <c r="X47" s="72"/>
      <c r="Y47" s="72"/>
      <c r="Z47" s="635"/>
      <c r="AA47" s="445"/>
      <c r="AB47" s="118"/>
      <c r="AC47" s="78"/>
      <c r="AD47" s="117"/>
      <c r="AE47" s="72"/>
      <c r="AF47" s="442" t="str">
        <f>'Sprachen &amp; Rückgabewerte(5)'!H176</f>
        <v>Pulverlack Klasse:</v>
      </c>
      <c r="AG47" s="72"/>
      <c r="AH47" s="72"/>
      <c r="AI47" s="72"/>
      <c r="AJ47" s="72"/>
      <c r="AK47" s="72"/>
      <c r="AL47" s="72"/>
      <c r="AM47" s="619"/>
      <c r="AN47" s="620"/>
      <c r="AO47" s="620"/>
      <c r="AP47" s="620"/>
      <c r="AQ47" s="620"/>
      <c r="AR47" s="620"/>
      <c r="AS47" s="621"/>
      <c r="AT47" s="110"/>
      <c r="AU47" s="110"/>
      <c r="AW47" s="60"/>
      <c r="AX47" s="110"/>
    </row>
    <row r="48" spans="2:53" ht="12.75" customHeight="1" x14ac:dyDescent="0.2">
      <c r="B48" s="60"/>
      <c r="C48" s="60"/>
      <c r="D48" s="72"/>
      <c r="E48" s="72"/>
      <c r="F48" s="72"/>
      <c r="G48" s="72"/>
      <c r="H48" s="72"/>
      <c r="I48" s="721"/>
      <c r="J48" s="721"/>
      <c r="K48" s="721"/>
      <c r="L48" s="157" t="s">
        <v>190</v>
      </c>
      <c r="M48" s="72"/>
      <c r="N48" s="72"/>
      <c r="O48" s="445"/>
      <c r="P48" s="72"/>
      <c r="Q48" s="72"/>
      <c r="R48" s="72"/>
      <c r="S48" s="72"/>
      <c r="T48" s="72"/>
      <c r="U48" s="72"/>
      <c r="V48" s="72"/>
      <c r="W48" s="72"/>
      <c r="X48" s="72"/>
      <c r="Y48" s="72"/>
      <c r="Z48" s="635"/>
      <c r="AA48" s="445"/>
      <c r="AB48" s="118"/>
      <c r="AC48" s="78"/>
      <c r="AD48" s="117"/>
      <c r="AE48" s="72"/>
      <c r="AF48" s="627" t="str">
        <f>'Sprachen &amp; Rückgabewerte(5)'!$H$91</f>
        <v>Farbe Laufschiene + Schraubenarretierungen:</v>
      </c>
      <c r="AG48" s="627"/>
      <c r="AH48" s="627"/>
      <c r="AI48" s="627"/>
      <c r="AJ48" s="627"/>
      <c r="AK48" s="627"/>
      <c r="AL48" s="627"/>
      <c r="AM48" s="61"/>
      <c r="AN48" s="61"/>
      <c r="AO48" s="442"/>
      <c r="AP48" s="72"/>
      <c r="AQ48" s="72"/>
      <c r="AR48" s="72"/>
      <c r="AS48" s="72"/>
      <c r="AT48" s="110"/>
      <c r="AU48" s="110"/>
      <c r="AW48" s="586"/>
      <c r="AX48" s="587"/>
    </row>
    <row r="49" spans="2:50" ht="12.75" customHeight="1" x14ac:dyDescent="0.2">
      <c r="B49" s="60"/>
      <c r="C49" s="60"/>
      <c r="D49" s="72"/>
      <c r="E49" s="72"/>
      <c r="F49" s="72"/>
      <c r="G49" s="72"/>
      <c r="H49" s="75" t="str">
        <f>'Sprachen &amp; Rückgabewerte(5)'!$H$32</f>
        <v>Breite =</v>
      </c>
      <c r="I49" s="718"/>
      <c r="J49" s="719"/>
      <c r="K49" s="720"/>
      <c r="L49" s="73" t="s">
        <v>176</v>
      </c>
      <c r="M49" s="72"/>
      <c r="N49" s="72"/>
      <c r="O49" s="445"/>
      <c r="P49" s="72"/>
      <c r="Q49" s="72"/>
      <c r="R49" s="72"/>
      <c r="S49" s="72"/>
      <c r="T49" s="72"/>
      <c r="U49" s="72"/>
      <c r="V49" s="72"/>
      <c r="W49" s="72"/>
      <c r="X49" s="72"/>
      <c r="Y49" s="72"/>
      <c r="Z49" s="635"/>
      <c r="AA49" s="445"/>
      <c r="AB49" s="118"/>
      <c r="AC49" s="78"/>
      <c r="AD49" s="117"/>
      <c r="AE49" s="72"/>
      <c r="AF49" s="627"/>
      <c r="AG49" s="627"/>
      <c r="AH49" s="627"/>
      <c r="AI49" s="627"/>
      <c r="AJ49" s="627"/>
      <c r="AK49" s="627"/>
      <c r="AL49" s="627"/>
      <c r="AM49" s="723"/>
      <c r="AN49" s="724"/>
      <c r="AO49" s="724"/>
      <c r="AP49" s="725"/>
      <c r="AQ49" s="72"/>
      <c r="AR49" s="72"/>
      <c r="AS49" s="72"/>
      <c r="AT49" s="110"/>
      <c r="AU49" s="110"/>
      <c r="AW49" s="68"/>
      <c r="AX49" s="111"/>
    </row>
    <row r="50" spans="2:50" ht="12.75" customHeight="1" x14ac:dyDescent="0.2">
      <c r="B50" s="60"/>
      <c r="C50" s="60"/>
      <c r="D50" s="72"/>
      <c r="E50" s="72"/>
      <c r="F50" s="72"/>
      <c r="G50" s="72"/>
      <c r="H50" s="61"/>
      <c r="I50" s="61"/>
      <c r="J50" s="61"/>
      <c r="K50" s="61"/>
      <c r="L50" s="61"/>
      <c r="M50" s="72"/>
      <c r="N50" s="72"/>
      <c r="O50" s="72"/>
      <c r="P50" s="72"/>
      <c r="Q50" s="72"/>
      <c r="R50" s="72"/>
      <c r="S50" s="72"/>
      <c r="T50" s="72"/>
      <c r="U50" s="72"/>
      <c r="V50" s="72"/>
      <c r="W50" s="72"/>
      <c r="X50" s="72"/>
      <c r="Y50" s="72"/>
      <c r="Z50" s="635"/>
      <c r="AA50" s="72"/>
      <c r="AB50" s="118"/>
      <c r="AC50" s="78"/>
      <c r="AD50" s="119"/>
      <c r="AE50" s="120"/>
      <c r="AF50" s="628"/>
      <c r="AG50" s="628"/>
      <c r="AH50" s="628"/>
      <c r="AI50" s="628"/>
      <c r="AJ50" s="628"/>
      <c r="AK50" s="628"/>
      <c r="AL50" s="628"/>
      <c r="AM50" s="135"/>
      <c r="AN50" s="120"/>
      <c r="AO50" s="120"/>
      <c r="AP50" s="120"/>
      <c r="AQ50" s="120"/>
      <c r="AR50" s="120"/>
      <c r="AS50" s="120"/>
      <c r="AT50" s="111"/>
      <c r="AU50" s="110"/>
    </row>
    <row r="51" spans="2:50" ht="12.75" customHeight="1" x14ac:dyDescent="0.2">
      <c r="B51" s="60"/>
      <c r="C51" s="60"/>
      <c r="D51" s="72"/>
      <c r="E51" s="72"/>
      <c r="F51" s="72"/>
      <c r="G51" s="72"/>
      <c r="H51" s="61"/>
      <c r="I51" s="61"/>
      <c r="J51" s="61"/>
      <c r="K51" s="61"/>
      <c r="L51" s="61"/>
      <c r="M51" s="72"/>
      <c r="N51" s="72"/>
      <c r="O51" s="72"/>
      <c r="P51" s="72"/>
      <c r="Q51" s="72"/>
      <c r="R51" s="72"/>
      <c r="S51" s="72"/>
      <c r="T51" s="72"/>
      <c r="U51" s="72"/>
      <c r="V51" s="72"/>
      <c r="W51" s="72"/>
      <c r="X51" s="72"/>
      <c r="Y51" s="72"/>
      <c r="Z51" s="635"/>
      <c r="AA51" s="72"/>
      <c r="AB51" s="118"/>
      <c r="AC51" s="78"/>
      <c r="AD51" s="72"/>
      <c r="AE51" s="72"/>
      <c r="AF51" s="72"/>
      <c r="AG51" s="72"/>
      <c r="AH51" s="72"/>
      <c r="AI51" s="72"/>
      <c r="AJ51" s="72"/>
      <c r="AK51" s="72"/>
      <c r="AL51" s="72"/>
      <c r="AM51" s="442"/>
      <c r="AN51" s="72"/>
      <c r="AO51" s="72"/>
      <c r="AP51" s="72"/>
      <c r="AQ51" s="72"/>
      <c r="AR51" s="72"/>
      <c r="AS51" s="72"/>
      <c r="AT51" s="61"/>
      <c r="AU51" s="110"/>
    </row>
    <row r="52" spans="2:50" ht="12.75" customHeight="1" x14ac:dyDescent="0.2">
      <c r="B52" s="60"/>
      <c r="C52" s="60"/>
      <c r="D52" s="72"/>
      <c r="E52" s="72"/>
      <c r="F52" s="72"/>
      <c r="G52" s="72"/>
      <c r="H52" s="72"/>
      <c r="I52" s="75"/>
      <c r="J52" s="72"/>
      <c r="K52" s="72"/>
      <c r="L52" s="73"/>
      <c r="M52" s="72"/>
      <c r="N52" s="72"/>
      <c r="O52" s="72"/>
      <c r="P52" s="72"/>
      <c r="Q52" s="72"/>
      <c r="R52" s="72"/>
      <c r="S52" s="72"/>
      <c r="T52" s="72"/>
      <c r="U52" s="72"/>
      <c r="V52" s="72"/>
      <c r="W52" s="72"/>
      <c r="X52" s="72"/>
      <c r="Y52" s="72"/>
      <c r="Z52" s="635"/>
      <c r="AA52" s="72"/>
      <c r="AB52" s="118"/>
      <c r="AC52" s="78"/>
      <c r="AD52" s="114"/>
      <c r="AE52" s="116" t="str">
        <f>'Sprachen &amp; Rückgabewerte(5)'!$H$42</f>
        <v>Glas-Typ: SG = "Sky-Glass"</v>
      </c>
      <c r="AF52" s="116"/>
      <c r="AG52" s="115"/>
      <c r="AH52" s="115"/>
      <c r="AI52" s="115"/>
      <c r="AJ52" s="115"/>
      <c r="AK52" s="115"/>
      <c r="AL52" s="115"/>
      <c r="AM52" s="134"/>
      <c r="AN52" s="115"/>
      <c r="AO52" s="115"/>
      <c r="AP52" s="115"/>
      <c r="AQ52" s="115"/>
      <c r="AR52" s="115"/>
      <c r="AS52" s="115"/>
      <c r="AT52" s="324"/>
      <c r="AU52" s="110"/>
    </row>
    <row r="53" spans="2:50" ht="12.75" customHeight="1" x14ac:dyDescent="0.2">
      <c r="B53" s="60"/>
      <c r="C53" s="60"/>
      <c r="D53" s="72"/>
      <c r="E53" s="72"/>
      <c r="F53" s="72"/>
      <c r="G53" s="72"/>
      <c r="H53" s="61"/>
      <c r="I53" s="61"/>
      <c r="J53" s="61"/>
      <c r="K53" s="61"/>
      <c r="L53" s="72"/>
      <c r="M53" s="73"/>
      <c r="N53" s="72"/>
      <c r="O53" s="72"/>
      <c r="P53" s="72"/>
      <c r="Q53" s="72"/>
      <c r="R53" s="72"/>
      <c r="S53" s="72"/>
      <c r="T53" s="72"/>
      <c r="U53" s="72"/>
      <c r="V53" s="72"/>
      <c r="W53" s="72"/>
      <c r="X53" s="72"/>
      <c r="Y53" s="72"/>
      <c r="Z53" s="635"/>
      <c r="AA53" s="72"/>
      <c r="AB53" s="118"/>
      <c r="AC53" s="78"/>
      <c r="AD53" s="117"/>
      <c r="AE53" s="610"/>
      <c r="AF53" s="611"/>
      <c r="AG53" s="612"/>
      <c r="AH53" s="72" t="str">
        <f>'Sprachen &amp; Rückgabewerte(5)'!$AJ$1</f>
        <v>Ug=</v>
      </c>
      <c r="AI53" s="626">
        <f>LOOKUP($AE$53,'Sprachen &amp; Rückgabewerte(5)'!$AI$3:$AI$45,'Sprachen &amp; Rückgabewerte(5)'!AJ3:AJ45)</f>
        <v>0</v>
      </c>
      <c r="AJ53" s="626"/>
      <c r="AK53" s="726" t="str">
        <f>'Sprachen &amp; Rückgabewerte(5)'!$AK$1</f>
        <v>Lt=</v>
      </c>
      <c r="AL53" s="726"/>
      <c r="AM53" s="625">
        <f>LOOKUP(AE53,'Sprachen &amp; Rückgabewerte(5)'!AI3:AI45,'Sprachen &amp; Rückgabewerte(5)'!AK3:AK45)</f>
        <v>0</v>
      </c>
      <c r="AN53" s="625"/>
      <c r="AO53" s="203" t="str">
        <f>'Sprachen &amp; Rückgabewerte(5)'!$AL$1</f>
        <v>g=</v>
      </c>
      <c r="AP53" s="625">
        <f>LOOKUP(AE53,'Sprachen &amp; Rückgabewerte(5)'!AI3:AI45,'Sprachen &amp; Rückgabewerte(5)'!AL3:AL45)</f>
        <v>0</v>
      </c>
      <c r="AQ53" s="625"/>
      <c r="AR53" s="72"/>
      <c r="AS53" s="72"/>
      <c r="AT53" s="110"/>
      <c r="AU53" s="110"/>
    </row>
    <row r="54" spans="2:50" ht="12.75" customHeight="1" x14ac:dyDescent="0.2">
      <c r="B54" s="60"/>
      <c r="C54" s="60"/>
      <c r="D54" s="72"/>
      <c r="E54" s="72"/>
      <c r="F54" s="72"/>
      <c r="G54" s="72"/>
      <c r="H54" s="72"/>
      <c r="I54" s="72"/>
      <c r="J54" s="72"/>
      <c r="K54" s="72"/>
      <c r="L54" s="72"/>
      <c r="M54" s="72"/>
      <c r="N54" s="72"/>
      <c r="O54" s="72"/>
      <c r="P54" s="72"/>
      <c r="Q54" s="72"/>
      <c r="R54" s="72"/>
      <c r="S54" s="72"/>
      <c r="T54" s="72"/>
      <c r="U54" s="72"/>
      <c r="V54" s="72"/>
      <c r="W54" s="72"/>
      <c r="X54" s="72"/>
      <c r="Y54" s="72"/>
      <c r="Z54" s="635"/>
      <c r="AA54" s="72"/>
      <c r="AB54" s="118"/>
      <c r="AC54" s="72"/>
      <c r="AD54" s="117"/>
      <c r="AE54" s="72"/>
      <c r="AF54" s="72"/>
      <c r="AG54" s="72"/>
      <c r="AH54" s="73" t="str">
        <f>IF(AT52=1,'Sprachen &amp; Rückgabewerte(5)'!H158,LOOKUP(AE53,'Sprachen &amp; Rückgabewerte(5)'!AI3:AI45,'Sprachen &amp; Rückgabewerte(5)'!AM3:AM45))</f>
        <v>Glastyp wählen</v>
      </c>
      <c r="AI54" s="72"/>
      <c r="AJ54" s="72"/>
      <c r="AK54" s="72"/>
      <c r="AL54" s="72"/>
      <c r="AM54" s="442"/>
      <c r="AN54" s="79"/>
      <c r="AO54" s="79"/>
      <c r="AP54" s="72"/>
      <c r="AQ54" s="72"/>
      <c r="AR54" s="72"/>
      <c r="AS54" s="72"/>
      <c r="AT54" s="110"/>
      <c r="AU54" s="110"/>
    </row>
    <row r="55" spans="2:50" ht="12.75" customHeight="1" x14ac:dyDescent="0.2">
      <c r="B55" s="60"/>
      <c r="C55" s="60"/>
      <c r="D55" s="72"/>
      <c r="E55" s="72"/>
      <c r="F55" s="72"/>
      <c r="G55" s="72"/>
      <c r="H55" s="72"/>
      <c r="I55" s="72"/>
      <c r="J55" s="72"/>
      <c r="K55" s="72"/>
      <c r="L55" s="72"/>
      <c r="M55" s="72"/>
      <c r="N55" s="72"/>
      <c r="O55" s="72"/>
      <c r="P55" s="72"/>
      <c r="Q55" s="72"/>
      <c r="R55" s="72"/>
      <c r="S55" s="72"/>
      <c r="T55" s="72"/>
      <c r="U55" s="72"/>
      <c r="V55" s="72"/>
      <c r="W55" s="72"/>
      <c r="X55" s="72"/>
      <c r="Y55" s="72"/>
      <c r="Z55" s="72"/>
      <c r="AA55" s="72"/>
      <c r="AB55" s="118"/>
      <c r="AC55" s="72"/>
      <c r="AD55" s="117"/>
      <c r="AE55" s="662" t="str">
        <f>'Sprachen &amp; Rückgabewerte(5)'!$H$94</f>
        <v>Druckausgleichsventile :</v>
      </c>
      <c r="AF55" s="662"/>
      <c r="AG55" s="662"/>
      <c r="AH55" s="662"/>
      <c r="AI55" s="662"/>
      <c r="AJ55" s="662"/>
      <c r="AK55" s="662"/>
      <c r="AL55" s="662"/>
      <c r="AM55" s="662"/>
      <c r="AN55" s="717"/>
      <c r="AO55" s="560"/>
      <c r="AP55" s="562"/>
      <c r="AQ55" s="72"/>
      <c r="AR55" s="80" t="s">
        <v>347</v>
      </c>
      <c r="AS55" s="72"/>
      <c r="AT55" s="110"/>
      <c r="AU55" s="110"/>
    </row>
    <row r="56" spans="2:50" ht="12.75" customHeight="1" x14ac:dyDescent="0.2">
      <c r="B56" s="60"/>
      <c r="C56" s="60"/>
      <c r="D56" s="72"/>
      <c r="E56" s="72"/>
      <c r="F56" s="72"/>
      <c r="G56" s="72"/>
      <c r="H56" s="72"/>
      <c r="I56" s="72"/>
      <c r="J56" s="72"/>
      <c r="K56" s="72"/>
      <c r="L56" s="72"/>
      <c r="M56" s="72"/>
      <c r="N56" s="72"/>
      <c r="O56" s="72"/>
      <c r="P56" s="72"/>
      <c r="Q56" s="72"/>
      <c r="R56" s="72"/>
      <c r="S56" s="72"/>
      <c r="T56" s="72"/>
      <c r="U56" s="72"/>
      <c r="V56" s="72"/>
      <c r="W56" s="72"/>
      <c r="X56" s="72"/>
      <c r="Y56" s="72"/>
      <c r="Z56" s="72"/>
      <c r="AA56" s="72"/>
      <c r="AB56" s="118"/>
      <c r="AC56" s="72"/>
      <c r="AD56" s="117"/>
      <c r="AE56" s="72"/>
      <c r="AF56" s="127" t="str">
        <f>'Sprachen &amp; Rückgabewerte(5)'!$H$43</f>
        <v>Swisspacer-U schwarz</v>
      </c>
      <c r="AG56" s="72"/>
      <c r="AH56" s="72"/>
      <c r="AI56" s="72"/>
      <c r="AJ56" s="72"/>
      <c r="AK56" s="72"/>
      <c r="AL56" s="72"/>
      <c r="AM56" s="72"/>
      <c r="AN56" s="127" t="str">
        <f>'Sprachen &amp; Rückgabewerte(5)'!$H$44</f>
        <v>Swisspacer-U grau</v>
      </c>
      <c r="AQ56" s="72"/>
      <c r="AS56" s="80"/>
      <c r="AT56" s="110"/>
      <c r="AU56" s="110"/>
    </row>
    <row r="57" spans="2:50" ht="12.75" customHeight="1" x14ac:dyDescent="0.2">
      <c r="B57" s="60"/>
      <c r="C57" s="60"/>
      <c r="D57" s="72"/>
      <c r="E57" s="72"/>
      <c r="F57" s="72"/>
      <c r="G57" s="72"/>
      <c r="H57" s="72"/>
      <c r="I57" s="72"/>
      <c r="J57" s="72"/>
      <c r="K57" s="72"/>
      <c r="L57" s="72"/>
      <c r="M57" s="72"/>
      <c r="N57" s="72"/>
      <c r="O57" s="72"/>
      <c r="P57" s="72"/>
      <c r="Q57" s="72"/>
      <c r="R57" s="72"/>
      <c r="S57" s="72"/>
      <c r="T57" s="72"/>
      <c r="U57" s="72"/>
      <c r="V57" s="72"/>
      <c r="W57" s="72"/>
      <c r="X57" s="72"/>
      <c r="Y57" s="72"/>
      <c r="Z57" s="72"/>
      <c r="AA57" s="72"/>
      <c r="AB57" s="118"/>
      <c r="AC57" s="72"/>
      <c r="AD57" s="117"/>
      <c r="AE57" s="72"/>
      <c r="AF57" s="127" t="str">
        <f>'Sprachen &amp; Rückgabewerte(5)'!$H$45</f>
        <v>Speziell:</v>
      </c>
      <c r="AG57" s="72"/>
      <c r="AH57" s="72"/>
      <c r="AI57" s="622"/>
      <c r="AJ57" s="623"/>
      <c r="AK57" s="623"/>
      <c r="AL57" s="623"/>
      <c r="AM57" s="623"/>
      <c r="AN57" s="623"/>
      <c r="AO57" s="623"/>
      <c r="AP57" s="623"/>
      <c r="AQ57" s="623"/>
      <c r="AR57" s="623"/>
      <c r="AS57" s="624"/>
      <c r="AT57" s="110"/>
      <c r="AU57" s="110"/>
    </row>
    <row r="58" spans="2:50" ht="12.75" customHeight="1" x14ac:dyDescent="0.2">
      <c r="B58" s="60"/>
      <c r="C58" s="60"/>
      <c r="D58" s="72"/>
      <c r="E58" s="72"/>
      <c r="F58" s="72"/>
      <c r="G58" s="72"/>
      <c r="H58" s="72"/>
      <c r="I58" s="75"/>
      <c r="J58" s="73"/>
      <c r="K58" s="73"/>
      <c r="L58" s="73"/>
      <c r="M58" s="73"/>
      <c r="N58" s="73"/>
      <c r="O58" s="72"/>
      <c r="P58" s="72"/>
      <c r="Q58" s="72"/>
      <c r="R58" s="72"/>
      <c r="S58" s="72"/>
      <c r="T58" s="72"/>
      <c r="U58" s="72"/>
      <c r="V58" s="72"/>
      <c r="W58" s="72"/>
      <c r="X58" s="72"/>
      <c r="Y58" s="72"/>
      <c r="Z58" s="72"/>
      <c r="AA58" s="72"/>
      <c r="AB58" s="118"/>
      <c r="AC58" s="72"/>
      <c r="AD58" s="119"/>
      <c r="AE58" s="120"/>
      <c r="AF58" s="120"/>
      <c r="AG58" s="120"/>
      <c r="AH58" s="120"/>
      <c r="AI58" s="148"/>
      <c r="AJ58" s="148"/>
      <c r="AK58" s="148"/>
      <c r="AL58" s="148"/>
      <c r="AM58" s="148"/>
      <c r="AN58" s="148"/>
      <c r="AO58" s="148"/>
      <c r="AP58" s="148"/>
      <c r="AQ58" s="148"/>
      <c r="AR58" s="148"/>
      <c r="AS58" s="148"/>
      <c r="AT58" s="111"/>
      <c r="AU58" s="110"/>
    </row>
    <row r="59" spans="2:50" ht="12.75" customHeight="1" x14ac:dyDescent="0.2">
      <c r="B59" s="60"/>
      <c r="C59" s="60"/>
      <c r="D59" s="72"/>
      <c r="E59" s="72"/>
      <c r="F59" s="72"/>
      <c r="G59" s="72"/>
      <c r="H59" s="72"/>
      <c r="I59" s="75"/>
      <c r="J59" s="73"/>
      <c r="K59" s="73"/>
      <c r="L59" s="73"/>
      <c r="M59" s="73"/>
      <c r="N59" s="73"/>
      <c r="O59" s="72"/>
      <c r="P59" s="72"/>
      <c r="Q59" s="600" t="str">
        <f>IF('Sprachen &amp; Rückgabewerte(5)'!C54=TRUE,'Sprachen &amp; Rückgabewerte(5)'!H160,"")</f>
        <v/>
      </c>
      <c r="R59" s="600"/>
      <c r="S59" s="600"/>
      <c r="T59" s="600"/>
      <c r="U59" s="600"/>
      <c r="V59" s="600"/>
      <c r="W59" s="600"/>
      <c r="X59" s="600"/>
      <c r="Y59" s="600"/>
      <c r="Z59" s="600"/>
      <c r="AA59" s="600"/>
      <c r="AB59" s="601"/>
      <c r="AC59" s="72"/>
      <c r="AD59" s="72"/>
      <c r="AE59" s="72"/>
      <c r="AF59" s="72"/>
      <c r="AG59" s="72"/>
      <c r="AH59" s="72"/>
      <c r="AI59" s="79"/>
      <c r="AJ59" s="79"/>
      <c r="AK59" s="79"/>
      <c r="AL59" s="79"/>
      <c r="AM59" s="79"/>
      <c r="AN59" s="79"/>
      <c r="AO59" s="79"/>
      <c r="AP59" s="79"/>
      <c r="AQ59" s="79"/>
      <c r="AR59" s="79"/>
      <c r="AS59" s="79"/>
      <c r="AT59" s="61"/>
      <c r="AU59" s="110"/>
    </row>
    <row r="60" spans="2:50" ht="12.75" customHeight="1" x14ac:dyDescent="0.2">
      <c r="B60" s="60"/>
      <c r="C60" s="68"/>
      <c r="D60" s="120"/>
      <c r="E60" s="120"/>
      <c r="F60" s="177" t="str">
        <f>'Sprachen &amp; Rückgabewerte(5)'!$H$110</f>
        <v>KABA (22)</v>
      </c>
      <c r="G60" s="120"/>
      <c r="H60" s="120"/>
      <c r="I60" s="120"/>
      <c r="J60" s="120"/>
      <c r="K60" s="120"/>
      <c r="L60" s="177" t="str">
        <f>'Sprachen &amp; Rückgabewerte(5)'!$H$111</f>
        <v>PZ / Euro (17)</v>
      </c>
      <c r="M60" s="120"/>
      <c r="N60" s="120"/>
      <c r="O60" s="120"/>
      <c r="P60" s="120"/>
      <c r="Q60" s="602"/>
      <c r="R60" s="602"/>
      <c r="S60" s="602"/>
      <c r="T60" s="602"/>
      <c r="U60" s="602"/>
      <c r="V60" s="602"/>
      <c r="W60" s="602"/>
      <c r="X60" s="602"/>
      <c r="Y60" s="602"/>
      <c r="Z60" s="602"/>
      <c r="AA60" s="602"/>
      <c r="AB60" s="603"/>
      <c r="AC60" s="72"/>
      <c r="AD60" s="114"/>
      <c r="AE60" s="116" t="str">
        <f>'Sprachen &amp; Rückgabewerte(5)'!$H$64</f>
        <v>Verschlussgriffe:</v>
      </c>
      <c r="AF60" s="116"/>
      <c r="AG60" s="115"/>
      <c r="AH60" s="115"/>
      <c r="AI60" s="115"/>
      <c r="AJ60" s="115"/>
      <c r="AK60" s="115"/>
      <c r="AL60" s="115"/>
      <c r="AM60" s="134"/>
      <c r="AN60" s="115"/>
      <c r="AO60" s="115"/>
      <c r="AP60" s="115"/>
      <c r="AQ60" s="115"/>
      <c r="AR60" s="115"/>
      <c r="AS60" s="115"/>
      <c r="AT60" s="109"/>
      <c r="AU60" s="110"/>
    </row>
    <row r="61" spans="2:50" ht="12.75" customHeight="1" x14ac:dyDescent="0.2">
      <c r="B61" s="60"/>
      <c r="C61" s="61"/>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117"/>
      <c r="AE61" s="72"/>
      <c r="AF61" s="81"/>
      <c r="AG61" s="72"/>
      <c r="AH61" s="72"/>
      <c r="AI61" s="72"/>
      <c r="AJ61" s="72"/>
      <c r="AK61" s="72"/>
      <c r="AL61" s="72"/>
      <c r="AM61" s="442"/>
      <c r="AN61" s="72"/>
      <c r="AO61" s="72"/>
      <c r="AP61" s="72"/>
      <c r="AQ61" s="72"/>
      <c r="AR61" s="72"/>
      <c r="AS61" s="72"/>
      <c r="AT61" s="110"/>
      <c r="AU61" s="110"/>
    </row>
    <row r="62" spans="2:50" ht="12.75" customHeight="1" x14ac:dyDescent="0.2">
      <c r="B62" s="60"/>
      <c r="C62" s="107"/>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408"/>
      <c r="AC62" s="72"/>
      <c r="AD62" s="117"/>
      <c r="AE62" s="72"/>
      <c r="AF62" s="81"/>
      <c r="AG62" s="72"/>
      <c r="AH62" s="72"/>
      <c r="AI62" s="72"/>
      <c r="AJ62" s="72"/>
      <c r="AK62" s="72"/>
      <c r="AL62" s="72"/>
      <c r="AM62" s="442"/>
      <c r="AN62" s="72"/>
      <c r="AO62" s="72"/>
      <c r="AP62" s="72"/>
      <c r="AQ62" s="72"/>
      <c r="AR62" s="72"/>
      <c r="AS62" s="72"/>
      <c r="AT62" s="110"/>
      <c r="AU62" s="110"/>
    </row>
    <row r="63" spans="2:50" ht="12.75" customHeight="1" x14ac:dyDescent="0.2">
      <c r="B63" s="60"/>
      <c r="C63" s="60"/>
      <c r="D63" s="72"/>
      <c r="E63" s="72"/>
      <c r="F63" s="61"/>
      <c r="G63" s="72"/>
      <c r="H63" s="72"/>
      <c r="I63" s="72"/>
      <c r="J63" s="72"/>
      <c r="K63" s="72"/>
      <c r="L63" s="61"/>
      <c r="M63" s="72"/>
      <c r="N63" s="72"/>
      <c r="O63" s="72"/>
      <c r="P63" s="72"/>
      <c r="Q63" s="72"/>
      <c r="R63" s="72"/>
      <c r="S63" s="72"/>
      <c r="T63" s="72"/>
      <c r="U63" s="72"/>
      <c r="V63" s="72"/>
      <c r="W63" s="72"/>
      <c r="X63" s="72"/>
      <c r="Y63" s="72"/>
      <c r="Z63" s="72"/>
      <c r="AA63" s="72"/>
      <c r="AB63" s="118"/>
      <c r="AC63" s="72"/>
      <c r="AD63" s="117"/>
      <c r="AE63" s="72"/>
      <c r="AF63" s="72"/>
      <c r="AG63" s="72"/>
      <c r="AH63" s="72"/>
      <c r="AI63" s="72"/>
      <c r="AJ63" s="72"/>
      <c r="AK63" s="72"/>
      <c r="AL63" s="72"/>
      <c r="AM63" s="442"/>
      <c r="AN63" s="72"/>
      <c r="AO63" s="72"/>
      <c r="AP63" s="72"/>
      <c r="AQ63" s="72"/>
      <c r="AR63" s="72"/>
      <c r="AS63" s="72"/>
      <c r="AT63" s="110"/>
      <c r="AU63" s="110"/>
    </row>
    <row r="64" spans="2:50" ht="12.75" customHeight="1" x14ac:dyDescent="0.2">
      <c r="B64" s="60"/>
      <c r="C64" s="60"/>
      <c r="D64" s="72"/>
      <c r="E64" s="73"/>
      <c r="F64" s="73"/>
      <c r="G64" s="72"/>
      <c r="H64" s="72"/>
      <c r="I64" s="72"/>
      <c r="J64" s="72"/>
      <c r="K64" s="72"/>
      <c r="L64" s="73"/>
      <c r="M64" s="72"/>
      <c r="N64" s="72"/>
      <c r="O64" s="72"/>
      <c r="P64" s="72"/>
      <c r="Q64" s="72"/>
      <c r="R64" s="72"/>
      <c r="S64" s="72"/>
      <c r="T64" s="72"/>
      <c r="U64" s="72"/>
      <c r="V64" s="72"/>
      <c r="W64" s="72"/>
      <c r="X64" s="72"/>
      <c r="Y64" s="72"/>
      <c r="Z64" s="72"/>
      <c r="AA64" s="72"/>
      <c r="AB64" s="118"/>
      <c r="AC64" s="72"/>
      <c r="AD64" s="117"/>
      <c r="AE64" s="72"/>
      <c r="AF64" s="72"/>
      <c r="AG64" s="72"/>
      <c r="AH64" s="72"/>
      <c r="AI64" s="72"/>
      <c r="AJ64" s="72"/>
      <c r="AK64" s="72"/>
      <c r="AL64" s="72"/>
      <c r="AM64" s="442"/>
      <c r="AN64" s="72"/>
      <c r="AO64" s="72"/>
      <c r="AP64" s="72"/>
      <c r="AQ64" s="72"/>
      <c r="AR64" s="72"/>
      <c r="AS64" s="72"/>
      <c r="AT64" s="110"/>
      <c r="AU64" s="110"/>
    </row>
    <row r="65" spans="2:50" ht="12.75" customHeight="1" x14ac:dyDescent="0.2">
      <c r="B65" s="60"/>
      <c r="C65" s="60"/>
      <c r="D65" s="72"/>
      <c r="E65" s="72"/>
      <c r="F65" s="72"/>
      <c r="G65" s="72"/>
      <c r="H65" s="72"/>
      <c r="I65" s="72"/>
      <c r="J65" s="72"/>
      <c r="K65" s="72"/>
      <c r="L65" s="72"/>
      <c r="M65" s="72"/>
      <c r="N65" s="72"/>
      <c r="O65" s="72"/>
      <c r="P65" s="72"/>
      <c r="Q65" s="72"/>
      <c r="R65" s="72"/>
      <c r="S65" s="72"/>
      <c r="T65" s="72"/>
      <c r="U65" s="72"/>
      <c r="V65" s="72"/>
      <c r="W65" s="72"/>
      <c r="X65" s="72"/>
      <c r="Y65" s="72"/>
      <c r="Z65" s="72"/>
      <c r="AA65" s="72"/>
      <c r="AB65" s="118"/>
      <c r="AC65" s="72"/>
      <c r="AD65" s="117"/>
      <c r="AE65" s="72"/>
      <c r="AF65" s="72"/>
      <c r="AG65" s="72"/>
      <c r="AH65" s="72"/>
      <c r="AI65" s="72"/>
      <c r="AJ65" s="72"/>
      <c r="AK65" s="72"/>
      <c r="AL65" s="72"/>
      <c r="AM65" s="72"/>
      <c r="AN65" s="72"/>
      <c r="AO65" s="72"/>
      <c r="AP65" s="72"/>
      <c r="AQ65" s="72"/>
      <c r="AR65" s="72"/>
      <c r="AS65" s="72"/>
      <c r="AT65" s="110"/>
      <c r="AU65" s="110"/>
    </row>
    <row r="66" spans="2:50" ht="12.75" customHeight="1" x14ac:dyDescent="0.2">
      <c r="B66" s="60"/>
      <c r="C66" s="60"/>
      <c r="D66" s="72"/>
      <c r="E66" s="72"/>
      <c r="F66" s="72"/>
      <c r="G66" s="72"/>
      <c r="H66" s="72"/>
      <c r="I66" s="72"/>
      <c r="J66" s="72"/>
      <c r="K66" s="72"/>
      <c r="L66" s="72"/>
      <c r="M66" s="72"/>
      <c r="N66" s="72"/>
      <c r="O66" s="72"/>
      <c r="P66" s="72"/>
      <c r="Q66" s="72"/>
      <c r="R66" s="72"/>
      <c r="S66" s="72"/>
      <c r="T66" s="72"/>
      <c r="U66" s="72"/>
      <c r="V66" s="72"/>
      <c r="W66" s="72"/>
      <c r="X66" s="72"/>
      <c r="Y66" s="72"/>
      <c r="Z66" s="72"/>
      <c r="AA66" s="72"/>
      <c r="AB66" s="118"/>
      <c r="AC66" s="72"/>
      <c r="AD66" s="117"/>
      <c r="AE66" s="72"/>
      <c r="AF66" s="72"/>
      <c r="AG66" s="72"/>
      <c r="AH66" s="72"/>
      <c r="AI66" s="72"/>
      <c r="AJ66" s="72"/>
      <c r="AK66" s="72"/>
      <c r="AL66" s="72"/>
      <c r="AM66" s="72"/>
      <c r="AN66" s="72"/>
      <c r="AO66" s="72"/>
      <c r="AP66" s="72"/>
      <c r="AQ66" s="72"/>
      <c r="AR66" s="72"/>
      <c r="AS66" s="72"/>
      <c r="AT66" s="110"/>
      <c r="AU66" s="110"/>
    </row>
    <row r="67" spans="2:50" ht="12.75" customHeight="1" x14ac:dyDescent="0.2">
      <c r="B67" s="60"/>
      <c r="C67" s="60"/>
      <c r="D67" s="72"/>
      <c r="E67" s="72"/>
      <c r="F67" s="72"/>
      <c r="G67" s="72"/>
      <c r="H67" s="72"/>
      <c r="I67" s="72"/>
      <c r="J67" s="72"/>
      <c r="K67" s="72"/>
      <c r="L67" s="72"/>
      <c r="M67" s="72"/>
      <c r="N67" s="72"/>
      <c r="O67" s="72"/>
      <c r="P67" s="72"/>
      <c r="Q67" s="72"/>
      <c r="R67" s="72"/>
      <c r="S67" s="72"/>
      <c r="T67" s="72"/>
      <c r="U67" s="72"/>
      <c r="V67" s="72"/>
      <c r="W67" s="72"/>
      <c r="X67" s="72"/>
      <c r="Y67" s="72"/>
      <c r="Z67" s="72"/>
      <c r="AA67" s="72"/>
      <c r="AB67" s="118"/>
      <c r="AC67" s="72"/>
      <c r="AD67" s="117"/>
      <c r="AE67" s="72"/>
      <c r="AF67" s="72"/>
      <c r="AG67" s="72"/>
      <c r="AH67" s="72"/>
      <c r="AI67" s="72"/>
      <c r="AJ67" s="72"/>
      <c r="AK67" s="72"/>
      <c r="AL67" s="72"/>
      <c r="AM67" s="72"/>
      <c r="AN67" s="72"/>
      <c r="AO67" s="72"/>
      <c r="AP67" s="72"/>
      <c r="AQ67" s="72"/>
      <c r="AR67" s="72"/>
      <c r="AS67" s="72"/>
      <c r="AT67" s="110"/>
      <c r="AU67" s="110"/>
    </row>
    <row r="68" spans="2:50" ht="12.75" customHeight="1" x14ac:dyDescent="0.2">
      <c r="B68" s="60"/>
      <c r="C68" s="60"/>
      <c r="D68" s="72"/>
      <c r="E68" s="72"/>
      <c r="F68" s="72"/>
      <c r="G68" s="72"/>
      <c r="H68" s="72"/>
      <c r="I68" s="72"/>
      <c r="J68" s="72"/>
      <c r="K68" s="72"/>
      <c r="L68" s="72"/>
      <c r="M68" s="72"/>
      <c r="N68" s="72"/>
      <c r="O68" s="72"/>
      <c r="P68" s="72"/>
      <c r="Q68" s="72"/>
      <c r="R68" s="72"/>
      <c r="S68" s="72"/>
      <c r="T68" s="72"/>
      <c r="U68" s="72"/>
      <c r="V68" s="72"/>
      <c r="W68" s="72"/>
      <c r="X68" s="72"/>
      <c r="Y68" s="72"/>
      <c r="Z68" s="72"/>
      <c r="AA68" s="72"/>
      <c r="AB68" s="118"/>
      <c r="AC68" s="72"/>
      <c r="AD68" s="117"/>
      <c r="AE68" s="72"/>
      <c r="AF68" s="72"/>
      <c r="AG68" s="72"/>
      <c r="AH68" s="72"/>
      <c r="AI68" s="72"/>
      <c r="AJ68" s="72"/>
      <c r="AK68" s="72"/>
      <c r="AL68" s="72"/>
      <c r="AM68" s="72"/>
      <c r="AN68" s="72"/>
      <c r="AO68" s="72"/>
      <c r="AP68" s="72"/>
      <c r="AQ68" s="72"/>
      <c r="AR68" s="72"/>
      <c r="AS68" s="72"/>
      <c r="AT68" s="110"/>
      <c r="AU68" s="110"/>
    </row>
    <row r="69" spans="2:50" ht="12.75" customHeight="1" x14ac:dyDescent="0.2">
      <c r="B69" s="60"/>
      <c r="C69" s="60"/>
      <c r="D69" s="72"/>
      <c r="E69" s="72"/>
      <c r="F69" s="72"/>
      <c r="G69" s="72"/>
      <c r="H69" s="72"/>
      <c r="I69" s="72"/>
      <c r="J69" s="72"/>
      <c r="K69" s="72"/>
      <c r="L69" s="72"/>
      <c r="M69" s="72"/>
      <c r="N69" s="72"/>
      <c r="O69" s="72"/>
      <c r="P69" s="72"/>
      <c r="Q69" s="72"/>
      <c r="R69" s="72"/>
      <c r="S69" s="72"/>
      <c r="T69" s="72"/>
      <c r="U69" s="72"/>
      <c r="V69" s="72"/>
      <c r="W69" s="72"/>
      <c r="X69" s="72"/>
      <c r="Y69" s="72"/>
      <c r="Z69" s="72"/>
      <c r="AA69" s="72"/>
      <c r="AB69" s="118"/>
      <c r="AC69" s="72"/>
      <c r="AD69" s="117"/>
      <c r="AE69" s="72"/>
      <c r="AF69" s="72"/>
      <c r="AG69" s="72"/>
      <c r="AH69" s="72"/>
      <c r="AI69" s="72"/>
      <c r="AJ69" s="72"/>
      <c r="AK69" s="72"/>
      <c r="AL69" s="72"/>
      <c r="AM69" s="72"/>
      <c r="AN69" s="72"/>
      <c r="AO69" s="72"/>
      <c r="AP69" s="72"/>
      <c r="AQ69" s="72"/>
      <c r="AR69" s="72"/>
      <c r="AS69" s="72"/>
      <c r="AT69" s="110"/>
      <c r="AU69" s="110"/>
    </row>
    <row r="70" spans="2:50" ht="12.75" customHeight="1" x14ac:dyDescent="0.2">
      <c r="B70" s="60"/>
      <c r="C70" s="60"/>
      <c r="D70" s="72"/>
      <c r="E70" s="72"/>
      <c r="F70" s="72"/>
      <c r="G70" s="72"/>
      <c r="H70" s="72"/>
      <c r="I70" s="72"/>
      <c r="J70" s="72"/>
      <c r="K70" s="72"/>
      <c r="L70" s="72"/>
      <c r="M70" s="72"/>
      <c r="N70" s="72"/>
      <c r="O70" s="72"/>
      <c r="P70" s="72"/>
      <c r="Q70" s="72"/>
      <c r="R70" s="72"/>
      <c r="S70" s="72"/>
      <c r="T70" s="72"/>
      <c r="U70" s="72"/>
      <c r="V70" s="72"/>
      <c r="W70" s="72"/>
      <c r="X70" s="72"/>
      <c r="Y70" s="72"/>
      <c r="Z70" s="72"/>
      <c r="AA70" s="72"/>
      <c r="AB70" s="118"/>
      <c r="AC70" s="72"/>
      <c r="AD70" s="117"/>
      <c r="AE70" s="575"/>
      <c r="AF70" s="576"/>
      <c r="AG70" s="576"/>
      <c r="AH70" s="576"/>
      <c r="AI70" s="576"/>
      <c r="AJ70" s="576"/>
      <c r="AK70" s="576"/>
      <c r="AL70" s="577"/>
      <c r="AM70" s="72"/>
      <c r="AN70" s="616"/>
      <c r="AO70" s="617"/>
      <c r="AP70" s="617"/>
      <c r="AQ70" s="617"/>
      <c r="AR70" s="617"/>
      <c r="AS70" s="618"/>
      <c r="AT70" s="110"/>
      <c r="AU70" s="110"/>
    </row>
    <row r="71" spans="2:50" ht="12.75" customHeight="1" x14ac:dyDescent="0.2">
      <c r="B71" s="60"/>
      <c r="C71" s="60"/>
      <c r="D71" s="72"/>
      <c r="E71" s="72"/>
      <c r="F71" s="73" t="str">
        <f>'Sprachen &amp; Rückgabewerte(5)'!$B$41</f>
        <v>320101/320101</v>
      </c>
      <c r="G71" s="72"/>
      <c r="H71" s="72"/>
      <c r="I71" s="72"/>
      <c r="J71" s="72"/>
      <c r="K71" s="72"/>
      <c r="L71" s="73" t="str">
        <f>'Sprachen &amp; Rückgabewerte(5)'!$B$42</f>
        <v>320401/320401</v>
      </c>
      <c r="M71" s="61"/>
      <c r="N71" s="72"/>
      <c r="O71" s="72"/>
      <c r="P71" s="72"/>
      <c r="Q71" s="72"/>
      <c r="R71" s="73" t="str">
        <f>'Sprachen &amp; Rückgabewerte(5)'!$B$43</f>
        <v>360001/360001</v>
      </c>
      <c r="S71" s="72"/>
      <c r="T71" s="72"/>
      <c r="U71" s="72"/>
      <c r="V71" s="72"/>
      <c r="W71" s="72"/>
      <c r="X71" s="73" t="str">
        <f>'Sprachen &amp; Rückgabewerte(5)'!$B$44</f>
        <v>321101/321101</v>
      </c>
      <c r="Y71" s="61"/>
      <c r="Z71" s="72"/>
      <c r="AA71" s="72"/>
      <c r="AB71" s="118"/>
      <c r="AC71" s="72"/>
      <c r="AD71" s="119"/>
      <c r="AE71" s="120"/>
      <c r="AF71" s="120"/>
      <c r="AG71" s="120"/>
      <c r="AH71" s="120"/>
      <c r="AI71" s="120"/>
      <c r="AJ71" s="120"/>
      <c r="AK71" s="120"/>
      <c r="AL71" s="120"/>
      <c r="AM71" s="120"/>
      <c r="AN71" s="120"/>
      <c r="AO71" s="120"/>
      <c r="AP71" s="120"/>
      <c r="AQ71" s="120"/>
      <c r="AR71" s="120"/>
      <c r="AS71" s="120"/>
      <c r="AT71" s="111"/>
      <c r="AU71" s="110"/>
    </row>
    <row r="72" spans="2:50" ht="12.75" customHeight="1" x14ac:dyDescent="0.2">
      <c r="B72" s="60"/>
      <c r="C72" s="60"/>
      <c r="D72" s="72"/>
      <c r="E72" s="72"/>
      <c r="F72" s="699"/>
      <c r="G72" s="700"/>
      <c r="H72" s="700"/>
      <c r="I72" s="701"/>
      <c r="J72" s="72"/>
      <c r="K72" s="72"/>
      <c r="L72" s="699"/>
      <c r="M72" s="700"/>
      <c r="N72" s="700"/>
      <c r="O72" s="701"/>
      <c r="P72" s="72"/>
      <c r="Q72" s="72"/>
      <c r="R72" s="72"/>
      <c r="S72" s="424"/>
      <c r="T72" s="424"/>
      <c r="U72" s="424"/>
      <c r="V72" s="72"/>
      <c r="W72" s="72"/>
      <c r="X72" s="699"/>
      <c r="Y72" s="700"/>
      <c r="Z72" s="700"/>
      <c r="AA72" s="701"/>
      <c r="AB72" s="118"/>
      <c r="AC72" s="72"/>
      <c r="AD72" s="72"/>
      <c r="AE72" s="72"/>
      <c r="AF72" s="72"/>
      <c r="AG72" s="72"/>
      <c r="AH72" s="72"/>
      <c r="AI72" s="72"/>
      <c r="AJ72" s="72"/>
      <c r="AK72" s="72"/>
      <c r="AL72" s="72"/>
      <c r="AM72" s="72"/>
      <c r="AN72" s="72"/>
      <c r="AO72" s="72"/>
      <c r="AP72" s="72"/>
      <c r="AQ72" s="72"/>
      <c r="AR72" s="72"/>
      <c r="AS72" s="72"/>
      <c r="AT72" s="61"/>
      <c r="AU72" s="110"/>
    </row>
    <row r="73" spans="2:50" ht="12.75" customHeight="1" x14ac:dyDescent="0.2">
      <c r="B73" s="60"/>
      <c r="C73" s="60"/>
      <c r="D73" s="72"/>
      <c r="E73" s="72"/>
      <c r="F73" s="72"/>
      <c r="G73" s="72"/>
      <c r="H73" s="72"/>
      <c r="I73" s="72"/>
      <c r="J73" s="72"/>
      <c r="K73" s="72"/>
      <c r="L73" s="72"/>
      <c r="M73" s="72"/>
      <c r="N73" s="72"/>
      <c r="O73" s="72"/>
      <c r="P73" s="72"/>
      <c r="Q73" s="72"/>
      <c r="R73" s="72"/>
      <c r="S73" s="72"/>
      <c r="T73" s="72"/>
      <c r="U73" s="72"/>
      <c r="V73" s="72"/>
      <c r="W73" s="72"/>
      <c r="X73" s="72"/>
      <c r="Y73" s="72"/>
      <c r="Z73" s="72"/>
      <c r="AA73" s="72"/>
      <c r="AB73" s="407"/>
      <c r="AC73" s="72"/>
      <c r="AD73" s="114"/>
      <c r="AE73" s="116" t="str">
        <f>'Sprachen &amp; Rückgabewerte(5)'!$H$70</f>
        <v>Befestigung:</v>
      </c>
      <c r="AF73" s="116"/>
      <c r="AG73" s="115"/>
      <c r="AH73" s="115"/>
      <c r="AI73" s="115"/>
      <c r="AJ73" s="115"/>
      <c r="AK73" s="115"/>
      <c r="AL73" s="115"/>
      <c r="AM73" s="115"/>
      <c r="AN73" s="115"/>
      <c r="AO73" s="115"/>
      <c r="AP73" s="115"/>
      <c r="AQ73" s="115"/>
      <c r="AR73" s="115"/>
      <c r="AS73" s="115"/>
      <c r="AT73" s="109"/>
      <c r="AU73" s="110"/>
    </row>
    <row r="74" spans="2:50" ht="12.75" customHeight="1" x14ac:dyDescent="0.2">
      <c r="B74" s="60"/>
      <c r="C74" s="60"/>
      <c r="D74" s="72"/>
      <c r="E74" s="72"/>
      <c r="F74" s="72"/>
      <c r="G74" s="72"/>
      <c r="H74" s="72"/>
      <c r="I74" s="72"/>
      <c r="J74" s="72"/>
      <c r="K74" s="72"/>
      <c r="L74" s="72"/>
      <c r="M74" s="72"/>
      <c r="N74" s="72"/>
      <c r="O74" s="72"/>
      <c r="P74" s="72"/>
      <c r="Q74" s="72"/>
      <c r="R74" s="72"/>
      <c r="S74" s="72"/>
      <c r="T74" s="72"/>
      <c r="U74" s="72"/>
      <c r="V74" s="72"/>
      <c r="W74" s="72"/>
      <c r="X74" s="72"/>
      <c r="Y74" s="72"/>
      <c r="Z74" s="72"/>
      <c r="AA74" s="72"/>
      <c r="AB74" s="118"/>
      <c r="AC74" s="72"/>
      <c r="AD74" s="117"/>
      <c r="AE74" s="72"/>
      <c r="AF74" s="72" t="str">
        <f>'Sprachen &amp; Rückgabewerte(5)'!$H$71</f>
        <v>Universalschrauben (A2):</v>
      </c>
      <c r="AG74" s="72"/>
      <c r="AH74" s="72"/>
      <c r="AI74" s="72"/>
      <c r="AJ74" s="72"/>
      <c r="AK74" s="72"/>
      <c r="AL74" s="72"/>
      <c r="AM74" s="72" t="str">
        <f>'Sprachen &amp; Rückgabewerte(5)'!H72</f>
        <v>L=52mm</v>
      </c>
      <c r="AN74" s="382"/>
      <c r="AO74" s="382"/>
      <c r="AP74" s="384"/>
      <c r="AQ74" s="72" t="str">
        <f>'Sprachen &amp; Rückgabewerte(5)'!$H$180</f>
        <v>VE</v>
      </c>
      <c r="AR74" s="72"/>
      <c r="AS74" s="72"/>
      <c r="AT74" s="110"/>
      <c r="AU74" s="110"/>
    </row>
    <row r="75" spans="2:50" ht="12.75" customHeight="1" thickBot="1" x14ac:dyDescent="0.25">
      <c r="B75" s="60"/>
      <c r="C75" s="60"/>
      <c r="D75" s="72"/>
      <c r="E75" s="72"/>
      <c r="F75" s="72"/>
      <c r="G75" s="72"/>
      <c r="H75" s="72"/>
      <c r="I75" s="72"/>
      <c r="J75" s="72"/>
      <c r="K75" s="72"/>
      <c r="L75" s="72"/>
      <c r="M75" s="72"/>
      <c r="N75" s="72"/>
      <c r="O75" s="72"/>
      <c r="P75" s="72"/>
      <c r="Q75" s="72"/>
      <c r="R75" s="72"/>
      <c r="S75" s="72"/>
      <c r="T75" s="72"/>
      <c r="U75" s="72"/>
      <c r="V75" s="72"/>
      <c r="W75" s="72"/>
      <c r="X75" s="72"/>
      <c r="Y75" s="72"/>
      <c r="Z75" s="72"/>
      <c r="AA75" s="72"/>
      <c r="AB75" s="118"/>
      <c r="AC75" s="72"/>
      <c r="AD75" s="117"/>
      <c r="AE75" s="72"/>
      <c r="AF75" s="72"/>
      <c r="AG75" s="79" t="str">
        <f>'Sprachen &amp; Rückgabewerte(5)'!H75</f>
        <v>(VE à 100 Stk.)</v>
      </c>
      <c r="AH75" s="72"/>
      <c r="AI75" s="72"/>
      <c r="AJ75" s="72"/>
      <c r="AK75" s="72"/>
      <c r="AL75" s="72"/>
      <c r="AM75" s="72" t="str">
        <f>'Sprachen &amp; Rückgabewerte(5)'!H73</f>
        <v>L=82mm</v>
      </c>
      <c r="AN75" s="383"/>
      <c r="AO75" s="382"/>
      <c r="AP75" s="384"/>
      <c r="AQ75" s="72" t="str">
        <f>'Sprachen &amp; Rückgabewerte(5)'!$H$180</f>
        <v>VE</v>
      </c>
      <c r="AR75" s="72"/>
      <c r="AS75" s="72"/>
      <c r="AT75" s="110"/>
      <c r="AU75" s="110"/>
    </row>
    <row r="76" spans="2:50" ht="12.75" customHeight="1" x14ac:dyDescent="0.2">
      <c r="B76" s="60"/>
      <c r="C76" s="60"/>
      <c r="D76" s="72"/>
      <c r="E76" s="72"/>
      <c r="F76" s="72"/>
      <c r="G76" s="72"/>
      <c r="H76" s="72"/>
      <c r="I76" s="72"/>
      <c r="J76" s="72"/>
      <c r="K76" s="72"/>
      <c r="L76" s="72"/>
      <c r="M76" s="72"/>
      <c r="N76" s="72"/>
      <c r="O76" s="72"/>
      <c r="P76" s="72"/>
      <c r="Q76" s="72"/>
      <c r="R76" s="72"/>
      <c r="S76" s="72"/>
      <c r="T76" s="72"/>
      <c r="U76" s="72"/>
      <c r="V76" s="72"/>
      <c r="W76" s="72"/>
      <c r="X76" s="72"/>
      <c r="Y76" s="72"/>
      <c r="Z76" s="72"/>
      <c r="AA76" s="72"/>
      <c r="AB76" s="118"/>
      <c r="AC76" s="72"/>
      <c r="AD76" s="117"/>
      <c r="AE76" s="72"/>
      <c r="AF76" s="72"/>
      <c r="AG76" s="72"/>
      <c r="AH76" s="72"/>
      <c r="AI76" s="72"/>
      <c r="AJ76" s="72"/>
      <c r="AK76" s="72"/>
      <c r="AL76" s="72"/>
      <c r="AM76" s="72" t="str">
        <f>'Sprachen &amp; Rückgabewerte(5)'!H74</f>
        <v>L=112mm</v>
      </c>
      <c r="AN76" s="383"/>
      <c r="AO76" s="382"/>
      <c r="AP76" s="384"/>
      <c r="AQ76" s="72" t="str">
        <f>'Sprachen &amp; Rückgabewerte(5)'!$H$180</f>
        <v>VE</v>
      </c>
      <c r="AR76" s="72"/>
      <c r="AS76" s="72"/>
      <c r="AT76" s="110"/>
      <c r="AU76" s="110"/>
      <c r="AW76" s="320"/>
      <c r="AX76" s="320"/>
    </row>
    <row r="77" spans="2:50" ht="12.75" customHeight="1" x14ac:dyDescent="0.2">
      <c r="B77" s="60"/>
      <c r="C77" s="60"/>
      <c r="D77" s="72"/>
      <c r="E77" s="72"/>
      <c r="F77" s="72"/>
      <c r="G77" s="72"/>
      <c r="H77" s="72"/>
      <c r="I77" s="72"/>
      <c r="J77" s="72"/>
      <c r="K77" s="72"/>
      <c r="L77" s="72"/>
      <c r="M77" s="72"/>
      <c r="N77" s="72"/>
      <c r="O77" s="72"/>
      <c r="P77" s="72"/>
      <c r="Q77" s="72"/>
      <c r="R77" s="72"/>
      <c r="S77" s="72"/>
      <c r="T77" s="72"/>
      <c r="U77" s="72"/>
      <c r="V77" s="72"/>
      <c r="W77" s="72"/>
      <c r="X77" s="72"/>
      <c r="Y77" s="72"/>
      <c r="Z77" s="72"/>
      <c r="AA77" s="72"/>
      <c r="AB77" s="118"/>
      <c r="AC77" s="72"/>
      <c r="AD77" s="117"/>
      <c r="AE77" s="81" t="str">
        <f>'Sprachen &amp; Rückgabewerte(5)'!$H$76</f>
        <v>Sockelbefestigung:</v>
      </c>
      <c r="AF77" s="81"/>
      <c r="AG77" s="72"/>
      <c r="AH77" s="72"/>
      <c r="AI77" s="72"/>
      <c r="AJ77" s="72"/>
      <c r="AK77" s="72"/>
      <c r="AL77" s="72"/>
      <c r="AM77" s="72"/>
      <c r="AN77" s="72"/>
      <c r="AO77" s="72"/>
      <c r="AP77" s="72"/>
      <c r="AQ77" s="72"/>
      <c r="AR77" s="72"/>
      <c r="AS77" s="72"/>
      <c r="AT77" s="110"/>
      <c r="AU77" s="110"/>
      <c r="AW77" s="321"/>
      <c r="AX77" s="321"/>
    </row>
    <row r="78" spans="2:50" ht="12.75" customHeight="1" x14ac:dyDescent="0.2">
      <c r="B78" s="60"/>
      <c r="C78" s="60"/>
      <c r="D78" s="72"/>
      <c r="E78" s="72"/>
      <c r="F78" s="72"/>
      <c r="G78" s="72"/>
      <c r="H78" s="72"/>
      <c r="I78" s="72"/>
      <c r="J78" s="72"/>
      <c r="K78" s="72"/>
      <c r="L78" s="72"/>
      <c r="M78" s="72"/>
      <c r="N78" s="72"/>
      <c r="O78" s="72"/>
      <c r="P78" s="72"/>
      <c r="Q78" s="72"/>
      <c r="R78" s="72"/>
      <c r="S78" s="72"/>
      <c r="T78" s="72"/>
      <c r="U78" s="72"/>
      <c r="V78" s="72"/>
      <c r="W78" s="72"/>
      <c r="X78" s="72"/>
      <c r="Y78" s="72"/>
      <c r="Z78" s="72"/>
      <c r="AA78" s="72"/>
      <c r="AB78" s="118"/>
      <c r="AC78" s="72"/>
      <c r="AD78" s="117"/>
      <c r="AE78" s="72" t="str">
        <f>'Sprachen &amp; Rückgabewerte(5)'!$H$77</f>
        <v>Verstellschrauben M10 x</v>
      </c>
      <c r="AF78" s="72"/>
      <c r="AG78" s="72"/>
      <c r="AH78" s="72"/>
      <c r="AI78" s="72"/>
      <c r="AJ78" s="72"/>
      <c r="AK78" s="72"/>
      <c r="AL78" s="72"/>
      <c r="AM78" s="72"/>
      <c r="AN78" s="606"/>
      <c r="AO78" s="606"/>
      <c r="AP78" s="606"/>
      <c r="AQ78" s="72"/>
      <c r="AR78" s="72"/>
      <c r="AS78" s="72"/>
      <c r="AT78" s="110"/>
      <c r="AU78" s="110"/>
      <c r="AW78" s="321"/>
      <c r="AX78" s="321"/>
    </row>
    <row r="79" spans="2:50" ht="12.75" customHeight="1" x14ac:dyDescent="0.2">
      <c r="B79" s="60"/>
      <c r="C79" s="60"/>
      <c r="D79" s="72"/>
      <c r="E79" s="72"/>
      <c r="F79" s="72"/>
      <c r="G79" s="72"/>
      <c r="H79" s="72"/>
      <c r="I79" s="72"/>
      <c r="J79" s="72"/>
      <c r="K79" s="72"/>
      <c r="L79" s="72"/>
      <c r="M79" s="72"/>
      <c r="N79" s="72"/>
      <c r="O79" s="72"/>
      <c r="P79" s="72"/>
      <c r="Q79" s="72"/>
      <c r="R79" s="72"/>
      <c r="S79" s="72"/>
      <c r="T79" s="72"/>
      <c r="U79" s="72"/>
      <c r="V79" s="72"/>
      <c r="W79" s="72"/>
      <c r="X79" s="72"/>
      <c r="Y79" s="72"/>
      <c r="Z79" s="72"/>
      <c r="AA79" s="72"/>
      <c r="AB79" s="118"/>
      <c r="AC79" s="72"/>
      <c r="AD79" s="117"/>
      <c r="AE79" s="72" t="str">
        <f>'Sprachen &amp; Rückgabewerte(5)'!$H$52</f>
        <v>Standardgrundplatten:</v>
      </c>
      <c r="AF79" s="72"/>
      <c r="AG79" s="72"/>
      <c r="AH79" s="72"/>
      <c r="AI79" s="72"/>
      <c r="AJ79" s="72"/>
      <c r="AK79" s="72"/>
      <c r="AL79" s="72"/>
      <c r="AM79" s="72"/>
      <c r="AN79" s="606"/>
      <c r="AO79" s="606"/>
      <c r="AP79" s="606"/>
      <c r="AQ79" s="72"/>
      <c r="AR79" s="72"/>
      <c r="AS79" s="72"/>
      <c r="AT79" s="110"/>
      <c r="AU79" s="110"/>
      <c r="AW79" s="321"/>
      <c r="AX79" s="321"/>
    </row>
    <row r="80" spans="2:50" ht="12" customHeight="1" thickBot="1" x14ac:dyDescent="0.25">
      <c r="B80" s="60"/>
      <c r="C80" s="60"/>
      <c r="D80" s="72"/>
      <c r="E80" s="72"/>
      <c r="F80" s="72"/>
      <c r="G80" s="72"/>
      <c r="H80" s="72"/>
      <c r="I80" s="72"/>
      <c r="J80" s="72"/>
      <c r="K80" s="72"/>
      <c r="L80" s="72"/>
      <c r="M80" s="72"/>
      <c r="N80" s="72"/>
      <c r="O80" s="72"/>
      <c r="P80" s="72"/>
      <c r="Q80" s="72"/>
      <c r="R80" s="72"/>
      <c r="S80" s="72"/>
      <c r="T80" s="72"/>
      <c r="U80" s="72"/>
      <c r="V80" s="72"/>
      <c r="W80" s="72"/>
      <c r="X80" s="72"/>
      <c r="Y80" s="72"/>
      <c r="Z80" s="72"/>
      <c r="AA80" s="72"/>
      <c r="AB80" s="118"/>
      <c r="AC80" s="72"/>
      <c r="AD80" s="117"/>
      <c r="AE80" s="182" t="str">
        <f>'Sprachen &amp; Rückgabewerte(5)'!$H$84</f>
        <v>Rahmenzusammenbau:</v>
      </c>
      <c r="AF80" s="72"/>
      <c r="AG80" s="72"/>
      <c r="AH80" s="72"/>
      <c r="AI80" s="72"/>
      <c r="AJ80" s="72"/>
      <c r="AK80" s="72"/>
      <c r="AL80" s="72"/>
      <c r="AM80" s="72"/>
      <c r="AN80" s="607"/>
      <c r="AO80" s="608"/>
      <c r="AP80" s="608"/>
      <c r="AQ80" s="608"/>
      <c r="AR80" s="608"/>
      <c r="AS80" s="609"/>
      <c r="AT80" s="110"/>
      <c r="AU80" s="319"/>
      <c r="AV80" s="84"/>
      <c r="AW80" s="322"/>
      <c r="AX80" s="322"/>
    </row>
    <row r="81" spans="2:50" ht="12.75" customHeight="1" x14ac:dyDescent="0.2">
      <c r="B81" s="60"/>
      <c r="C81" s="60"/>
      <c r="D81" s="72"/>
      <c r="E81" s="72"/>
      <c r="F81" s="72"/>
      <c r="G81" s="72"/>
      <c r="H81" s="72"/>
      <c r="I81" s="72"/>
      <c r="J81" s="72"/>
      <c r="K81" s="72"/>
      <c r="L81" s="72"/>
      <c r="M81" s="72"/>
      <c r="N81" s="72"/>
      <c r="O81" s="72"/>
      <c r="P81" s="72"/>
      <c r="Q81" s="72"/>
      <c r="R81" s="72"/>
      <c r="S81" s="72"/>
      <c r="T81" s="72"/>
      <c r="U81" s="72"/>
      <c r="V81" s="72"/>
      <c r="W81" s="72"/>
      <c r="X81" s="72"/>
      <c r="Y81" s="72"/>
      <c r="Z81" s="72"/>
      <c r="AA81" s="72"/>
      <c r="AB81" s="118"/>
      <c r="AC81" s="72"/>
      <c r="AD81" s="119"/>
      <c r="AE81" s="120"/>
      <c r="AF81" s="120"/>
      <c r="AG81" s="120"/>
      <c r="AH81" s="120"/>
      <c r="AI81" s="120"/>
      <c r="AJ81" s="120"/>
      <c r="AK81" s="120"/>
      <c r="AL81" s="120"/>
      <c r="AM81" s="120"/>
      <c r="AN81" s="120"/>
      <c r="AO81" s="120"/>
      <c r="AP81" s="120"/>
      <c r="AQ81" s="120"/>
      <c r="AR81" s="120"/>
      <c r="AS81" s="120"/>
      <c r="AT81" s="111"/>
      <c r="AU81" s="110"/>
    </row>
    <row r="82" spans="2:50" ht="12.75" customHeight="1" x14ac:dyDescent="0.2">
      <c r="B82" s="60"/>
      <c r="C82" s="60"/>
      <c r="D82" s="72"/>
      <c r="E82" s="72"/>
      <c r="F82" s="72"/>
      <c r="G82" s="72"/>
      <c r="H82" s="72"/>
      <c r="I82" s="72"/>
      <c r="J82" s="72"/>
      <c r="K82" s="72"/>
      <c r="L82" s="72"/>
      <c r="M82" s="72"/>
      <c r="N82" s="72"/>
      <c r="O82" s="72"/>
      <c r="P82" s="72"/>
      <c r="Q82" s="72"/>
      <c r="R82" s="72"/>
      <c r="S82" s="72"/>
      <c r="T82" s="72"/>
      <c r="U82" s="72"/>
      <c r="V82" s="72"/>
      <c r="W82" s="72"/>
      <c r="X82" s="72"/>
      <c r="Y82" s="72"/>
      <c r="Z82" s="72"/>
      <c r="AA82" s="72"/>
      <c r="AB82" s="118"/>
      <c r="AC82" s="72"/>
      <c r="AD82" s="72"/>
      <c r="AE82" s="72"/>
      <c r="AF82" s="72"/>
      <c r="AG82" s="72"/>
      <c r="AH82" s="72"/>
      <c r="AI82" s="72"/>
      <c r="AJ82" s="72"/>
      <c r="AK82" s="72"/>
      <c r="AL82" s="72"/>
      <c r="AM82" s="72"/>
      <c r="AN82" s="72"/>
      <c r="AO82" s="72"/>
      <c r="AP82" s="72"/>
      <c r="AQ82" s="72"/>
      <c r="AR82" s="72"/>
      <c r="AS82" s="72"/>
      <c r="AT82" s="61"/>
      <c r="AU82" s="110"/>
    </row>
    <row r="83" spans="2:50" ht="12.75" customHeight="1" x14ac:dyDescent="0.2">
      <c r="B83" s="60"/>
      <c r="C83" s="60"/>
      <c r="D83" s="72"/>
      <c r="E83" s="72"/>
      <c r="F83" s="72"/>
      <c r="G83" s="72"/>
      <c r="H83" s="72"/>
      <c r="I83" s="72"/>
      <c r="J83" s="72"/>
      <c r="K83" s="72"/>
      <c r="L83" s="72"/>
      <c r="M83" s="72"/>
      <c r="N83" s="72"/>
      <c r="O83" s="72"/>
      <c r="P83" s="72"/>
      <c r="Q83" s="72"/>
      <c r="R83" s="72"/>
      <c r="S83" s="72"/>
      <c r="T83" s="72"/>
      <c r="U83" s="72"/>
      <c r="V83" s="72"/>
      <c r="W83" s="72"/>
      <c r="X83" s="72"/>
      <c r="Y83" s="72"/>
      <c r="Z83" s="72"/>
      <c r="AA83" s="72"/>
      <c r="AB83" s="118"/>
      <c r="AC83" s="72"/>
      <c r="AD83" s="114"/>
      <c r="AE83" s="116" t="str">
        <f>'Sprachen &amp; Rückgabewerte(5)'!$H$87</f>
        <v>Logistik:</v>
      </c>
      <c r="AF83" s="116"/>
      <c r="AG83" s="115"/>
      <c r="AH83" s="115"/>
      <c r="AI83" s="115"/>
      <c r="AJ83" s="115"/>
      <c r="AK83" s="115"/>
      <c r="AL83" s="115"/>
      <c r="AM83" s="115"/>
      <c r="AN83" s="116" t="str">
        <f>'Sprachen &amp; Rückgabewerte(5)'!$H$49</f>
        <v>Zubehör:</v>
      </c>
      <c r="AO83" s="115"/>
      <c r="AP83" s="115"/>
      <c r="AQ83" s="115"/>
      <c r="AR83" s="115"/>
      <c r="AS83" s="115"/>
      <c r="AT83" s="109"/>
      <c r="AU83" s="110"/>
    </row>
    <row r="84" spans="2:50" ht="12.75" customHeight="1" x14ac:dyDescent="0.2">
      <c r="B84" s="60"/>
      <c r="C84" s="60"/>
      <c r="D84" s="72"/>
      <c r="E84" s="72"/>
      <c r="F84" s="72"/>
      <c r="G84" s="72"/>
      <c r="H84" s="73" t="str">
        <f>'Sprachen &amp; Rückgabewerte(5)'!$B$45</f>
        <v>321801/321801</v>
      </c>
      <c r="I84" s="72"/>
      <c r="J84" s="72"/>
      <c r="K84" s="72"/>
      <c r="L84" s="72"/>
      <c r="M84" s="72"/>
      <c r="N84" s="61"/>
      <c r="O84" s="73" t="str">
        <f>'Sprachen &amp; Rückgabewerte(5)'!$B$46</f>
        <v>321801/322201</v>
      </c>
      <c r="P84" s="72"/>
      <c r="Q84" s="72"/>
      <c r="R84" s="72"/>
      <c r="S84" s="72"/>
      <c r="T84" s="72"/>
      <c r="U84" s="61"/>
      <c r="V84" s="73" t="str">
        <f>'Sprachen &amp; Rückgabewerte(5)'!$B$47</f>
        <v>322201/322201</v>
      </c>
      <c r="W84" s="72"/>
      <c r="X84" s="72"/>
      <c r="Y84" s="72"/>
      <c r="Z84" s="72"/>
      <c r="AA84" s="72"/>
      <c r="AB84" s="118"/>
      <c r="AC84" s="72"/>
      <c r="AD84" s="117"/>
      <c r="AE84" s="550"/>
      <c r="AF84" s="614"/>
      <c r="AG84" s="614"/>
      <c r="AH84" s="614"/>
      <c r="AI84" s="614"/>
      <c r="AJ84" s="614"/>
      <c r="AK84" s="614"/>
      <c r="AL84" s="551"/>
      <c r="AM84" s="72"/>
      <c r="AN84" s="72"/>
      <c r="AO84" s="72" t="str">
        <f>'Sprachen &amp; Rückgabewerte(5)'!$H$50</f>
        <v>Rinne (siehe unten)</v>
      </c>
      <c r="AP84" s="72"/>
      <c r="AQ84" s="72"/>
      <c r="AR84" s="72"/>
      <c r="AS84" s="72"/>
      <c r="AT84" s="110"/>
      <c r="AU84" s="199"/>
      <c r="AV84" s="199"/>
    </row>
    <row r="85" spans="2:50" ht="12.75" customHeight="1" x14ac:dyDescent="0.2">
      <c r="B85" s="60"/>
      <c r="C85" s="60"/>
      <c r="D85" s="72"/>
      <c r="E85" s="72"/>
      <c r="F85" s="72"/>
      <c r="G85" s="72"/>
      <c r="H85" s="699"/>
      <c r="I85" s="700"/>
      <c r="J85" s="700"/>
      <c r="K85" s="701"/>
      <c r="L85" s="72"/>
      <c r="M85" s="72"/>
      <c r="N85" s="72"/>
      <c r="O85" s="699"/>
      <c r="P85" s="700"/>
      <c r="Q85" s="700"/>
      <c r="R85" s="701"/>
      <c r="S85" s="72"/>
      <c r="T85" s="72"/>
      <c r="U85" s="72"/>
      <c r="V85" s="699"/>
      <c r="W85" s="700"/>
      <c r="X85" s="700"/>
      <c r="Y85" s="701"/>
      <c r="Z85" s="72"/>
      <c r="AA85" s="72"/>
      <c r="AB85" s="118"/>
      <c r="AC85" s="72"/>
      <c r="AD85" s="117"/>
      <c r="AE85" s="615"/>
      <c r="AF85" s="615"/>
      <c r="AG85" s="615"/>
      <c r="AH85" s="615"/>
      <c r="AI85" s="615"/>
      <c r="AJ85" s="615"/>
      <c r="AK85" s="615"/>
      <c r="AL85" s="615"/>
      <c r="AM85" s="72"/>
      <c r="AN85" s="72"/>
      <c r="AO85" s="72" t="str">
        <f>'Sprachen &amp; Rückgabewerte(5)'!$H$51</f>
        <v>Wetterschenkel</v>
      </c>
      <c r="AP85" s="72"/>
      <c r="AQ85" s="72"/>
      <c r="AR85" s="72"/>
      <c r="AS85" s="72"/>
      <c r="AT85" s="110"/>
      <c r="AU85" s="110"/>
      <c r="AV85" s="220"/>
    </row>
    <row r="86" spans="2:50" ht="12.75" customHeight="1" x14ac:dyDescent="0.2">
      <c r="B86" s="60"/>
      <c r="C86" s="60"/>
      <c r="D86" s="61"/>
      <c r="E86" s="61"/>
      <c r="F86" s="61"/>
      <c r="G86" s="61"/>
      <c r="H86" s="61"/>
      <c r="I86" s="61"/>
      <c r="J86" s="61"/>
      <c r="K86" s="61"/>
      <c r="L86" s="61"/>
      <c r="M86" s="61"/>
      <c r="N86" s="61"/>
      <c r="O86" s="61"/>
      <c r="P86" s="61"/>
      <c r="Q86" s="61"/>
      <c r="R86" s="61"/>
      <c r="S86" s="61"/>
      <c r="T86" s="61"/>
      <c r="U86" s="61"/>
      <c r="V86" s="61"/>
      <c r="W86" s="61"/>
      <c r="X86" s="61"/>
      <c r="Y86" s="61"/>
      <c r="Z86" s="61"/>
      <c r="AA86" s="61"/>
      <c r="AB86" s="110"/>
      <c r="AC86" s="61"/>
      <c r="AD86" s="60"/>
      <c r="AE86" s="61"/>
      <c r="AF86" s="61"/>
      <c r="AG86" s="61"/>
      <c r="AH86" s="61"/>
      <c r="AI86" s="61"/>
      <c r="AJ86" s="61"/>
      <c r="AK86" s="61"/>
      <c r="AL86" s="61"/>
      <c r="AM86" s="61"/>
      <c r="AN86" s="61"/>
      <c r="AO86" s="61" t="str">
        <f>IF('Sprachen &amp; Rückgabewerte(5)'!$I$51=TRUE,"L=","")</f>
        <v/>
      </c>
      <c r="AP86" s="605"/>
      <c r="AQ86" s="605"/>
      <c r="AR86" s="605"/>
      <c r="AS86" s="61" t="str">
        <f>IF('Sprachen &amp; Rückgabewerte(5)'!$I$51=TRUE,"mm","")</f>
        <v/>
      </c>
      <c r="AT86" s="110"/>
      <c r="AU86" s="110"/>
      <c r="AV86" s="220"/>
    </row>
    <row r="87" spans="2:50" ht="12.75" customHeight="1" x14ac:dyDescent="0.2">
      <c r="B87" s="60"/>
      <c r="C87" s="60"/>
      <c r="D87" s="61"/>
      <c r="E87" s="61"/>
      <c r="F87" s="61"/>
      <c r="G87" s="61"/>
      <c r="H87" s="61"/>
      <c r="I87" s="61"/>
      <c r="J87" s="61"/>
      <c r="K87" s="61"/>
      <c r="L87" s="61"/>
      <c r="M87" s="61"/>
      <c r="N87" s="61"/>
      <c r="O87" s="61"/>
      <c r="P87" s="61"/>
      <c r="Q87" s="61"/>
      <c r="R87" s="61"/>
      <c r="S87" s="61"/>
      <c r="T87" s="61"/>
      <c r="U87" s="61"/>
      <c r="V87" s="61"/>
      <c r="W87" s="61"/>
      <c r="X87" s="61"/>
      <c r="Y87" s="61"/>
      <c r="Z87" s="712" t="str">
        <f>'Sprachen &amp; Rückgabewerte(5)'!$H$118</f>
        <v>Standard (RC2 in Anlehnung)</v>
      </c>
      <c r="AA87" s="712"/>
      <c r="AB87" s="713"/>
      <c r="AC87" s="61"/>
      <c r="AD87" s="60"/>
      <c r="AE87" s="313" t="str">
        <f>'Sprachen &amp; Rückgabewerte(5)'!$H$47</f>
        <v>Windlast:</v>
      </c>
      <c r="AF87" s="81"/>
      <c r="AG87" s="149"/>
      <c r="AH87" s="61"/>
      <c r="AI87" s="61"/>
      <c r="AJ87" s="61"/>
      <c r="AK87" s="61"/>
      <c r="AL87" s="61"/>
      <c r="AM87" s="583"/>
      <c r="AN87" s="584"/>
      <c r="AO87" s="585"/>
      <c r="AP87" s="314" t="s">
        <v>704</v>
      </c>
      <c r="AS87" s="178"/>
      <c r="AT87" s="110"/>
      <c r="AU87" s="110"/>
      <c r="AV87" s="220"/>
    </row>
    <row r="88" spans="2:50" ht="12.75" customHeight="1" x14ac:dyDescent="0.2">
      <c r="B88" s="60"/>
      <c r="C88" s="60"/>
      <c r="D88" s="61"/>
      <c r="E88" s="61"/>
      <c r="F88" s="61"/>
      <c r="G88" s="61"/>
      <c r="H88" s="61"/>
      <c r="I88" s="61"/>
      <c r="J88" s="61"/>
      <c r="K88" s="61"/>
      <c r="L88" s="61"/>
      <c r="M88" s="61"/>
      <c r="N88" s="61"/>
      <c r="O88" s="61"/>
      <c r="P88" s="61"/>
      <c r="Q88" s="61"/>
      <c r="R88" s="61"/>
      <c r="S88" s="61"/>
      <c r="T88" s="61"/>
      <c r="U88" s="61"/>
      <c r="V88" s="61"/>
      <c r="W88" s="61"/>
      <c r="X88" s="61"/>
      <c r="Y88" s="61"/>
      <c r="Z88" s="712"/>
      <c r="AA88" s="712"/>
      <c r="AB88" s="713"/>
      <c r="AC88" s="61"/>
      <c r="AD88" s="60"/>
      <c r="AE88" s="182" t="str">
        <f>'Sprachen &amp; Rückgabewerte(5)'!$H$90</f>
        <v>Wunschtermin:</v>
      </c>
      <c r="AF88" s="312"/>
      <c r="AG88" s="312"/>
      <c r="AH88" s="312"/>
      <c r="AI88" s="312"/>
      <c r="AJ88" s="312"/>
      <c r="AK88" s="312"/>
      <c r="AL88" s="312"/>
      <c r="AM88" s="578"/>
      <c r="AN88" s="579"/>
      <c r="AO88" s="579"/>
      <c r="AP88" s="580"/>
      <c r="AQ88" s="580"/>
      <c r="AR88" s="581"/>
      <c r="AS88" s="312"/>
      <c r="AT88" s="110"/>
      <c r="AU88" s="110"/>
      <c r="AV88" s="220"/>
    </row>
    <row r="89" spans="2:50" ht="12.75" customHeight="1" x14ac:dyDescent="0.2">
      <c r="B89" s="60"/>
      <c r="C89" s="60"/>
      <c r="D89" s="61"/>
      <c r="E89" s="61"/>
      <c r="F89" s="61"/>
      <c r="G89" s="61"/>
      <c r="H89" s="61"/>
      <c r="I89" s="61"/>
      <c r="J89" s="61"/>
      <c r="K89" s="61"/>
      <c r="L89" s="61"/>
      <c r="M89" s="61"/>
      <c r="N89" s="61"/>
      <c r="O89" s="61"/>
      <c r="P89" s="61"/>
      <c r="Q89" s="61"/>
      <c r="R89" s="61"/>
      <c r="S89" s="61"/>
      <c r="T89" s="61"/>
      <c r="U89" s="61"/>
      <c r="V89" s="61"/>
      <c r="W89" s="61"/>
      <c r="X89" s="61"/>
      <c r="Y89" s="61"/>
      <c r="Z89" s="712"/>
      <c r="AA89" s="712"/>
      <c r="AB89" s="713"/>
      <c r="AC89" s="61"/>
      <c r="AD89" s="60"/>
      <c r="AF89" s="312"/>
      <c r="AG89" s="312"/>
      <c r="AH89" s="312"/>
      <c r="AI89" s="312"/>
      <c r="AJ89" s="312"/>
      <c r="AK89" s="312"/>
      <c r="AL89" s="312"/>
      <c r="AS89" s="312"/>
      <c r="AT89" s="110"/>
      <c r="AU89" s="110"/>
      <c r="AV89" s="220"/>
    </row>
    <row r="90" spans="2:50" ht="12.75" customHeight="1" x14ac:dyDescent="0.2">
      <c r="B90" s="60"/>
      <c r="C90" s="60"/>
      <c r="D90" s="61"/>
      <c r="E90" s="61"/>
      <c r="F90" s="61"/>
      <c r="G90" s="61"/>
      <c r="H90" s="61"/>
      <c r="I90" s="61"/>
      <c r="J90" s="61"/>
      <c r="K90" s="61"/>
      <c r="L90" s="61"/>
      <c r="M90" s="61"/>
      <c r="N90" s="61"/>
      <c r="O90" s="61"/>
      <c r="P90" s="61"/>
      <c r="Q90" s="61"/>
      <c r="R90" s="61"/>
      <c r="S90" s="61"/>
      <c r="T90" s="61"/>
      <c r="U90" s="61"/>
      <c r="V90" s="150" t="str">
        <f>'Sprachen &amp; Rückgabewerte(5)'!$H$116</f>
        <v>Ganzglas-Ecke</v>
      </c>
      <c r="W90" s="61"/>
      <c r="X90" s="61"/>
      <c r="Y90" s="61"/>
      <c r="Z90" s="61"/>
      <c r="AA90" s="61"/>
      <c r="AB90" s="110"/>
      <c r="AC90" s="61"/>
      <c r="AD90" s="60"/>
      <c r="AE90" s="582" t="str">
        <f>'Sprachen &amp; Rückgabewerte(5)'!$H$102</f>
        <v>Diese Bestellung ist verbindlich und muss komplett ausgefüllt werden. Änderungen werden als Mehraufwand verrechnet.</v>
      </c>
      <c r="AF90" s="582"/>
      <c r="AG90" s="582"/>
      <c r="AH90" s="582"/>
      <c r="AI90" s="582"/>
      <c r="AJ90" s="582"/>
      <c r="AK90" s="582"/>
      <c r="AL90" s="582"/>
      <c r="AM90" s="582"/>
      <c r="AN90" s="582"/>
      <c r="AO90" s="582"/>
      <c r="AP90" s="582"/>
      <c r="AQ90" s="582"/>
      <c r="AR90" s="582"/>
      <c r="AS90" s="582"/>
      <c r="AT90" s="110"/>
      <c r="AU90" s="110"/>
      <c r="AV90" s="220"/>
    </row>
    <row r="91" spans="2:50" ht="12.75" customHeight="1" x14ac:dyDescent="0.2">
      <c r="B91" s="60"/>
      <c r="C91" s="60"/>
      <c r="D91" s="61"/>
      <c r="E91" s="61"/>
      <c r="F91" s="61"/>
      <c r="G91" s="61"/>
      <c r="H91" s="61"/>
      <c r="I91" s="61"/>
      <c r="J91" s="61"/>
      <c r="K91" s="61"/>
      <c r="L91" s="61"/>
      <c r="M91" s="61"/>
      <c r="N91" s="61"/>
      <c r="O91" s="61"/>
      <c r="P91" s="61"/>
      <c r="Q91" s="61"/>
      <c r="R91" s="61"/>
      <c r="S91" s="61"/>
      <c r="T91" s="61"/>
      <c r="U91" s="61"/>
      <c r="V91" s="61"/>
      <c r="W91" s="61"/>
      <c r="X91" s="61"/>
      <c r="Y91" s="61"/>
      <c r="Z91" s="714" t="str">
        <f>'Sprachen &amp; Rückgabewerte(5)'!$H$119</f>
        <v>RC2 mit Blech</v>
      </c>
      <c r="AA91" s="714"/>
      <c r="AB91" s="715"/>
      <c r="AC91" s="61"/>
      <c r="AD91" s="60"/>
      <c r="AE91" s="582"/>
      <c r="AF91" s="582"/>
      <c r="AG91" s="582"/>
      <c r="AH91" s="582"/>
      <c r="AI91" s="582"/>
      <c r="AJ91" s="582"/>
      <c r="AK91" s="582"/>
      <c r="AL91" s="582"/>
      <c r="AM91" s="582"/>
      <c r="AN91" s="582"/>
      <c r="AO91" s="582"/>
      <c r="AP91" s="582"/>
      <c r="AQ91" s="582"/>
      <c r="AR91" s="582"/>
      <c r="AS91" s="582"/>
      <c r="AT91" s="110"/>
      <c r="AU91" s="110"/>
      <c r="AV91" s="220"/>
    </row>
    <row r="92" spans="2:50" ht="12.75" customHeight="1" x14ac:dyDescent="0.2">
      <c r="B92" s="60"/>
      <c r="C92" s="60"/>
      <c r="D92" s="61"/>
      <c r="E92" s="61"/>
      <c r="F92" s="61"/>
      <c r="G92" s="61"/>
      <c r="H92" s="61"/>
      <c r="I92" s="61"/>
      <c r="J92" s="61"/>
      <c r="K92" s="61"/>
      <c r="L92" s="61"/>
      <c r="M92" s="61"/>
      <c r="N92" s="61"/>
      <c r="O92" s="61"/>
      <c r="P92" s="61"/>
      <c r="Q92" s="61"/>
      <c r="R92" s="61"/>
      <c r="S92" s="61"/>
      <c r="T92" s="61"/>
      <c r="U92" s="61"/>
      <c r="V92" s="61"/>
      <c r="W92" s="61"/>
      <c r="X92" s="61"/>
      <c r="Y92" s="61"/>
      <c r="Z92" s="714"/>
      <c r="AA92" s="714"/>
      <c r="AB92" s="715"/>
      <c r="AC92" s="61"/>
      <c r="AD92" s="60"/>
      <c r="AE92" s="582"/>
      <c r="AF92" s="582"/>
      <c r="AG92" s="582"/>
      <c r="AH92" s="582"/>
      <c r="AI92" s="582"/>
      <c r="AJ92" s="582"/>
      <c r="AK92" s="582"/>
      <c r="AL92" s="582"/>
      <c r="AM92" s="582"/>
      <c r="AN92" s="582"/>
      <c r="AO92" s="582"/>
      <c r="AP92" s="582"/>
      <c r="AQ92" s="582"/>
      <c r="AR92" s="582"/>
      <c r="AS92" s="582"/>
      <c r="AT92" s="110"/>
      <c r="AU92" s="110"/>
      <c r="AV92" s="220"/>
    </row>
    <row r="93" spans="2:50" ht="12.75" customHeight="1" x14ac:dyDescent="0.2">
      <c r="B93" s="60"/>
      <c r="C93" s="60"/>
      <c r="D93" s="61"/>
      <c r="E93" s="61"/>
      <c r="F93" s="61"/>
      <c r="G93" s="61"/>
      <c r="H93" s="61"/>
      <c r="I93" s="61"/>
      <c r="J93" s="61"/>
      <c r="K93" s="61"/>
      <c r="L93" s="61"/>
      <c r="M93" s="61"/>
      <c r="N93" s="61"/>
      <c r="O93" s="61"/>
      <c r="P93" s="61"/>
      <c r="Q93" s="61"/>
      <c r="R93" s="61"/>
      <c r="S93" s="61"/>
      <c r="T93" s="61"/>
      <c r="U93" s="61"/>
      <c r="V93" s="61"/>
      <c r="W93" s="61"/>
      <c r="X93" s="61"/>
      <c r="Y93" s="61"/>
      <c r="Z93" s="714"/>
      <c r="AA93" s="714"/>
      <c r="AB93" s="715"/>
      <c r="AC93" s="61"/>
      <c r="AD93" s="68"/>
      <c r="AE93" s="84"/>
      <c r="AF93" s="84"/>
      <c r="AG93" s="84"/>
      <c r="AH93" s="84"/>
      <c r="AI93" s="84"/>
      <c r="AJ93" s="84"/>
      <c r="AK93" s="84"/>
      <c r="AL93" s="84"/>
      <c r="AM93" s="84"/>
      <c r="AN93" s="84"/>
      <c r="AO93" s="84"/>
      <c r="AP93" s="84"/>
      <c r="AQ93" s="84"/>
      <c r="AR93" s="84"/>
      <c r="AS93" s="84"/>
      <c r="AT93" s="111"/>
      <c r="AU93" s="110"/>
      <c r="AV93" s="220"/>
    </row>
    <row r="94" spans="2:50" ht="12.75" customHeight="1" x14ac:dyDescent="0.2">
      <c r="B94" s="60"/>
      <c r="C94" s="60"/>
      <c r="D94" s="61"/>
      <c r="E94" s="61"/>
      <c r="F94" s="61"/>
      <c r="G94" s="61"/>
      <c r="H94" s="61"/>
      <c r="I94" s="61"/>
      <c r="J94" s="61"/>
      <c r="K94" s="61"/>
      <c r="L94" s="61"/>
      <c r="M94" s="61"/>
      <c r="N94" s="61"/>
      <c r="O94" s="61"/>
      <c r="P94" s="61"/>
      <c r="Q94" s="61"/>
      <c r="R94" s="61"/>
      <c r="S94" s="61"/>
      <c r="T94" s="61"/>
      <c r="U94" s="61"/>
      <c r="V94" s="61"/>
      <c r="W94" s="61"/>
      <c r="X94" s="61"/>
      <c r="Y94" s="61"/>
      <c r="Z94" s="61"/>
      <c r="AA94" s="61"/>
      <c r="AB94" s="110"/>
      <c r="AC94" s="61"/>
      <c r="AD94" s="61"/>
      <c r="AE94" s="61"/>
      <c r="AF94" s="61"/>
      <c r="AG94" s="61"/>
      <c r="AH94" s="61"/>
      <c r="AI94" s="61"/>
      <c r="AJ94" s="61"/>
      <c r="AK94" s="72"/>
      <c r="AL94" s="72"/>
      <c r="AM94" s="72"/>
      <c r="AN94" s="72"/>
      <c r="AO94" s="72"/>
      <c r="AP94" s="72"/>
      <c r="AQ94" s="72"/>
      <c r="AR94" s="61"/>
      <c r="AS94" s="61"/>
      <c r="AT94" s="61"/>
      <c r="AU94" s="110"/>
      <c r="AV94" s="220"/>
    </row>
    <row r="95" spans="2:50" ht="12.75" customHeight="1" x14ac:dyDescent="0.2">
      <c r="B95" s="60"/>
      <c r="C95" s="60"/>
      <c r="D95" s="61"/>
      <c r="E95" s="61"/>
      <c r="F95" s="61"/>
      <c r="G95" s="61"/>
      <c r="H95" s="150" t="str">
        <f>'Sprachen &amp; Rückgabewerte(5)'!$B$48</f>
        <v>310101/310301</v>
      </c>
      <c r="I95" s="61"/>
      <c r="J95" s="61"/>
      <c r="K95" s="61"/>
      <c r="L95" s="61"/>
      <c r="M95" s="61"/>
      <c r="N95" s="61"/>
      <c r="O95" s="150" t="str">
        <f>'Sprachen &amp; Rückgabewerte(5)'!$B$49</f>
        <v>310101/310501</v>
      </c>
      <c r="P95" s="61"/>
      <c r="Q95" s="61"/>
      <c r="R95" s="61"/>
      <c r="S95" s="61"/>
      <c r="T95" s="61"/>
      <c r="U95" s="61"/>
      <c r="W95" s="61"/>
      <c r="X95" s="61"/>
      <c r="Y95" s="61"/>
      <c r="Z95" s="61"/>
      <c r="AA95" s="61"/>
      <c r="AB95" s="110"/>
      <c r="AC95" s="61"/>
      <c r="AD95" s="107"/>
      <c r="AE95" s="115"/>
      <c r="AF95" s="115"/>
      <c r="AG95" s="115"/>
      <c r="AH95" s="115"/>
      <c r="AI95" s="115"/>
      <c r="AJ95" s="115"/>
      <c r="AK95" s="115"/>
      <c r="AL95" s="115"/>
      <c r="AM95" s="115"/>
      <c r="AN95" s="115"/>
      <c r="AO95" s="115"/>
      <c r="AP95" s="115"/>
      <c r="AQ95" s="115"/>
      <c r="AR95" s="115"/>
      <c r="AS95" s="115"/>
      <c r="AT95" s="409"/>
      <c r="AU95" s="110"/>
      <c r="AV95" s="220"/>
      <c r="AW95" s="411" t="str">
        <f>IF(OR(AQ96="",AQ96='Sprachen &amp; Rückgabewerte(5)'!H96),"",'Sprachen &amp; Rückgabewerte(5)'!H182)</f>
        <v/>
      </c>
    </row>
    <row r="96" spans="2:50" ht="12.75" customHeight="1" x14ac:dyDescent="0.2">
      <c r="B96" s="60"/>
      <c r="C96" s="60"/>
      <c r="D96" s="61"/>
      <c r="E96" s="61"/>
      <c r="F96" s="61"/>
      <c r="G96" s="61"/>
      <c r="H96" s="699"/>
      <c r="I96" s="700"/>
      <c r="J96" s="700"/>
      <c r="K96" s="701"/>
      <c r="L96" s="61"/>
      <c r="M96" s="61"/>
      <c r="N96" s="61"/>
      <c r="O96" s="711"/>
      <c r="P96" s="711"/>
      <c r="Q96" s="711"/>
      <c r="R96" s="711"/>
      <c r="S96" s="61"/>
      <c r="T96" s="61"/>
      <c r="U96" s="61"/>
      <c r="V96" s="150" t="str">
        <f>'Sprachen &amp; Rückgabewerte(5)'!$H$117</f>
        <v>Ecke RC2 (WK2)</v>
      </c>
      <c r="W96" s="61"/>
      <c r="X96" s="61"/>
      <c r="Y96" s="61"/>
      <c r="Z96" s="61"/>
      <c r="AA96" s="61"/>
      <c r="AB96" s="110"/>
      <c r="AC96" s="61"/>
      <c r="AD96" s="60"/>
      <c r="AE96" s="73" t="str">
        <f>'Sprachen &amp; Rückgabewerte(5)'!H181</f>
        <v>Sky-Frame Beratung vorhanden:</v>
      </c>
      <c r="AF96" s="72"/>
      <c r="AG96" s="72"/>
      <c r="AH96" s="72"/>
      <c r="AI96" s="72"/>
      <c r="AJ96" s="72"/>
      <c r="AK96" s="72"/>
      <c r="AL96" s="72"/>
      <c r="AM96" s="72"/>
      <c r="AN96" s="72"/>
      <c r="AO96" s="72"/>
      <c r="AP96" s="72"/>
      <c r="AQ96" s="594"/>
      <c r="AR96" s="595"/>
      <c r="AS96" s="412"/>
      <c r="AT96" s="410"/>
      <c r="AU96" s="111"/>
      <c r="AV96" s="413"/>
      <c r="AW96" s="596"/>
      <c r="AX96" s="597"/>
    </row>
    <row r="97" spans="2:48" ht="12.75" customHeight="1" x14ac:dyDescent="0.2">
      <c r="B97" s="60"/>
      <c r="C97" s="68"/>
      <c r="D97" s="84"/>
      <c r="E97" s="84"/>
      <c r="F97" s="84"/>
      <c r="G97" s="84"/>
      <c r="H97" s="84"/>
      <c r="I97" s="84"/>
      <c r="J97" s="84"/>
      <c r="K97" s="84"/>
      <c r="L97" s="84"/>
      <c r="M97" s="84"/>
      <c r="N97" s="84"/>
      <c r="O97" s="84"/>
      <c r="P97" s="84"/>
      <c r="Q97" s="84"/>
      <c r="R97" s="84"/>
      <c r="S97" s="84"/>
      <c r="T97" s="84"/>
      <c r="U97" s="84"/>
      <c r="V97" s="560"/>
      <c r="W97" s="561"/>
      <c r="X97" s="561"/>
      <c r="Y97" s="562"/>
      <c r="Z97" s="84"/>
      <c r="AA97" s="84"/>
      <c r="AB97" s="111"/>
      <c r="AC97" s="61"/>
      <c r="AD97" s="68"/>
      <c r="AE97" s="120"/>
      <c r="AF97" s="120"/>
      <c r="AG97" s="120"/>
      <c r="AH97" s="120"/>
      <c r="AI97" s="120"/>
      <c r="AJ97" s="120"/>
      <c r="AK97" s="120"/>
      <c r="AL97" s="120"/>
      <c r="AM97" s="120"/>
      <c r="AN97" s="120"/>
      <c r="AO97" s="120"/>
      <c r="AP97" s="120"/>
      <c r="AQ97" s="120"/>
      <c r="AR97" s="120"/>
      <c r="AS97" s="120"/>
      <c r="AT97" s="410"/>
      <c r="AU97" s="110"/>
      <c r="AV97" s="220"/>
    </row>
    <row r="98" spans="2:48" ht="19.5" customHeight="1" x14ac:dyDescent="0.2">
      <c r="B98" s="68"/>
      <c r="C98" s="710" t="s">
        <v>935</v>
      </c>
      <c r="D98" s="710"/>
      <c r="E98" s="710"/>
      <c r="F98" s="710"/>
      <c r="G98" s="710"/>
      <c r="H98" s="710"/>
      <c r="I98" s="710"/>
      <c r="J98" s="710"/>
      <c r="K98" s="710"/>
      <c r="L98" s="710"/>
      <c r="M98" s="710"/>
      <c r="N98" s="710"/>
      <c r="O98" s="710"/>
      <c r="P98" s="710"/>
      <c r="Q98" s="710"/>
      <c r="R98" s="710"/>
      <c r="S98" s="710"/>
      <c r="T98" s="710"/>
      <c r="U98" s="710"/>
      <c r="V98" s="710"/>
      <c r="W98" s="710"/>
      <c r="X98" s="710"/>
      <c r="Y98" s="710"/>
      <c r="Z98" s="710"/>
      <c r="AA98" s="710"/>
      <c r="AB98" s="710"/>
      <c r="AC98" s="710"/>
      <c r="AD98" s="710"/>
      <c r="AE98" s="710"/>
      <c r="AF98" s="710"/>
      <c r="AG98" s="710"/>
      <c r="AH98" s="710"/>
      <c r="AI98" s="710"/>
      <c r="AJ98" s="710"/>
      <c r="AK98" s="710"/>
      <c r="AL98" s="710"/>
      <c r="AM98" s="710"/>
      <c r="AN98" s="710"/>
      <c r="AO98" s="710"/>
      <c r="AP98" s="84"/>
      <c r="AQ98" s="84"/>
      <c r="AR98" s="84"/>
      <c r="AS98" s="84"/>
      <c r="AT98" s="152" t="s">
        <v>932</v>
      </c>
      <c r="AU98" s="111"/>
      <c r="AV98" s="220"/>
    </row>
    <row r="99" spans="2:48" ht="19.5" customHeight="1" x14ac:dyDescent="0.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247"/>
      <c r="AU99" s="61"/>
      <c r="AV99" s="110"/>
    </row>
    <row r="100" spans="2:48" x14ac:dyDescent="0.2">
      <c r="AV100" s="111"/>
    </row>
    <row r="101" spans="2:48" ht="13.5" thickBot="1" x14ac:dyDescent="0.25">
      <c r="B101" s="107"/>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109"/>
    </row>
    <row r="102" spans="2:48" ht="16.5" thickTop="1" x14ac:dyDescent="0.25">
      <c r="B102" s="60"/>
      <c r="C102" s="107"/>
      <c r="D102" s="82"/>
      <c r="E102" s="265" t="str">
        <f>'Sprachen &amp; Rückgabewerte(5)'!$H$138</f>
        <v>Rinnenbestellung</v>
      </c>
      <c r="F102" s="82"/>
      <c r="G102" s="82"/>
      <c r="H102" s="82"/>
      <c r="I102" s="82"/>
      <c r="J102" s="82"/>
      <c r="K102" s="82"/>
      <c r="L102" s="82"/>
      <c r="M102" s="82"/>
      <c r="N102" s="82"/>
      <c r="O102" s="82"/>
      <c r="P102" s="82"/>
      <c r="Q102" s="82"/>
      <c r="R102" s="82"/>
      <c r="S102" s="82"/>
      <c r="T102" s="82"/>
      <c r="U102" s="82"/>
      <c r="V102" s="82"/>
      <c r="W102" s="82"/>
      <c r="X102" s="82"/>
      <c r="Y102" s="82"/>
      <c r="Z102" s="109"/>
      <c r="AA102" s="61"/>
      <c r="AB102" s="232"/>
      <c r="AC102" s="233"/>
      <c r="AD102" s="233"/>
      <c r="AE102" s="233"/>
      <c r="AF102" s="248"/>
      <c r="AG102" s="249"/>
      <c r="AH102" s="252"/>
      <c r="AI102" s="248"/>
      <c r="AJ102" s="248"/>
      <c r="AK102" s="248"/>
      <c r="AL102" s="248"/>
      <c r="AM102" s="249"/>
      <c r="AN102" s="252"/>
      <c r="AO102" s="248"/>
      <c r="AP102" s="248"/>
      <c r="AQ102" s="248"/>
      <c r="AR102" s="248"/>
      <c r="AS102" s="248"/>
      <c r="AT102" s="249"/>
      <c r="AU102" s="110"/>
    </row>
    <row r="103" spans="2:48" x14ac:dyDescent="0.2">
      <c r="B103" s="60"/>
      <c r="C103" s="60"/>
      <c r="D103" s="61"/>
      <c r="E103" s="61"/>
      <c r="F103" s="61"/>
      <c r="G103" s="61"/>
      <c r="H103" s="61"/>
      <c r="I103" s="61"/>
      <c r="J103" s="61"/>
      <c r="K103" s="61"/>
      <c r="L103" s="61"/>
      <c r="M103" s="61"/>
      <c r="N103" s="61"/>
      <c r="O103" s="61"/>
      <c r="P103" s="61"/>
      <c r="Q103" s="61"/>
      <c r="R103" s="61"/>
      <c r="S103" s="61"/>
      <c r="T103" s="61"/>
      <c r="U103" s="61"/>
      <c r="V103" s="61"/>
      <c r="W103" s="61"/>
      <c r="X103" s="61"/>
      <c r="Y103" s="61"/>
      <c r="Z103" s="110"/>
      <c r="AA103" s="61"/>
      <c r="AB103" s="235"/>
      <c r="AC103" s="61"/>
      <c r="AD103" s="61"/>
      <c r="AE103" s="61"/>
      <c r="AF103" s="127"/>
      <c r="AG103" s="250"/>
      <c r="AH103" s="253"/>
      <c r="AI103" s="127"/>
      <c r="AJ103" s="127"/>
      <c r="AK103" s="127"/>
      <c r="AL103" s="127"/>
      <c r="AM103" s="250"/>
      <c r="AN103" s="253"/>
      <c r="AO103" s="127"/>
      <c r="AP103" s="127"/>
      <c r="AQ103" s="127"/>
      <c r="AR103" s="127"/>
      <c r="AS103" s="127"/>
      <c r="AT103" s="250"/>
      <c r="AU103" s="128"/>
    </row>
    <row r="104" spans="2:48" ht="15" customHeight="1" x14ac:dyDescent="0.2">
      <c r="B104" s="60"/>
      <c r="C104" s="60"/>
      <c r="D104" s="61"/>
      <c r="E104" s="72" t="str">
        <f>'Sprachen &amp; Rückgabewerte(5)'!$H$139</f>
        <v>Wahl des Rinnensystems:</v>
      </c>
      <c r="F104" s="61"/>
      <c r="G104" s="61"/>
      <c r="H104" s="61"/>
      <c r="I104" s="61"/>
      <c r="J104" s="61"/>
      <c r="K104" s="61"/>
      <c r="L104" s="61"/>
      <c r="M104" s="61"/>
      <c r="N104" s="61"/>
      <c r="O104" s="61"/>
      <c r="P104" s="61"/>
      <c r="Q104" s="61"/>
      <c r="R104" s="61"/>
      <c r="S104" s="61"/>
      <c r="T104" s="727"/>
      <c r="U104" s="729"/>
      <c r="V104" s="230"/>
      <c r="W104" s="230"/>
      <c r="X104" s="61"/>
      <c r="Y104" s="61"/>
      <c r="Z104" s="110"/>
      <c r="AB104" s="235"/>
      <c r="AC104" s="61"/>
      <c r="AD104" s="61"/>
      <c r="AE104" s="61"/>
      <c r="AF104" s="127"/>
      <c r="AG104" s="250"/>
      <c r="AH104" s="253"/>
      <c r="AI104" s="127"/>
      <c r="AJ104" s="127"/>
      <c r="AK104" s="127"/>
      <c r="AL104" s="127"/>
      <c r="AM104" s="250"/>
      <c r="AN104" s="253"/>
      <c r="AO104" s="127"/>
      <c r="AP104" s="127"/>
      <c r="AQ104" s="127"/>
      <c r="AR104" s="127"/>
      <c r="AS104" s="127"/>
      <c r="AT104" s="250"/>
      <c r="AU104" s="128"/>
    </row>
    <row r="105" spans="2:48" x14ac:dyDescent="0.2">
      <c r="B105" s="60"/>
      <c r="C105" s="60"/>
      <c r="D105" s="61"/>
      <c r="E105" s="61"/>
      <c r="F105" s="61"/>
      <c r="G105" s="61"/>
      <c r="H105" s="61"/>
      <c r="I105" s="61"/>
      <c r="J105" s="61"/>
      <c r="K105" s="61"/>
      <c r="L105" s="61"/>
      <c r="M105" s="61"/>
      <c r="N105" s="61"/>
      <c r="O105" s="61"/>
      <c r="P105" s="61"/>
      <c r="Q105" s="61"/>
      <c r="R105" s="61"/>
      <c r="S105" s="61"/>
      <c r="T105" s="61"/>
      <c r="U105" s="61"/>
      <c r="V105" s="61"/>
      <c r="W105" s="61"/>
      <c r="X105" s="61"/>
      <c r="Y105" s="61"/>
      <c r="Z105" s="110"/>
      <c r="AB105" s="235"/>
      <c r="AC105" s="61"/>
      <c r="AD105" s="61"/>
      <c r="AE105" s="61"/>
      <c r="AF105" s="127"/>
      <c r="AG105" s="250"/>
      <c r="AH105" s="253"/>
      <c r="AI105" s="127"/>
      <c r="AJ105" s="127"/>
      <c r="AK105" s="127"/>
      <c r="AL105" s="127"/>
      <c r="AM105" s="250"/>
      <c r="AN105" s="253"/>
      <c r="AO105" s="127"/>
      <c r="AP105" s="127"/>
      <c r="AQ105" s="127"/>
      <c r="AR105" s="127"/>
      <c r="AS105" s="127"/>
      <c r="AT105" s="250"/>
      <c r="AU105" s="128"/>
    </row>
    <row r="106" spans="2:48" ht="15" customHeight="1" x14ac:dyDescent="0.2">
      <c r="B106" s="60"/>
      <c r="C106" s="60"/>
      <c r="D106" s="61"/>
      <c r="E106" s="72" t="str">
        <f>'Sprachen &amp; Rückgabewerte(5)'!$H$140</f>
        <v>Einzug an der linken Anlagenseite:</v>
      </c>
      <c r="F106" s="61"/>
      <c r="G106" s="61"/>
      <c r="H106" s="61"/>
      <c r="I106" s="61"/>
      <c r="J106" s="61"/>
      <c r="K106" s="61"/>
      <c r="L106" s="61"/>
      <c r="M106" s="61"/>
      <c r="N106" s="61"/>
      <c r="O106" s="61"/>
      <c r="P106" s="61"/>
      <c r="Q106" s="61"/>
      <c r="R106" s="61"/>
      <c r="S106" s="61"/>
      <c r="T106" s="704"/>
      <c r="U106" s="733"/>
      <c r="V106" s="61" t="s">
        <v>176</v>
      </c>
      <c r="W106" s="61"/>
      <c r="X106" s="61"/>
      <c r="Y106" s="61"/>
      <c r="Z106" s="110"/>
      <c r="AB106" s="235"/>
      <c r="AC106" s="61"/>
      <c r="AD106" s="61"/>
      <c r="AE106" s="61"/>
      <c r="AF106" s="127"/>
      <c r="AG106" s="250"/>
      <c r="AH106" s="253"/>
      <c r="AI106" s="127"/>
      <c r="AJ106" s="127"/>
      <c r="AK106" s="127"/>
      <c r="AL106" s="127"/>
      <c r="AM106" s="250"/>
      <c r="AN106" s="253"/>
      <c r="AO106" s="127"/>
      <c r="AP106" s="127"/>
      <c r="AQ106" s="127"/>
      <c r="AR106" s="127"/>
      <c r="AS106" s="127"/>
      <c r="AT106" s="250"/>
      <c r="AU106" s="128"/>
    </row>
    <row r="107" spans="2:48" x14ac:dyDescent="0.2">
      <c r="B107" s="60"/>
      <c r="C107" s="60"/>
      <c r="D107" s="61"/>
      <c r="E107" s="61"/>
      <c r="F107" s="61"/>
      <c r="G107" s="61"/>
      <c r="H107" s="61"/>
      <c r="I107" s="61"/>
      <c r="J107" s="61"/>
      <c r="K107" s="61"/>
      <c r="L107" s="61"/>
      <c r="M107" s="61"/>
      <c r="N107" s="61"/>
      <c r="O107" s="61"/>
      <c r="P107" s="61"/>
      <c r="Q107" s="61"/>
      <c r="R107" s="61"/>
      <c r="S107" s="61"/>
      <c r="T107" s="61"/>
      <c r="U107" s="61"/>
      <c r="V107" s="61"/>
      <c r="W107" s="61"/>
      <c r="X107" s="61"/>
      <c r="Y107" s="61"/>
      <c r="Z107" s="110"/>
      <c r="AB107" s="235"/>
      <c r="AC107" s="61"/>
      <c r="AD107" s="61"/>
      <c r="AE107" s="61"/>
      <c r="AF107" s="127"/>
      <c r="AG107" s="250"/>
      <c r="AH107" s="253"/>
      <c r="AI107" s="127"/>
      <c r="AJ107" s="127"/>
      <c r="AK107" s="127"/>
      <c r="AL107" s="127"/>
      <c r="AM107" s="250"/>
      <c r="AN107" s="253"/>
      <c r="AO107" s="127"/>
      <c r="AP107" s="127"/>
      <c r="AQ107" s="127"/>
      <c r="AR107" s="127"/>
      <c r="AS107" s="127"/>
      <c r="AT107" s="250"/>
      <c r="AU107" s="128"/>
    </row>
    <row r="108" spans="2:48" ht="15" customHeight="1" x14ac:dyDescent="0.2">
      <c r="B108" s="60"/>
      <c r="C108" s="60"/>
      <c r="D108" s="61"/>
      <c r="E108" s="72" t="str">
        <f>'Sprachen &amp; Rückgabewerte(5)'!$H$141</f>
        <v>Einzug an der rechten Anlagenseite:</v>
      </c>
      <c r="F108" s="61"/>
      <c r="G108" s="61"/>
      <c r="H108" s="61"/>
      <c r="I108" s="61"/>
      <c r="J108" s="61"/>
      <c r="K108" s="61"/>
      <c r="L108" s="61"/>
      <c r="M108" s="61"/>
      <c r="N108" s="61"/>
      <c r="O108" s="61"/>
      <c r="P108" s="61"/>
      <c r="Q108" s="61"/>
      <c r="R108" s="61"/>
      <c r="S108" s="61"/>
      <c r="T108" s="704"/>
      <c r="U108" s="733"/>
      <c r="V108" s="61" t="s">
        <v>176</v>
      </c>
      <c r="W108" s="61"/>
      <c r="X108" s="61"/>
      <c r="Y108" s="61"/>
      <c r="Z108" s="110"/>
      <c r="AB108" s="235"/>
      <c r="AC108" s="61"/>
      <c r="AD108" s="61"/>
      <c r="AE108" s="61"/>
      <c r="AF108" s="127"/>
      <c r="AG108" s="250"/>
      <c r="AH108" s="253"/>
      <c r="AI108" s="127"/>
      <c r="AJ108" s="127"/>
      <c r="AK108" s="127"/>
      <c r="AL108" s="127"/>
      <c r="AM108" s="250"/>
      <c r="AN108" s="253"/>
      <c r="AO108" s="127"/>
      <c r="AP108" s="127"/>
      <c r="AQ108" s="127"/>
      <c r="AR108" s="127"/>
      <c r="AS108" s="127"/>
      <c r="AT108" s="250"/>
      <c r="AU108" s="128"/>
    </row>
    <row r="109" spans="2:48" x14ac:dyDescent="0.2">
      <c r="B109" s="60"/>
      <c r="C109" s="60"/>
      <c r="D109" s="61"/>
      <c r="E109" s="61"/>
      <c r="F109" s="61"/>
      <c r="G109" s="61"/>
      <c r="H109" s="61"/>
      <c r="I109" s="61"/>
      <c r="J109" s="61"/>
      <c r="K109" s="61"/>
      <c r="L109" s="61"/>
      <c r="M109" s="61"/>
      <c r="N109" s="61"/>
      <c r="O109" s="61"/>
      <c r="P109" s="61"/>
      <c r="Q109" s="61"/>
      <c r="R109" s="61"/>
      <c r="S109" s="61"/>
      <c r="T109" s="61"/>
      <c r="U109" s="61"/>
      <c r="V109" s="61"/>
      <c r="W109" s="61"/>
      <c r="X109" s="61"/>
      <c r="Y109" s="61"/>
      <c r="Z109" s="110"/>
      <c r="AB109" s="235"/>
      <c r="AC109" s="61"/>
      <c r="AD109" s="61"/>
      <c r="AE109" s="61"/>
      <c r="AF109" s="127"/>
      <c r="AG109" s="250"/>
      <c r="AH109" s="253"/>
      <c r="AI109" s="127"/>
      <c r="AJ109" s="127"/>
      <c r="AK109" s="127"/>
      <c r="AL109" s="127"/>
      <c r="AM109" s="250"/>
      <c r="AN109" s="253"/>
      <c r="AO109" s="127"/>
      <c r="AP109" s="127"/>
      <c r="AQ109" s="127"/>
      <c r="AR109" s="127"/>
      <c r="AS109" s="127"/>
      <c r="AT109" s="250"/>
      <c r="AU109" s="128"/>
    </row>
    <row r="110" spans="2:48" ht="15" customHeight="1" x14ac:dyDescent="0.2">
      <c r="B110" s="60"/>
      <c r="C110" s="60"/>
      <c r="D110" s="61"/>
      <c r="E110" s="72" t="str">
        <f>'Sprachen &amp; Rückgabewerte(5)'!$H$142</f>
        <v>Anschlussstutzen:</v>
      </c>
      <c r="F110" s="61"/>
      <c r="G110" s="61"/>
      <c r="H110" s="61"/>
      <c r="I110" s="61"/>
      <c r="J110" s="61"/>
      <c r="K110" s="61"/>
      <c r="L110" s="61"/>
      <c r="M110" s="61"/>
      <c r="N110" s="61"/>
      <c r="O110" s="61"/>
      <c r="P110" s="61"/>
      <c r="Q110" s="61"/>
      <c r="R110" s="61"/>
      <c r="S110" s="61"/>
      <c r="T110" s="727"/>
      <c r="U110" s="728"/>
      <c r="V110" s="728"/>
      <c r="W110" s="728"/>
      <c r="X110" s="728"/>
      <c r="Y110" s="729"/>
      <c r="Z110" s="537"/>
      <c r="AB110" s="254"/>
      <c r="AC110" s="255"/>
      <c r="AD110" s="255"/>
      <c r="AE110" s="255"/>
      <c r="AF110" s="256"/>
      <c r="AG110" s="257"/>
      <c r="AH110" s="258"/>
      <c r="AI110" s="256"/>
      <c r="AJ110" s="256"/>
      <c r="AK110" s="256"/>
      <c r="AL110" s="256"/>
      <c r="AM110" s="257"/>
      <c r="AN110" s="258"/>
      <c r="AO110" s="256"/>
      <c r="AP110" s="256"/>
      <c r="AQ110" s="256"/>
      <c r="AR110" s="256"/>
      <c r="AS110" s="256"/>
      <c r="AT110" s="257"/>
      <c r="AU110" s="128"/>
    </row>
    <row r="111" spans="2:48" x14ac:dyDescent="0.2">
      <c r="B111" s="60"/>
      <c r="C111" s="60"/>
      <c r="D111" s="61"/>
      <c r="E111" s="61"/>
      <c r="F111" s="61"/>
      <c r="G111" s="61"/>
      <c r="H111" s="61"/>
      <c r="I111" s="61"/>
      <c r="J111" s="61"/>
      <c r="K111" s="61"/>
      <c r="L111" s="61"/>
      <c r="M111" s="61"/>
      <c r="N111" s="61"/>
      <c r="O111" s="61"/>
      <c r="P111" s="61"/>
      <c r="Q111" s="61"/>
      <c r="R111" s="61"/>
      <c r="S111" s="61"/>
      <c r="T111" s="61"/>
      <c r="U111" s="61"/>
      <c r="V111" s="61"/>
      <c r="W111" s="61"/>
      <c r="X111" s="61"/>
      <c r="Y111" s="61"/>
      <c r="Z111" s="110"/>
      <c r="AB111" s="259"/>
      <c r="AC111" s="260"/>
      <c r="AD111" s="260"/>
      <c r="AE111" s="260"/>
      <c r="AF111" s="261"/>
      <c r="AG111" s="262"/>
      <c r="AH111" s="261"/>
      <c r="AI111" s="261"/>
      <c r="AJ111" s="261"/>
      <c r="AK111" s="261"/>
      <c r="AL111" s="261"/>
      <c r="AM111" s="261"/>
      <c r="AN111" s="263"/>
      <c r="AO111" s="261"/>
      <c r="AP111" s="261"/>
      <c r="AQ111" s="261"/>
      <c r="AR111" s="261"/>
      <c r="AS111" s="261"/>
      <c r="AT111" s="262"/>
      <c r="AU111" s="128"/>
    </row>
    <row r="112" spans="2:48" ht="15" customHeight="1" x14ac:dyDescent="0.2">
      <c r="B112" s="60"/>
      <c r="C112" s="60"/>
      <c r="D112" s="61"/>
      <c r="E112" s="61"/>
      <c r="F112" s="61"/>
      <c r="G112" s="61"/>
      <c r="H112" s="61"/>
      <c r="I112" s="61"/>
      <c r="J112" s="61"/>
      <c r="K112" s="61"/>
      <c r="L112" s="61"/>
      <c r="M112" s="61"/>
      <c r="N112" s="61"/>
      <c r="O112" s="61"/>
      <c r="P112" s="61"/>
      <c r="Q112" s="61"/>
      <c r="R112" s="268" t="str">
        <f>IF($T$110='Sprachen &amp; Rückgabewerte(5)'!$J$143,'Sprachen &amp; Rückgabewerte(5)'!$H$145,'Sprachen &amp; Rückgabewerte(5)'!$H$148)</f>
        <v>Abstände Ablaufstutzen (E):</v>
      </c>
      <c r="S112" s="61"/>
      <c r="T112" s="730"/>
      <c r="U112" s="731"/>
      <c r="V112" s="731"/>
      <c r="W112" s="731"/>
      <c r="X112" s="731"/>
      <c r="Y112" s="732"/>
      <c r="Z112" s="538"/>
      <c r="AB112" s="235"/>
      <c r="AC112" s="61"/>
      <c r="AD112" s="61"/>
      <c r="AE112" s="61"/>
      <c r="AF112" s="127"/>
      <c r="AG112" s="250"/>
      <c r="AH112" s="127"/>
      <c r="AI112" s="127"/>
      <c r="AJ112" s="127"/>
      <c r="AK112" s="127"/>
      <c r="AL112" s="127"/>
      <c r="AM112" s="127"/>
      <c r="AN112" s="253"/>
      <c r="AO112" s="127"/>
      <c r="AP112" s="127"/>
      <c r="AQ112" s="127"/>
      <c r="AR112" s="127"/>
      <c r="AS112" s="127"/>
      <c r="AT112" s="250"/>
      <c r="AU112" s="128"/>
    </row>
    <row r="113" spans="2:47" x14ac:dyDescent="0.2">
      <c r="B113" s="60"/>
      <c r="C113" s="60"/>
      <c r="D113" s="61"/>
      <c r="E113" s="269"/>
      <c r="F113" s="269"/>
      <c r="G113" s="269"/>
      <c r="H113" s="269"/>
      <c r="I113" s="269"/>
      <c r="J113" s="269"/>
      <c r="K113" s="269"/>
      <c r="L113" s="269"/>
      <c r="M113" s="269"/>
      <c r="N113" s="269"/>
      <c r="O113" s="269"/>
      <c r="P113" s="269"/>
      <c r="Q113" s="269"/>
      <c r="R113" s="269"/>
      <c r="S113" s="269"/>
      <c r="T113" s="61"/>
      <c r="U113" s="61"/>
      <c r="V113" s="61"/>
      <c r="W113" s="61"/>
      <c r="X113" s="61"/>
      <c r="Y113" s="61"/>
      <c r="Z113" s="110"/>
      <c r="AB113" s="235"/>
      <c r="AC113" s="61"/>
      <c r="AD113" s="61"/>
      <c r="AE113" s="61"/>
      <c r="AF113" s="127"/>
      <c r="AG113" s="250"/>
      <c r="AH113" s="127"/>
      <c r="AI113" s="127"/>
      <c r="AJ113" s="127"/>
      <c r="AK113" s="127"/>
      <c r="AL113" s="127"/>
      <c r="AM113" s="127"/>
      <c r="AN113" s="253"/>
      <c r="AO113" s="127"/>
      <c r="AP113" s="127"/>
      <c r="AQ113" s="127"/>
      <c r="AR113" s="127"/>
      <c r="AS113" s="127"/>
      <c r="AT113" s="250"/>
      <c r="AU113" s="110"/>
    </row>
    <row r="114" spans="2:47" ht="15" customHeight="1" x14ac:dyDescent="0.2">
      <c r="B114" s="60"/>
      <c r="C114" s="60"/>
      <c r="D114" s="61"/>
      <c r="E114" s="269"/>
      <c r="F114" s="269"/>
      <c r="G114" s="269"/>
      <c r="H114" s="269"/>
      <c r="I114" s="269"/>
      <c r="J114" s="269"/>
      <c r="K114" s="269"/>
      <c r="L114" s="269"/>
      <c r="M114" s="269"/>
      <c r="N114" s="269"/>
      <c r="O114" s="269"/>
      <c r="P114" s="269"/>
      <c r="Q114" s="269"/>
      <c r="R114" s="268" t="str">
        <f>'Sprachen &amp; Rückgabewerte(5)'!H149</f>
        <v>Rinnenanschluss:</v>
      </c>
      <c r="S114" s="269"/>
      <c r="T114" s="727"/>
      <c r="U114" s="729"/>
      <c r="V114" s="61"/>
      <c r="W114" s="61"/>
      <c r="X114" s="61"/>
      <c r="Y114" s="61"/>
      <c r="Z114" s="110"/>
      <c r="AB114" s="235"/>
      <c r="AC114" s="61"/>
      <c r="AD114" s="61"/>
      <c r="AE114" s="61"/>
      <c r="AF114" s="127"/>
      <c r="AG114" s="250"/>
      <c r="AH114" s="127"/>
      <c r="AI114" s="127"/>
      <c r="AJ114" s="127"/>
      <c r="AK114" s="127"/>
      <c r="AL114" s="127"/>
      <c r="AM114" s="127"/>
      <c r="AN114" s="253"/>
      <c r="AO114" s="127"/>
      <c r="AP114" s="127"/>
      <c r="AQ114" s="127"/>
      <c r="AR114" s="127"/>
      <c r="AS114" s="127"/>
      <c r="AT114" s="250"/>
      <c r="AU114" s="110"/>
    </row>
    <row r="115" spans="2:47" x14ac:dyDescent="0.2">
      <c r="B115" s="60"/>
      <c r="C115" s="60"/>
      <c r="D115" s="61"/>
      <c r="E115" s="61"/>
      <c r="F115" s="61"/>
      <c r="G115" s="61"/>
      <c r="H115" s="61"/>
      <c r="I115" s="61"/>
      <c r="J115" s="61"/>
      <c r="K115" s="61"/>
      <c r="L115" s="61"/>
      <c r="M115" s="61"/>
      <c r="N115" s="61"/>
      <c r="O115" s="61"/>
      <c r="P115" s="61"/>
      <c r="Q115" s="61"/>
      <c r="R115" s="61"/>
      <c r="S115" s="61"/>
      <c r="T115" s="61"/>
      <c r="U115" s="61"/>
      <c r="V115" s="61"/>
      <c r="W115" s="61"/>
      <c r="X115" s="61"/>
      <c r="Y115" s="61"/>
      <c r="Z115" s="110"/>
      <c r="AA115" s="61"/>
      <c r="AB115" s="235"/>
      <c r="AC115" s="61"/>
      <c r="AD115" s="61"/>
      <c r="AE115" s="61"/>
      <c r="AF115" s="61"/>
      <c r="AG115" s="250"/>
      <c r="AH115" s="127"/>
      <c r="AI115" s="127"/>
      <c r="AJ115" s="127"/>
      <c r="AK115" s="127"/>
      <c r="AL115" s="127"/>
      <c r="AM115" s="127"/>
      <c r="AN115" s="253"/>
      <c r="AO115" s="61"/>
      <c r="AP115" s="61"/>
      <c r="AQ115" s="61"/>
      <c r="AR115" s="61"/>
      <c r="AS115" s="61"/>
      <c r="AT115" s="237"/>
      <c r="AU115" s="110"/>
    </row>
    <row r="116" spans="2:47" x14ac:dyDescent="0.2">
      <c r="B116" s="60"/>
      <c r="C116" s="60"/>
      <c r="D116" s="61"/>
      <c r="E116" s="698" t="str">
        <f>IF('Sprachen &amp; Rückgabewerte(5)'!$I$50=TRUE,'Sprachen &amp; Rückgabewerte(5)'!$H$102,"")</f>
        <v/>
      </c>
      <c r="F116" s="698"/>
      <c r="G116" s="698"/>
      <c r="H116" s="698"/>
      <c r="I116" s="698"/>
      <c r="J116" s="698"/>
      <c r="K116" s="698"/>
      <c r="L116" s="698"/>
      <c r="M116" s="698"/>
      <c r="N116" s="698"/>
      <c r="O116" s="698"/>
      <c r="P116" s="698"/>
      <c r="Q116" s="698"/>
      <c r="R116" s="698"/>
      <c r="S116" s="61"/>
      <c r="T116" s="61"/>
      <c r="U116" s="61"/>
      <c r="V116" s="61"/>
      <c r="W116" s="61"/>
      <c r="X116" s="61"/>
      <c r="Y116" s="61"/>
      <c r="Z116" s="110"/>
      <c r="AA116" s="61"/>
      <c r="AB116" s="235"/>
      <c r="AC116" s="61"/>
      <c r="AD116" s="61"/>
      <c r="AE116" s="61"/>
      <c r="AF116" s="61"/>
      <c r="AG116" s="250"/>
      <c r="AH116" s="127"/>
      <c r="AI116" s="127"/>
      <c r="AJ116" s="127"/>
      <c r="AK116" s="127"/>
      <c r="AL116" s="127"/>
      <c r="AM116" s="127"/>
      <c r="AN116" s="253"/>
      <c r="AO116" s="61"/>
      <c r="AP116" s="61"/>
      <c r="AQ116" s="61"/>
      <c r="AR116" s="61"/>
      <c r="AS116" s="61"/>
      <c r="AT116" s="237"/>
      <c r="AU116" s="110"/>
    </row>
    <row r="117" spans="2:47" ht="12.75" customHeight="1" x14ac:dyDescent="0.2">
      <c r="B117" s="60"/>
      <c r="C117" s="60"/>
      <c r="D117" s="61"/>
      <c r="E117" s="698"/>
      <c r="F117" s="698"/>
      <c r="G117" s="698"/>
      <c r="H117" s="698"/>
      <c r="I117" s="698"/>
      <c r="J117" s="698"/>
      <c r="K117" s="698"/>
      <c r="L117" s="698"/>
      <c r="M117" s="698"/>
      <c r="N117" s="698"/>
      <c r="O117" s="698"/>
      <c r="P117" s="698"/>
      <c r="Q117" s="698"/>
      <c r="R117" s="698"/>
      <c r="S117" s="127"/>
      <c r="T117" s="127"/>
      <c r="U117" s="127"/>
      <c r="V117" s="127"/>
      <c r="W117" s="127"/>
      <c r="X117" s="127"/>
      <c r="Y117" s="127"/>
      <c r="Z117" s="128"/>
      <c r="AA117" s="127"/>
      <c r="AB117" s="253"/>
      <c r="AC117" s="127"/>
      <c r="AD117" s="127"/>
      <c r="AE117" s="127"/>
      <c r="AF117" s="127"/>
      <c r="AG117" s="250"/>
      <c r="AH117" s="127"/>
      <c r="AI117" s="127"/>
      <c r="AJ117" s="127"/>
      <c r="AK117" s="127"/>
      <c r="AL117" s="127"/>
      <c r="AM117" s="127"/>
      <c r="AN117" s="253"/>
      <c r="AO117" s="61"/>
      <c r="AP117" s="61"/>
      <c r="AQ117" s="61"/>
      <c r="AR117" s="61"/>
      <c r="AS117" s="61"/>
      <c r="AT117" s="237"/>
      <c r="AU117" s="110"/>
    </row>
    <row r="118" spans="2:47" x14ac:dyDescent="0.2">
      <c r="B118" s="60"/>
      <c r="C118" s="60"/>
      <c r="D118" s="61"/>
      <c r="E118" s="698"/>
      <c r="F118" s="698"/>
      <c r="G118" s="698"/>
      <c r="H118" s="698"/>
      <c r="I118" s="698"/>
      <c r="J118" s="698"/>
      <c r="K118" s="698"/>
      <c r="L118" s="698"/>
      <c r="M118" s="698"/>
      <c r="N118" s="698"/>
      <c r="O118" s="698"/>
      <c r="P118" s="698"/>
      <c r="Q118" s="698"/>
      <c r="R118" s="698"/>
      <c r="S118" s="61"/>
      <c r="T118" s="61"/>
      <c r="U118" s="61"/>
      <c r="V118" s="61"/>
      <c r="W118" s="61"/>
      <c r="X118" s="61"/>
      <c r="Y118" s="61"/>
      <c r="Z118" s="110"/>
      <c r="AB118" s="235"/>
      <c r="AC118" s="61"/>
      <c r="AD118" s="61"/>
      <c r="AE118" s="61"/>
      <c r="AF118" s="61"/>
      <c r="AG118" s="237"/>
      <c r="AH118" s="61"/>
      <c r="AI118" s="61"/>
      <c r="AJ118" s="61"/>
      <c r="AK118" s="61"/>
      <c r="AL118" s="61"/>
      <c r="AM118" s="61"/>
      <c r="AN118" s="235"/>
      <c r="AO118" s="61"/>
      <c r="AP118" s="61"/>
      <c r="AQ118" s="61"/>
      <c r="AR118" s="61"/>
      <c r="AS118" s="61"/>
      <c r="AT118" s="237"/>
      <c r="AU118" s="110"/>
    </row>
    <row r="119" spans="2:47" x14ac:dyDescent="0.2">
      <c r="B119" s="60"/>
      <c r="C119" s="60"/>
      <c r="D119" s="61"/>
      <c r="E119" s="61"/>
      <c r="F119" s="61"/>
      <c r="G119" s="61"/>
      <c r="H119" s="61"/>
      <c r="I119" s="61"/>
      <c r="J119" s="61"/>
      <c r="K119" s="61"/>
      <c r="L119" s="61"/>
      <c r="M119" s="61"/>
      <c r="N119" s="61"/>
      <c r="O119" s="61"/>
      <c r="P119" s="61"/>
      <c r="Q119" s="61"/>
      <c r="R119" s="61"/>
      <c r="S119" s="61"/>
      <c r="T119" s="61"/>
      <c r="U119" s="61"/>
      <c r="V119" s="61"/>
      <c r="W119" s="61"/>
      <c r="X119" s="61"/>
      <c r="Y119" s="61"/>
      <c r="Z119" s="110"/>
      <c r="AB119" s="235"/>
      <c r="AC119" s="61"/>
      <c r="AD119" s="61"/>
      <c r="AE119" s="61"/>
      <c r="AF119" s="61"/>
      <c r="AG119" s="237"/>
      <c r="AH119" s="61"/>
      <c r="AI119" s="61"/>
      <c r="AJ119" s="61"/>
      <c r="AK119" s="61"/>
      <c r="AL119" s="61"/>
      <c r="AM119" s="61"/>
      <c r="AN119" s="235"/>
      <c r="AO119" s="61"/>
      <c r="AP119" s="61"/>
      <c r="AQ119" s="61"/>
      <c r="AR119" s="61"/>
      <c r="AS119" s="61"/>
      <c r="AT119" s="237"/>
      <c r="AU119" s="110"/>
    </row>
    <row r="120" spans="2:47" ht="13.5" thickBot="1" x14ac:dyDescent="0.25">
      <c r="B120" s="60"/>
      <c r="C120" s="68"/>
      <c r="D120" s="84"/>
      <c r="E120" s="84"/>
      <c r="F120" s="84"/>
      <c r="G120" s="84"/>
      <c r="H120" s="84"/>
      <c r="I120" s="84"/>
      <c r="J120" s="84"/>
      <c r="K120" s="84"/>
      <c r="L120" s="84"/>
      <c r="M120" s="84"/>
      <c r="N120" s="84"/>
      <c r="O120" s="84"/>
      <c r="P120" s="84"/>
      <c r="Q120" s="84"/>
      <c r="R120" s="84"/>
      <c r="S120" s="84"/>
      <c r="T120" s="84"/>
      <c r="U120" s="84"/>
      <c r="V120" s="84"/>
      <c r="W120" s="84"/>
      <c r="X120" s="84"/>
      <c r="Y120" s="84"/>
      <c r="Z120" s="111"/>
      <c r="AB120" s="251"/>
      <c r="AC120" s="241"/>
      <c r="AD120" s="241"/>
      <c r="AE120" s="241"/>
      <c r="AF120" s="241"/>
      <c r="AG120" s="243"/>
      <c r="AH120" s="241"/>
      <c r="AI120" s="241"/>
      <c r="AJ120" s="241"/>
      <c r="AK120" s="241"/>
      <c r="AL120" s="241"/>
      <c r="AM120" s="241"/>
      <c r="AN120" s="251"/>
      <c r="AO120" s="241"/>
      <c r="AP120" s="241"/>
      <c r="AQ120" s="241"/>
      <c r="AR120" s="241"/>
      <c r="AS120" s="241"/>
      <c r="AT120" s="243"/>
      <c r="AU120" s="110"/>
    </row>
    <row r="121" spans="2:47" ht="13.5" thickTop="1" x14ac:dyDescent="0.2">
      <c r="B121" s="60"/>
      <c r="AU121" s="110"/>
    </row>
    <row r="122" spans="2:47" ht="12.95" customHeight="1" x14ac:dyDescent="0.2">
      <c r="B122" s="60"/>
      <c r="L122" s="61"/>
      <c r="M122" s="61"/>
      <c r="N122" s="61"/>
      <c r="O122" s="61"/>
      <c r="P122" s="61"/>
      <c r="Q122" s="61"/>
      <c r="R122" s="61"/>
      <c r="S122" s="61"/>
      <c r="T122" s="61"/>
      <c r="U122" s="61"/>
      <c r="V122" s="61"/>
      <c r="W122" s="61"/>
      <c r="X122" s="61"/>
      <c r="Y122" s="61"/>
      <c r="Z122" s="61"/>
      <c r="AA122" s="61"/>
      <c r="AB122" s="107"/>
      <c r="AC122" s="82"/>
      <c r="AD122" s="82"/>
      <c r="AE122" s="82"/>
      <c r="AF122" s="82"/>
      <c r="AG122" s="82"/>
      <c r="AH122" s="82"/>
      <c r="AI122" s="82"/>
      <c r="AJ122" s="82"/>
      <c r="AK122" s="82"/>
      <c r="AL122" s="82"/>
      <c r="AM122" s="82"/>
      <c r="AN122" s="82"/>
      <c r="AO122" s="82"/>
      <c r="AP122" s="82"/>
      <c r="AQ122" s="82"/>
      <c r="AR122" s="82"/>
      <c r="AS122" s="82"/>
      <c r="AT122" s="109"/>
      <c r="AU122" s="110"/>
    </row>
    <row r="123" spans="2:47" ht="12.95" customHeight="1" x14ac:dyDescent="0.2">
      <c r="B123" s="60"/>
      <c r="L123" s="61"/>
      <c r="M123" s="61"/>
      <c r="N123" s="61"/>
      <c r="O123" s="61"/>
      <c r="P123" s="61"/>
      <c r="Q123" s="61"/>
      <c r="R123" s="61"/>
      <c r="S123" s="61"/>
      <c r="T123" s="61"/>
      <c r="U123" s="61"/>
      <c r="V123" s="61"/>
      <c r="W123" s="61"/>
      <c r="X123" s="61"/>
      <c r="Y123" s="61"/>
      <c r="Z123" s="61"/>
      <c r="AA123" s="61"/>
      <c r="AB123" s="60"/>
      <c r="AC123" s="61"/>
      <c r="AD123" s="61"/>
      <c r="AE123" s="61"/>
      <c r="AF123" s="61"/>
      <c r="AG123" s="61"/>
      <c r="AH123" s="61"/>
      <c r="AI123" s="61"/>
      <c r="AJ123" s="61"/>
      <c r="AK123" s="61"/>
      <c r="AL123" s="61"/>
      <c r="AM123" s="61"/>
      <c r="AN123" s="61"/>
      <c r="AO123" s="61"/>
      <c r="AP123" s="61"/>
      <c r="AQ123" s="61"/>
      <c r="AR123" s="61"/>
      <c r="AS123" s="61"/>
      <c r="AT123" s="110"/>
      <c r="AU123" s="110"/>
    </row>
    <row r="124" spans="2:47" ht="12.95" customHeight="1" x14ac:dyDescent="0.2">
      <c r="B124" s="60"/>
      <c r="L124" s="61"/>
      <c r="M124" s="61"/>
      <c r="N124" s="61"/>
      <c r="O124" s="61"/>
      <c r="P124" s="61"/>
      <c r="Q124" s="61"/>
      <c r="R124" s="61"/>
      <c r="S124" s="61"/>
      <c r="T124" s="61"/>
      <c r="U124" s="61"/>
      <c r="V124" s="61"/>
      <c r="W124" s="61"/>
      <c r="X124" s="61"/>
      <c r="Y124" s="61"/>
      <c r="Z124" s="61"/>
      <c r="AA124" s="61"/>
      <c r="AB124" s="60"/>
      <c r="AC124" s="61"/>
      <c r="AD124" s="61"/>
      <c r="AE124" s="61"/>
      <c r="AF124" s="61"/>
      <c r="AG124" s="61"/>
      <c r="AH124" s="61"/>
      <c r="AI124" s="61"/>
      <c r="AJ124" s="61"/>
      <c r="AK124" s="61"/>
      <c r="AL124" s="61"/>
      <c r="AM124" s="61"/>
      <c r="AN124" s="61"/>
      <c r="AO124" s="61"/>
      <c r="AP124" s="61"/>
      <c r="AQ124" s="61"/>
      <c r="AR124" s="61"/>
      <c r="AS124" s="61"/>
      <c r="AT124" s="110"/>
      <c r="AU124" s="110"/>
    </row>
    <row r="125" spans="2:47" ht="12.95" customHeight="1" x14ac:dyDescent="0.2">
      <c r="B125" s="60"/>
      <c r="L125" s="61"/>
      <c r="M125" s="61"/>
      <c r="N125" s="61"/>
      <c r="O125" s="61"/>
      <c r="P125" s="61"/>
      <c r="Q125" s="61"/>
      <c r="R125" s="61"/>
      <c r="S125" s="61"/>
      <c r="T125" s="61"/>
      <c r="U125" s="61"/>
      <c r="V125" s="61"/>
      <c r="W125" s="61"/>
      <c r="X125" s="61"/>
      <c r="Y125" s="61"/>
      <c r="Z125" s="61"/>
      <c r="AA125" s="61"/>
      <c r="AB125" s="60"/>
      <c r="AC125" s="61"/>
      <c r="AD125" s="61"/>
      <c r="AE125" s="61"/>
      <c r="AF125" s="61"/>
      <c r="AG125" s="61"/>
      <c r="AH125" s="61"/>
      <c r="AI125" s="61"/>
      <c r="AJ125" s="61"/>
      <c r="AK125" s="61"/>
      <c r="AL125" s="61"/>
      <c r="AM125" s="61"/>
      <c r="AN125" s="61"/>
      <c r="AO125" s="61"/>
      <c r="AP125" s="61"/>
      <c r="AQ125" s="61"/>
      <c r="AR125" s="61"/>
      <c r="AS125" s="61"/>
      <c r="AT125" s="110"/>
      <c r="AU125" s="110"/>
    </row>
    <row r="126" spans="2:47" ht="12.95" customHeight="1" x14ac:dyDescent="0.2">
      <c r="B126" s="60"/>
      <c r="L126" s="61"/>
      <c r="M126" s="61"/>
      <c r="N126" s="61"/>
      <c r="O126" s="61"/>
      <c r="P126" s="61"/>
      <c r="Q126" s="61"/>
      <c r="R126" s="61"/>
      <c r="S126" s="61"/>
      <c r="T126" s="61"/>
      <c r="U126" s="61"/>
      <c r="V126" s="61"/>
      <c r="W126" s="61"/>
      <c r="X126" s="61"/>
      <c r="Y126" s="61"/>
      <c r="Z126" s="61"/>
      <c r="AA126" s="61"/>
      <c r="AB126" s="60"/>
      <c r="AC126" s="61"/>
      <c r="AD126" s="61"/>
      <c r="AE126" s="61"/>
      <c r="AF126" s="61"/>
      <c r="AG126" s="61"/>
      <c r="AH126" s="61"/>
      <c r="AI126" s="61"/>
      <c r="AJ126" s="61"/>
      <c r="AK126" s="127"/>
      <c r="AL126" s="127"/>
      <c r="AM126" s="127"/>
      <c r="AN126" s="127"/>
      <c r="AO126" s="127"/>
      <c r="AP126" s="61"/>
      <c r="AQ126" s="61"/>
      <c r="AR126" s="61"/>
      <c r="AS126" s="61"/>
      <c r="AT126" s="110"/>
      <c r="AU126" s="110"/>
    </row>
    <row r="127" spans="2:47" ht="12.95" customHeight="1" x14ac:dyDescent="0.2">
      <c r="B127" s="60"/>
      <c r="L127" s="61"/>
      <c r="M127" s="61"/>
      <c r="N127" s="61"/>
      <c r="O127" s="61"/>
      <c r="P127" s="61"/>
      <c r="Q127" s="61"/>
      <c r="R127" s="61"/>
      <c r="S127" s="61"/>
      <c r="T127" s="61"/>
      <c r="U127" s="61"/>
      <c r="V127" s="61"/>
      <c r="W127" s="61"/>
      <c r="X127" s="61"/>
      <c r="Y127" s="61"/>
      <c r="Z127" s="61"/>
      <c r="AA127" s="61"/>
      <c r="AB127" s="60"/>
      <c r="AC127" s="61"/>
      <c r="AD127" s="61"/>
      <c r="AE127" s="61"/>
      <c r="AF127" s="61"/>
      <c r="AG127" s="61"/>
      <c r="AH127" s="61"/>
      <c r="AI127" s="61"/>
      <c r="AJ127" s="61"/>
      <c r="AK127" s="127"/>
      <c r="AL127" s="127"/>
      <c r="AM127" s="127"/>
      <c r="AN127" s="127"/>
      <c r="AO127" s="127"/>
      <c r="AP127" s="61"/>
      <c r="AQ127" s="61"/>
      <c r="AR127" s="61"/>
      <c r="AS127" s="61"/>
      <c r="AT127" s="110"/>
      <c r="AU127" s="110"/>
    </row>
    <row r="128" spans="2:47" ht="12.95" customHeight="1" x14ac:dyDescent="0.2">
      <c r="B128" s="60"/>
      <c r="L128" s="61"/>
      <c r="M128" s="61"/>
      <c r="N128" s="61"/>
      <c r="O128" s="61"/>
      <c r="P128" s="61"/>
      <c r="Q128" s="61"/>
      <c r="R128" s="61"/>
      <c r="S128" s="61"/>
      <c r="T128" s="61"/>
      <c r="U128" s="61"/>
      <c r="V128" s="61"/>
      <c r="W128" s="61"/>
      <c r="X128" s="61"/>
      <c r="Y128" s="61"/>
      <c r="Z128" s="61"/>
      <c r="AA128" s="61"/>
      <c r="AB128" s="60"/>
      <c r="AC128" s="61"/>
      <c r="AD128" s="61"/>
      <c r="AE128" s="61"/>
      <c r="AF128" s="61"/>
      <c r="AG128" s="61"/>
      <c r="AH128" s="61"/>
      <c r="AI128" s="61"/>
      <c r="AJ128" s="61"/>
      <c r="AK128" s="127"/>
      <c r="AL128" s="127"/>
      <c r="AM128" s="127"/>
      <c r="AN128" s="127"/>
      <c r="AO128" s="127"/>
      <c r="AP128" s="61"/>
      <c r="AQ128" s="61"/>
      <c r="AR128" s="61"/>
      <c r="AS128" s="61"/>
      <c r="AT128" s="110"/>
      <c r="AU128" s="110"/>
    </row>
    <row r="129" spans="2:47" ht="12.95" customHeight="1" x14ac:dyDescent="0.2">
      <c r="B129" s="60"/>
      <c r="L129" s="61"/>
      <c r="M129" s="61"/>
      <c r="N129" s="61"/>
      <c r="O129" s="61"/>
      <c r="P129" s="61"/>
      <c r="Q129" s="61"/>
      <c r="R129" s="61"/>
      <c r="S129" s="61"/>
      <c r="T129" s="61"/>
      <c r="U129" s="61"/>
      <c r="V129" s="61"/>
      <c r="W129" s="61"/>
      <c r="X129" s="61"/>
      <c r="Y129" s="61"/>
      <c r="Z129" s="61"/>
      <c r="AA129" s="61"/>
      <c r="AB129" s="60"/>
      <c r="AC129" s="61"/>
      <c r="AD129" s="61"/>
      <c r="AE129" s="61"/>
      <c r="AF129" s="149"/>
      <c r="AG129" s="61"/>
      <c r="AH129" s="61"/>
      <c r="AI129" s="61"/>
      <c r="AJ129" s="61"/>
      <c r="AK129" s="127"/>
      <c r="AL129" s="127"/>
      <c r="AM129" s="127"/>
      <c r="AN129" s="127"/>
      <c r="AO129" s="127"/>
      <c r="AP129" s="61"/>
      <c r="AQ129" s="61"/>
      <c r="AR129" s="61"/>
      <c r="AS129" s="61"/>
      <c r="AT129" s="110"/>
      <c r="AU129" s="110"/>
    </row>
    <row r="130" spans="2:47" ht="12.95" customHeight="1" x14ac:dyDescent="0.2">
      <c r="B130" s="60"/>
      <c r="L130" s="61"/>
      <c r="M130" s="61"/>
      <c r="N130" s="61"/>
      <c r="O130" s="61"/>
      <c r="P130" s="61"/>
      <c r="Q130" s="61"/>
      <c r="R130" s="61"/>
      <c r="S130" s="61"/>
      <c r="T130" s="61"/>
      <c r="U130" s="61"/>
      <c r="V130" s="61"/>
      <c r="W130" s="61"/>
      <c r="X130" s="61"/>
      <c r="Y130" s="61"/>
      <c r="Z130" s="61"/>
      <c r="AA130" s="61"/>
      <c r="AB130" s="60"/>
      <c r="AC130" s="61"/>
      <c r="AD130" s="61"/>
      <c r="AE130" s="61"/>
      <c r="AF130" s="61"/>
      <c r="AG130" s="61"/>
      <c r="AH130" s="61"/>
      <c r="AI130" s="61"/>
      <c r="AJ130" s="61"/>
      <c r="AK130" s="127"/>
      <c r="AL130" s="127"/>
      <c r="AM130" s="127"/>
      <c r="AN130" s="127"/>
      <c r="AO130" s="127"/>
      <c r="AP130" s="61"/>
      <c r="AQ130" s="61"/>
      <c r="AR130" s="61"/>
      <c r="AS130" s="61"/>
      <c r="AT130" s="110"/>
      <c r="AU130" s="110"/>
    </row>
    <row r="131" spans="2:47" ht="12.95" customHeight="1" x14ac:dyDescent="0.2">
      <c r="B131" s="60"/>
      <c r="L131" s="61"/>
      <c r="M131" s="61"/>
      <c r="N131" s="61"/>
      <c r="O131" s="61"/>
      <c r="P131" s="61"/>
      <c r="Q131" s="61"/>
      <c r="R131" s="61"/>
      <c r="S131" s="61"/>
      <c r="T131" s="61"/>
      <c r="U131" s="61"/>
      <c r="V131" s="61"/>
      <c r="W131" s="61"/>
      <c r="X131" s="61"/>
      <c r="Y131" s="61"/>
      <c r="Z131" s="61"/>
      <c r="AA131" s="61"/>
      <c r="AB131" s="60"/>
      <c r="AC131" s="61"/>
      <c r="AD131" s="61"/>
      <c r="AE131" s="208"/>
      <c r="AF131" s="127"/>
      <c r="AG131" s="127"/>
      <c r="AH131" s="127"/>
      <c r="AI131" s="127"/>
      <c r="AJ131" s="127"/>
      <c r="AK131" s="127"/>
      <c r="AL131" s="127"/>
      <c r="AM131" s="127"/>
      <c r="AN131" s="127"/>
      <c r="AO131" s="127"/>
      <c r="AP131" s="127"/>
      <c r="AQ131" s="127"/>
      <c r="AR131" s="127"/>
      <c r="AS131" s="127"/>
      <c r="AT131" s="128"/>
      <c r="AU131" s="110"/>
    </row>
    <row r="132" spans="2:47" ht="12.95" customHeight="1" x14ac:dyDescent="0.2">
      <c r="B132" s="60"/>
      <c r="L132" s="61"/>
      <c r="M132" s="61"/>
      <c r="N132" s="61"/>
      <c r="O132" s="61"/>
      <c r="P132" s="61"/>
      <c r="Q132" s="61"/>
      <c r="R132" s="61"/>
      <c r="S132" s="61"/>
      <c r="T132" s="61"/>
      <c r="U132" s="61"/>
      <c r="V132" s="61"/>
      <c r="W132" s="61"/>
      <c r="X132" s="61"/>
      <c r="Y132" s="61"/>
      <c r="Z132" s="61"/>
      <c r="AA132" s="61"/>
      <c r="AB132" s="60"/>
      <c r="AC132" s="61"/>
      <c r="AD132" s="61"/>
      <c r="AE132" s="208"/>
      <c r="AF132" s="127"/>
      <c r="AG132" s="127"/>
      <c r="AH132" s="127"/>
      <c r="AI132" s="127"/>
      <c r="AJ132" s="127"/>
      <c r="AK132" s="127"/>
      <c r="AL132" s="127"/>
      <c r="AM132" s="127"/>
      <c r="AN132" s="127"/>
      <c r="AO132" s="127"/>
      <c r="AP132" s="127"/>
      <c r="AQ132" s="127"/>
      <c r="AR132" s="127"/>
      <c r="AS132" s="127"/>
      <c r="AT132" s="128"/>
      <c r="AU132" s="110"/>
    </row>
    <row r="133" spans="2:47" ht="12.95" customHeight="1" x14ac:dyDescent="0.2">
      <c r="B133" s="60"/>
      <c r="L133" s="61"/>
      <c r="M133" s="61"/>
      <c r="N133" s="61"/>
      <c r="O133" s="61"/>
      <c r="P133" s="61"/>
      <c r="Q133" s="61"/>
      <c r="R133" s="61"/>
      <c r="S133" s="61"/>
      <c r="T133" s="61"/>
      <c r="U133" s="61"/>
      <c r="V133" s="61"/>
      <c r="W133" s="61"/>
      <c r="X133" s="61"/>
      <c r="Y133" s="61"/>
      <c r="Z133" s="61"/>
      <c r="AA133" s="61"/>
      <c r="AB133" s="60"/>
      <c r="AC133" s="61"/>
      <c r="AD133" s="61"/>
      <c r="AE133" s="208"/>
      <c r="AF133" s="127"/>
      <c r="AG133" s="127"/>
      <c r="AH133" s="127"/>
      <c r="AI133" s="127"/>
      <c r="AJ133" s="127"/>
      <c r="AK133" s="127"/>
      <c r="AL133" s="127"/>
      <c r="AM133" s="127"/>
      <c r="AN133" s="127"/>
      <c r="AO133" s="127"/>
      <c r="AP133" s="127"/>
      <c r="AQ133" s="127"/>
      <c r="AR133" s="127"/>
      <c r="AS133" s="127"/>
      <c r="AT133" s="128"/>
      <c r="AU133" s="110"/>
    </row>
    <row r="134" spans="2:47" ht="12.95" customHeight="1" x14ac:dyDescent="0.2">
      <c r="B134" s="60"/>
      <c r="L134" s="61"/>
      <c r="M134" s="61"/>
      <c r="N134" s="61"/>
      <c r="O134" s="61"/>
      <c r="P134" s="61"/>
      <c r="Q134" s="61"/>
      <c r="R134" s="61"/>
      <c r="S134" s="61"/>
      <c r="T134" s="61"/>
      <c r="U134" s="61"/>
      <c r="V134" s="61"/>
      <c r="W134" s="61"/>
      <c r="X134" s="61"/>
      <c r="Y134" s="61"/>
      <c r="Z134" s="61"/>
      <c r="AA134" s="61"/>
      <c r="AB134" s="60"/>
      <c r="AC134" s="61"/>
      <c r="AD134" s="61"/>
      <c r="AE134" s="208"/>
      <c r="AF134" s="127"/>
      <c r="AG134" s="127"/>
      <c r="AH134" s="127"/>
      <c r="AI134" s="127"/>
      <c r="AJ134" s="127"/>
      <c r="AK134" s="127"/>
      <c r="AL134" s="127"/>
      <c r="AM134" s="127"/>
      <c r="AN134" s="127"/>
      <c r="AO134" s="127"/>
      <c r="AP134" s="127"/>
      <c r="AQ134" s="127"/>
      <c r="AR134" s="127"/>
      <c r="AS134" s="127"/>
      <c r="AT134" s="128"/>
      <c r="AU134" s="110"/>
    </row>
    <row r="135" spans="2:47" ht="18.75" customHeight="1" x14ac:dyDescent="0.2">
      <c r="B135" s="60"/>
      <c r="L135" s="61"/>
      <c r="M135" s="61"/>
      <c r="N135" s="61"/>
      <c r="O135" s="61"/>
      <c r="P135" s="61"/>
      <c r="Q135" s="61"/>
      <c r="R135" s="61"/>
      <c r="S135" s="61"/>
      <c r="T135" s="61"/>
      <c r="U135" s="61"/>
      <c r="V135" s="61"/>
      <c r="W135" s="61"/>
      <c r="X135" s="61"/>
      <c r="Y135" s="61"/>
      <c r="Z135" s="61"/>
      <c r="AA135" s="61"/>
      <c r="AB135" s="68"/>
      <c r="AC135" s="84"/>
      <c r="AD135" s="84"/>
      <c r="AE135" s="264"/>
      <c r="AF135" s="131"/>
      <c r="AG135" s="131"/>
      <c r="AH135" s="131"/>
      <c r="AI135" s="131"/>
      <c r="AJ135" s="131"/>
      <c r="AK135" s="131"/>
      <c r="AL135" s="131"/>
      <c r="AM135" s="131"/>
      <c r="AN135" s="131"/>
      <c r="AO135" s="131"/>
      <c r="AP135" s="131"/>
      <c r="AQ135" s="131"/>
      <c r="AR135" s="131"/>
      <c r="AS135" s="131"/>
      <c r="AT135" s="132"/>
      <c r="AU135" s="110"/>
    </row>
    <row r="136" spans="2:47" x14ac:dyDescent="0.2">
      <c r="B136" s="68"/>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111"/>
    </row>
    <row r="137" spans="2:47" x14ac:dyDescent="0.2">
      <c r="AE137" s="204"/>
      <c r="AF137" s="127"/>
      <c r="AG137" s="127"/>
      <c r="AH137" s="127"/>
      <c r="AI137" s="127"/>
      <c r="AJ137" s="127"/>
      <c r="AK137" s="127"/>
      <c r="AL137" s="127"/>
      <c r="AM137" s="127"/>
      <c r="AN137" s="127"/>
      <c r="AO137" s="127"/>
      <c r="AP137" s="127"/>
      <c r="AQ137" s="127"/>
      <c r="AR137" s="127"/>
      <c r="AS137" s="127"/>
      <c r="AT137" s="127"/>
    </row>
    <row r="138" spans="2:47" x14ac:dyDescent="0.2">
      <c r="AE138" s="204"/>
      <c r="AF138" s="127"/>
      <c r="AG138" s="127"/>
      <c r="AH138" s="127"/>
      <c r="AI138" s="127"/>
      <c r="AJ138" s="127"/>
      <c r="AK138" s="127"/>
      <c r="AL138" s="127"/>
      <c r="AM138" s="127"/>
      <c r="AN138" s="127"/>
      <c r="AO138" s="127"/>
      <c r="AP138" s="127"/>
      <c r="AQ138" s="127"/>
      <c r="AR138" s="127"/>
      <c r="AS138" s="127"/>
      <c r="AT138" s="127"/>
    </row>
    <row r="139" spans="2:47" x14ac:dyDescent="0.2">
      <c r="AE139" s="204"/>
      <c r="AF139" s="127"/>
      <c r="AG139" s="127"/>
      <c r="AH139" s="127"/>
      <c r="AI139" s="127"/>
      <c r="AJ139" s="127"/>
      <c r="AK139" s="127"/>
      <c r="AL139" s="127"/>
      <c r="AM139" s="127"/>
      <c r="AN139" s="127"/>
      <c r="AO139" s="127"/>
      <c r="AP139" s="127"/>
      <c r="AQ139" s="127"/>
      <c r="AR139" s="127"/>
      <c r="AS139" s="127"/>
      <c r="AT139" s="127"/>
    </row>
    <row r="140" spans="2:47" x14ac:dyDescent="0.2">
      <c r="AE140" s="204"/>
      <c r="AF140" s="127"/>
      <c r="AG140" s="127"/>
      <c r="AH140" s="127"/>
      <c r="AI140" s="127"/>
      <c r="AJ140" s="127"/>
      <c r="AK140" s="127"/>
      <c r="AL140" s="127"/>
      <c r="AM140" s="127"/>
      <c r="AN140" s="127"/>
      <c r="AO140" s="127"/>
      <c r="AP140" s="127"/>
      <c r="AQ140" s="127"/>
      <c r="AR140" s="127"/>
      <c r="AS140" s="127"/>
      <c r="AT140" s="127"/>
    </row>
    <row r="141" spans="2:47" x14ac:dyDescent="0.2">
      <c r="AE141" s="204"/>
      <c r="AF141" s="127"/>
      <c r="AG141" s="127"/>
      <c r="AH141" s="127"/>
      <c r="AI141" s="127"/>
      <c r="AJ141" s="127"/>
      <c r="AK141" s="127"/>
      <c r="AL141" s="127"/>
      <c r="AM141" s="127"/>
      <c r="AN141" s="127"/>
      <c r="AO141" s="127"/>
      <c r="AP141" s="127"/>
      <c r="AQ141" s="127"/>
      <c r="AR141" s="127"/>
      <c r="AS141" s="127"/>
      <c r="AT141" s="127"/>
    </row>
    <row r="142" spans="2:47" x14ac:dyDescent="0.2">
      <c r="AE142" s="204"/>
      <c r="AF142" s="127"/>
      <c r="AG142" s="127"/>
      <c r="AH142" s="127"/>
      <c r="AI142" s="127"/>
      <c r="AJ142" s="127"/>
      <c r="AK142" s="127"/>
      <c r="AL142" s="127"/>
      <c r="AM142" s="127"/>
      <c r="AN142" s="127"/>
      <c r="AO142" s="127"/>
      <c r="AP142" s="127"/>
      <c r="AQ142" s="127"/>
      <c r="AR142" s="127"/>
      <c r="AS142" s="127"/>
      <c r="AT142" s="127"/>
    </row>
    <row r="143" spans="2:47" ht="15" customHeight="1" x14ac:dyDescent="0.2">
      <c r="X143" s="127"/>
      <c r="Y143" s="127"/>
      <c r="AE143" s="204"/>
      <c r="AF143" s="127"/>
      <c r="AG143" s="127"/>
      <c r="AH143" s="127"/>
      <c r="AI143" s="127"/>
      <c r="AJ143" s="127"/>
      <c r="AK143" s="127"/>
      <c r="AL143" s="127"/>
      <c r="AM143" s="127"/>
      <c r="AN143" s="127"/>
      <c r="AO143" s="127"/>
      <c r="AP143" s="127"/>
      <c r="AQ143" s="127"/>
      <c r="AR143" s="127"/>
      <c r="AS143" s="127"/>
      <c r="AT143" s="127"/>
    </row>
    <row r="144" spans="2:47" x14ac:dyDescent="0.2">
      <c r="AE144" s="204"/>
      <c r="AG144" s="127"/>
      <c r="AH144" s="127"/>
      <c r="AI144" s="127"/>
      <c r="AJ144" s="127"/>
      <c r="AK144" s="127"/>
      <c r="AL144" s="127"/>
      <c r="AM144" s="127"/>
      <c r="AN144" s="127"/>
      <c r="AO144" s="127"/>
    </row>
    <row r="145" spans="24:47" x14ac:dyDescent="0.2">
      <c r="AE145" s="204"/>
      <c r="AF145" s="127"/>
      <c r="AG145" s="127"/>
      <c r="AH145" s="127"/>
      <c r="AI145" s="127"/>
      <c r="AJ145" s="127"/>
      <c r="AK145" s="127"/>
      <c r="AL145" s="127"/>
      <c r="AM145" s="127"/>
      <c r="AN145" s="127"/>
      <c r="AO145" s="127"/>
      <c r="AP145" s="127"/>
      <c r="AQ145" s="127"/>
      <c r="AR145" s="127"/>
      <c r="AS145" s="127"/>
      <c r="AT145" s="127"/>
    </row>
    <row r="146" spans="24:47" x14ac:dyDescent="0.2">
      <c r="AE146" s="204"/>
      <c r="AF146" s="127"/>
      <c r="AG146" s="127"/>
      <c r="AH146" s="127"/>
      <c r="AI146" s="127"/>
      <c r="AJ146" s="127"/>
      <c r="AK146" s="127"/>
      <c r="AL146" s="127"/>
      <c r="AM146" s="127"/>
      <c r="AN146" s="127"/>
      <c r="AO146" s="127"/>
      <c r="AP146" s="127"/>
      <c r="AQ146" s="127"/>
      <c r="AR146" s="127"/>
      <c r="AS146" s="127"/>
      <c r="AT146" s="127"/>
      <c r="AU146" s="205"/>
    </row>
    <row r="147" spans="24:47" x14ac:dyDescent="0.2">
      <c r="AE147" s="204"/>
      <c r="AF147" s="127"/>
      <c r="AG147" s="127"/>
      <c r="AH147" s="127"/>
      <c r="AI147" s="127"/>
      <c r="AJ147" s="127"/>
      <c r="AK147" s="127"/>
      <c r="AL147" s="127"/>
      <c r="AM147" s="127"/>
      <c r="AN147" s="127"/>
      <c r="AO147" s="127"/>
      <c r="AP147" s="127"/>
      <c r="AQ147" s="127"/>
      <c r="AR147" s="127"/>
      <c r="AS147" s="127"/>
      <c r="AT147" s="127"/>
      <c r="AU147" s="205"/>
    </row>
    <row r="148" spans="24:47" x14ac:dyDescent="0.2">
      <c r="AE148" s="204"/>
      <c r="AF148" s="127"/>
      <c r="AG148" s="127"/>
      <c r="AH148" s="127"/>
      <c r="AI148" s="127"/>
      <c r="AJ148" s="127"/>
      <c r="AK148" s="127"/>
      <c r="AL148" s="127"/>
      <c r="AM148" s="127"/>
      <c r="AN148" s="127"/>
      <c r="AO148" s="127"/>
      <c r="AP148" s="127"/>
      <c r="AQ148" s="127"/>
      <c r="AR148" s="127"/>
      <c r="AS148" s="127"/>
      <c r="AT148" s="127"/>
      <c r="AU148" s="205"/>
    </row>
    <row r="149" spans="24:47" x14ac:dyDescent="0.2">
      <c r="AE149" s="204"/>
      <c r="AF149" s="127"/>
      <c r="AG149" s="127"/>
      <c r="AH149" s="127"/>
      <c r="AI149" s="127"/>
      <c r="AJ149" s="127"/>
      <c r="AK149" s="127"/>
      <c r="AL149" s="127"/>
      <c r="AM149" s="127"/>
      <c r="AN149" s="127"/>
      <c r="AO149" s="127"/>
      <c r="AP149" s="127"/>
      <c r="AQ149" s="127"/>
      <c r="AR149" s="127"/>
      <c r="AS149" s="127"/>
      <c r="AT149" s="127"/>
      <c r="AU149" s="205"/>
    </row>
    <row r="150" spans="24:47" x14ac:dyDescent="0.2">
      <c r="AE150" s="204"/>
      <c r="AF150" s="127"/>
      <c r="AG150" s="127"/>
      <c r="AH150" s="127"/>
      <c r="AI150" s="127"/>
      <c r="AJ150" s="127"/>
      <c r="AK150" s="127"/>
      <c r="AL150" s="127"/>
      <c r="AM150" s="127"/>
      <c r="AN150" s="127"/>
      <c r="AO150" s="127"/>
      <c r="AP150" s="127"/>
      <c r="AQ150" s="127"/>
      <c r="AR150" s="127"/>
      <c r="AS150" s="127"/>
      <c r="AT150" s="127"/>
      <c r="AU150" s="205"/>
    </row>
    <row r="151" spans="24:47" x14ac:dyDescent="0.2">
      <c r="AE151" s="204"/>
      <c r="AF151" s="127"/>
      <c r="AG151" s="127"/>
      <c r="AH151" s="127"/>
      <c r="AI151" s="127"/>
      <c r="AJ151" s="127"/>
      <c r="AK151" s="127"/>
      <c r="AL151" s="127"/>
      <c r="AM151" s="127"/>
      <c r="AN151" s="127"/>
      <c r="AO151" s="127"/>
      <c r="AP151" s="127"/>
      <c r="AQ151" s="127"/>
      <c r="AR151" s="127"/>
      <c r="AS151" s="127"/>
      <c r="AT151" s="127"/>
      <c r="AU151" s="205"/>
    </row>
    <row r="152" spans="24:47" x14ac:dyDescent="0.2">
      <c r="AE152" s="204"/>
      <c r="AF152" s="127"/>
      <c r="AG152" s="127"/>
      <c r="AH152" s="127"/>
      <c r="AI152" s="127"/>
      <c r="AJ152" s="127"/>
      <c r="AK152" s="127"/>
      <c r="AL152" s="127"/>
      <c r="AM152" s="127"/>
      <c r="AN152" s="127"/>
      <c r="AO152" s="127"/>
      <c r="AP152" s="127"/>
      <c r="AQ152" s="127"/>
      <c r="AR152" s="127"/>
      <c r="AS152" s="127"/>
      <c r="AT152" s="127"/>
      <c r="AU152" s="205"/>
    </row>
    <row r="153" spans="24:47" x14ac:dyDescent="0.2">
      <c r="AE153" s="204"/>
      <c r="AF153" s="127"/>
      <c r="AG153" s="127"/>
      <c r="AH153" s="127"/>
      <c r="AI153" s="127"/>
      <c r="AJ153" s="127"/>
      <c r="AK153" s="127"/>
      <c r="AL153" s="127"/>
      <c r="AM153" s="127"/>
      <c r="AN153" s="127"/>
      <c r="AO153" s="127"/>
      <c r="AP153" s="127"/>
      <c r="AQ153" s="127"/>
      <c r="AR153" s="127"/>
      <c r="AS153" s="127"/>
      <c r="AT153" s="127"/>
      <c r="AU153" s="205"/>
    </row>
    <row r="154" spans="24:47" x14ac:dyDescent="0.2">
      <c r="AE154" s="204"/>
      <c r="AF154" s="127"/>
      <c r="AG154" s="127"/>
      <c r="AH154" s="127"/>
      <c r="AI154" s="127"/>
      <c r="AJ154" s="127"/>
      <c r="AK154" s="127"/>
      <c r="AL154" s="127"/>
      <c r="AM154" s="127"/>
      <c r="AN154" s="127"/>
      <c r="AO154" s="127"/>
      <c r="AP154" s="127"/>
      <c r="AQ154" s="127"/>
      <c r="AR154" s="127"/>
      <c r="AS154" s="127"/>
      <c r="AT154" s="127"/>
      <c r="AU154" s="205"/>
    </row>
    <row r="155" spans="24:47" x14ac:dyDescent="0.2">
      <c r="AE155" s="204"/>
      <c r="AF155" s="127"/>
      <c r="AG155" s="127"/>
      <c r="AH155" s="127"/>
      <c r="AI155" s="127"/>
      <c r="AJ155" s="127"/>
      <c r="AK155" s="127"/>
      <c r="AL155" s="127"/>
      <c r="AM155" s="127"/>
      <c r="AN155" s="127"/>
      <c r="AO155" s="127"/>
      <c r="AP155" s="127"/>
      <c r="AQ155" s="127"/>
      <c r="AR155" s="127"/>
      <c r="AS155" s="127"/>
      <c r="AT155" s="127"/>
      <c r="AU155" s="205"/>
    </row>
    <row r="156" spans="24:47" x14ac:dyDescent="0.2">
      <c r="AE156" s="204"/>
      <c r="AF156" s="127"/>
      <c r="AG156" s="127"/>
      <c r="AH156" s="127"/>
      <c r="AI156" s="127"/>
      <c r="AJ156" s="127"/>
      <c r="AK156" s="127"/>
      <c r="AL156" s="127"/>
      <c r="AM156" s="127"/>
      <c r="AN156" s="127"/>
      <c r="AO156" s="127"/>
      <c r="AP156" s="127"/>
      <c r="AQ156" s="127"/>
      <c r="AR156" s="127"/>
      <c r="AS156" s="127"/>
      <c r="AT156" s="127"/>
      <c r="AU156" s="205"/>
    </row>
    <row r="157" spans="24:47" x14ac:dyDescent="0.2">
      <c r="AE157" s="204"/>
      <c r="AF157" s="127"/>
      <c r="AG157" s="127"/>
      <c r="AH157" s="127"/>
      <c r="AI157" s="127"/>
      <c r="AJ157" s="127"/>
      <c r="AK157" s="127"/>
      <c r="AL157" s="127"/>
      <c r="AM157" s="127"/>
      <c r="AN157" s="127"/>
      <c r="AO157" s="127"/>
      <c r="AP157" s="127"/>
      <c r="AQ157" s="127"/>
      <c r="AR157" s="127"/>
      <c r="AS157" s="127"/>
      <c r="AT157" s="127"/>
      <c r="AU157" s="205"/>
    </row>
    <row r="158" spans="24:47" ht="15" customHeight="1" x14ac:dyDescent="0.2">
      <c r="X158" s="127"/>
      <c r="Y158" s="127"/>
      <c r="AE158" s="204"/>
      <c r="AF158" s="205"/>
      <c r="AG158" s="205"/>
      <c r="AH158" s="205"/>
      <c r="AI158" s="205"/>
      <c r="AJ158" s="205"/>
      <c r="AK158" s="205"/>
      <c r="AL158" s="205"/>
      <c r="AM158" s="205"/>
      <c r="AN158" s="205"/>
      <c r="AO158" s="205"/>
      <c r="AP158" s="205"/>
      <c r="AQ158" s="205"/>
      <c r="AR158" s="205"/>
      <c r="AS158" s="205"/>
      <c r="AT158" s="205"/>
      <c r="AU158" s="205"/>
    </row>
    <row r="159" spans="24:47" x14ac:dyDescent="0.2">
      <c r="AE159" s="204"/>
      <c r="AF159" s="127"/>
      <c r="AG159" s="127"/>
      <c r="AH159" s="127"/>
      <c r="AI159" s="127"/>
      <c r="AJ159" s="127"/>
      <c r="AK159" s="127"/>
      <c r="AL159" s="127"/>
      <c r="AM159" s="127"/>
      <c r="AN159" s="127"/>
      <c r="AO159" s="127"/>
      <c r="AP159" s="127"/>
      <c r="AQ159" s="127"/>
      <c r="AR159" s="127"/>
      <c r="AS159" s="127"/>
      <c r="AT159" s="127"/>
      <c r="AU159" s="205"/>
    </row>
    <row r="160" spans="24:47" x14ac:dyDescent="0.2">
      <c r="AE160" s="204"/>
      <c r="AF160" s="127"/>
      <c r="AG160" s="127"/>
      <c r="AH160" s="127"/>
      <c r="AI160" s="127"/>
      <c r="AJ160" s="127"/>
      <c r="AK160" s="127"/>
      <c r="AL160" s="127"/>
      <c r="AM160" s="127"/>
      <c r="AN160" s="127"/>
      <c r="AO160" s="127"/>
      <c r="AP160" s="127"/>
      <c r="AQ160" s="127"/>
      <c r="AR160" s="127"/>
      <c r="AS160" s="127"/>
      <c r="AT160" s="127"/>
      <c r="AU160" s="205"/>
    </row>
    <row r="161" spans="24:47" x14ac:dyDescent="0.2">
      <c r="AE161" s="204"/>
      <c r="AF161" s="127"/>
      <c r="AG161" s="127"/>
      <c r="AH161" s="127"/>
      <c r="AI161" s="127"/>
      <c r="AJ161" s="127"/>
      <c r="AK161" s="127"/>
      <c r="AL161" s="127"/>
      <c r="AM161" s="127"/>
      <c r="AN161" s="127"/>
      <c r="AO161" s="127"/>
      <c r="AP161" s="127"/>
      <c r="AQ161" s="127"/>
      <c r="AR161" s="127"/>
      <c r="AS161" s="127"/>
      <c r="AT161" s="127"/>
      <c r="AU161" s="205"/>
    </row>
    <row r="162" spans="24:47" x14ac:dyDescent="0.2">
      <c r="AE162" s="204"/>
      <c r="AF162" s="127"/>
      <c r="AG162" s="127"/>
      <c r="AH162" s="127"/>
      <c r="AI162" s="127"/>
      <c r="AJ162" s="127"/>
      <c r="AK162" s="127"/>
      <c r="AL162" s="127"/>
      <c r="AM162" s="127"/>
      <c r="AN162" s="127"/>
      <c r="AO162" s="127"/>
      <c r="AP162" s="127"/>
      <c r="AQ162" s="127"/>
      <c r="AR162" s="127"/>
      <c r="AS162" s="127"/>
      <c r="AT162" s="127"/>
      <c r="AU162" s="205"/>
    </row>
    <row r="163" spans="24:47" x14ac:dyDescent="0.2">
      <c r="AE163" s="204"/>
      <c r="AF163" s="127"/>
      <c r="AG163" s="127"/>
      <c r="AH163" s="127"/>
      <c r="AI163" s="127"/>
      <c r="AJ163" s="127"/>
      <c r="AK163" s="127"/>
      <c r="AL163" s="127"/>
      <c r="AM163" s="127"/>
      <c r="AN163" s="127"/>
      <c r="AO163" s="127"/>
      <c r="AP163" s="127"/>
      <c r="AQ163" s="127"/>
      <c r="AR163" s="127"/>
      <c r="AS163" s="127"/>
      <c r="AT163" s="127"/>
      <c r="AU163" s="205"/>
    </row>
    <row r="164" spans="24:47" x14ac:dyDescent="0.2">
      <c r="AE164" s="204"/>
      <c r="AF164" s="127"/>
      <c r="AG164" s="127"/>
      <c r="AH164" s="127"/>
      <c r="AI164" s="127"/>
      <c r="AJ164" s="127"/>
      <c r="AK164" s="127"/>
      <c r="AL164" s="127"/>
      <c r="AM164" s="127"/>
      <c r="AN164" s="127"/>
      <c r="AO164" s="127"/>
      <c r="AP164" s="127"/>
      <c r="AQ164" s="127"/>
      <c r="AR164" s="127"/>
      <c r="AS164" s="127"/>
      <c r="AT164" s="127"/>
      <c r="AU164" s="205"/>
    </row>
    <row r="165" spans="24:47" x14ac:dyDescent="0.2">
      <c r="AE165" s="204"/>
      <c r="AF165" s="127"/>
      <c r="AG165" s="127"/>
      <c r="AH165" s="127"/>
      <c r="AI165" s="127"/>
      <c r="AJ165" s="127"/>
      <c r="AK165" s="127"/>
      <c r="AL165" s="127"/>
      <c r="AM165" s="127"/>
      <c r="AN165" s="127"/>
      <c r="AO165" s="127"/>
      <c r="AP165" s="127"/>
      <c r="AQ165" s="127"/>
      <c r="AR165" s="127"/>
      <c r="AS165" s="127"/>
      <c r="AT165" s="127"/>
      <c r="AU165" s="205"/>
    </row>
    <row r="166" spans="24:47" x14ac:dyDescent="0.2">
      <c r="AE166" s="204"/>
      <c r="AF166" s="127"/>
      <c r="AG166" s="127"/>
      <c r="AH166" s="127"/>
      <c r="AI166" s="127"/>
      <c r="AJ166" s="127"/>
      <c r="AK166" s="127"/>
      <c r="AL166" s="127"/>
      <c r="AM166" s="127"/>
      <c r="AN166" s="127"/>
      <c r="AO166" s="127"/>
      <c r="AP166" s="127"/>
      <c r="AQ166" s="127"/>
      <c r="AR166" s="127"/>
      <c r="AS166" s="127"/>
      <c r="AT166" s="127"/>
    </row>
    <row r="167" spans="24:47" x14ac:dyDescent="0.2">
      <c r="AE167" s="204"/>
      <c r="AF167" s="127"/>
      <c r="AG167" s="127"/>
      <c r="AH167" s="127"/>
      <c r="AI167" s="127"/>
      <c r="AJ167" s="127"/>
      <c r="AK167" s="127"/>
      <c r="AL167" s="127"/>
      <c r="AM167" s="127"/>
      <c r="AN167" s="127"/>
      <c r="AO167" s="127"/>
      <c r="AP167" s="127"/>
      <c r="AQ167" s="127"/>
      <c r="AR167" s="127"/>
      <c r="AS167" s="127"/>
      <c r="AT167" s="127"/>
    </row>
    <row r="168" spans="24:47" x14ac:dyDescent="0.2">
      <c r="AE168" s="204"/>
      <c r="AF168" s="127"/>
      <c r="AG168" s="127"/>
      <c r="AH168" s="127"/>
      <c r="AI168" s="127"/>
      <c r="AJ168" s="127"/>
      <c r="AK168" s="127"/>
      <c r="AL168" s="127"/>
      <c r="AM168" s="127"/>
      <c r="AN168" s="127"/>
      <c r="AO168" s="127"/>
      <c r="AP168" s="127"/>
      <c r="AQ168" s="127"/>
      <c r="AR168" s="127"/>
      <c r="AS168" s="127"/>
      <c r="AT168" s="127"/>
    </row>
    <row r="169" spans="24:47" x14ac:dyDescent="0.2">
      <c r="AE169" s="204"/>
      <c r="AF169" s="127"/>
      <c r="AG169" s="127"/>
      <c r="AH169" s="127"/>
      <c r="AI169" s="127"/>
      <c r="AJ169" s="127"/>
      <c r="AK169" s="127"/>
      <c r="AL169" s="127"/>
      <c r="AM169" s="127"/>
      <c r="AN169" s="127"/>
      <c r="AO169" s="127"/>
      <c r="AP169" s="127"/>
      <c r="AQ169" s="127"/>
      <c r="AR169" s="127"/>
      <c r="AS169" s="127"/>
      <c r="AT169" s="127"/>
    </row>
    <row r="170" spans="24:47" x14ac:dyDescent="0.2">
      <c r="AE170" s="204"/>
      <c r="AF170" s="127"/>
      <c r="AG170" s="127"/>
      <c r="AH170" s="127"/>
      <c r="AI170" s="127"/>
      <c r="AJ170" s="127"/>
      <c r="AK170" s="127"/>
      <c r="AL170" s="127"/>
      <c r="AM170" s="127"/>
      <c r="AN170" s="127"/>
      <c r="AO170" s="127"/>
      <c r="AP170" s="127"/>
      <c r="AQ170" s="127"/>
      <c r="AR170" s="127"/>
      <c r="AS170" s="127"/>
      <c r="AT170" s="127"/>
    </row>
    <row r="171" spans="24:47" x14ac:dyDescent="0.2">
      <c r="AE171" s="204"/>
      <c r="AF171" s="127"/>
      <c r="AG171" s="127"/>
      <c r="AH171" s="127"/>
      <c r="AI171" s="127"/>
      <c r="AJ171" s="127"/>
      <c r="AK171" s="127"/>
      <c r="AL171" s="127"/>
      <c r="AM171" s="127"/>
      <c r="AN171" s="127"/>
      <c r="AO171" s="127"/>
      <c r="AP171" s="127"/>
      <c r="AQ171" s="127"/>
      <c r="AR171" s="127"/>
      <c r="AS171" s="127"/>
      <c r="AT171" s="127"/>
    </row>
    <row r="172" spans="24:47" x14ac:dyDescent="0.2">
      <c r="AE172" s="204"/>
      <c r="AG172" s="127"/>
      <c r="AH172" s="127"/>
      <c r="AI172" s="127"/>
      <c r="AJ172" s="127"/>
      <c r="AK172" s="127"/>
      <c r="AL172" s="127"/>
      <c r="AM172" s="127"/>
      <c r="AN172" s="127"/>
    </row>
    <row r="173" spans="24:47" ht="15" customHeight="1" x14ac:dyDescent="0.2">
      <c r="X173" s="127"/>
      <c r="Y173" s="127"/>
      <c r="AE173" s="204"/>
      <c r="AF173" s="127"/>
      <c r="AG173" s="127"/>
      <c r="AH173" s="127"/>
      <c r="AI173" s="127"/>
      <c r="AJ173" s="127"/>
      <c r="AK173" s="127"/>
      <c r="AL173" s="127"/>
      <c r="AM173" s="127"/>
      <c r="AN173" s="127"/>
      <c r="AO173" s="127"/>
      <c r="AP173" s="127"/>
      <c r="AQ173" s="127"/>
      <c r="AR173" s="127"/>
      <c r="AS173" s="127"/>
      <c r="AT173" s="127"/>
    </row>
    <row r="174" spans="24:47" x14ac:dyDescent="0.2">
      <c r="AE174" s="204"/>
      <c r="AF174" s="127"/>
      <c r="AG174" s="127"/>
      <c r="AH174" s="127"/>
      <c r="AI174" s="127"/>
      <c r="AJ174" s="127"/>
      <c r="AK174" s="127"/>
      <c r="AL174" s="127"/>
      <c r="AM174" s="127"/>
      <c r="AN174" s="127"/>
      <c r="AO174" s="127"/>
      <c r="AP174" s="127"/>
      <c r="AQ174" s="127"/>
      <c r="AR174" s="127"/>
      <c r="AS174" s="127"/>
      <c r="AT174" s="127"/>
    </row>
    <row r="175" spans="24:47" x14ac:dyDescent="0.2">
      <c r="AE175" s="204"/>
      <c r="AF175" s="127"/>
      <c r="AG175" s="127"/>
      <c r="AH175" s="127"/>
      <c r="AI175" s="127"/>
      <c r="AJ175" s="127"/>
      <c r="AK175" s="127"/>
      <c r="AL175" s="127"/>
      <c r="AM175" s="127"/>
      <c r="AN175" s="127"/>
      <c r="AO175" s="127"/>
      <c r="AP175" s="127"/>
      <c r="AQ175" s="127"/>
      <c r="AR175" s="127"/>
      <c r="AS175" s="127"/>
      <c r="AT175" s="127"/>
    </row>
    <row r="176" spans="24:47" x14ac:dyDescent="0.2">
      <c r="AE176" s="204"/>
      <c r="AF176" s="127"/>
      <c r="AG176" s="127"/>
      <c r="AH176" s="127"/>
      <c r="AI176" s="127"/>
      <c r="AJ176" s="127"/>
      <c r="AK176" s="127"/>
      <c r="AL176" s="127"/>
      <c r="AM176" s="127"/>
      <c r="AN176" s="127"/>
      <c r="AO176" s="127"/>
      <c r="AP176" s="127"/>
      <c r="AQ176" s="127"/>
      <c r="AR176" s="127"/>
      <c r="AS176" s="127"/>
      <c r="AT176" s="127"/>
    </row>
    <row r="177" spans="31:46" x14ac:dyDescent="0.2">
      <c r="AE177" s="204"/>
      <c r="AF177" s="127"/>
      <c r="AG177" s="127"/>
      <c r="AH177" s="127"/>
      <c r="AI177" s="127"/>
      <c r="AJ177" s="127"/>
      <c r="AK177" s="127"/>
      <c r="AL177" s="127"/>
      <c r="AM177" s="127"/>
      <c r="AN177" s="127"/>
      <c r="AO177" s="127"/>
      <c r="AP177" s="127"/>
      <c r="AQ177" s="127"/>
      <c r="AR177" s="127"/>
      <c r="AS177" s="127"/>
      <c r="AT177" s="127"/>
    </row>
    <row r="178" spans="31:46" x14ac:dyDescent="0.2">
      <c r="AE178" s="204"/>
      <c r="AF178" s="127"/>
      <c r="AG178" s="127"/>
      <c r="AH178" s="127"/>
      <c r="AI178" s="127"/>
      <c r="AJ178" s="127"/>
      <c r="AK178" s="127"/>
      <c r="AL178" s="127"/>
      <c r="AM178" s="127"/>
      <c r="AN178" s="127"/>
      <c r="AO178" s="127"/>
      <c r="AP178" s="127"/>
      <c r="AQ178" s="127"/>
      <c r="AR178" s="127"/>
      <c r="AS178" s="127"/>
      <c r="AT178" s="127"/>
    </row>
    <row r="179" spans="31:46" x14ac:dyDescent="0.2">
      <c r="AE179" s="204"/>
      <c r="AF179" s="127"/>
      <c r="AG179" s="127"/>
      <c r="AH179" s="127"/>
      <c r="AI179" s="127"/>
      <c r="AJ179" s="127"/>
      <c r="AK179" s="127"/>
      <c r="AL179" s="127"/>
      <c r="AM179" s="127"/>
      <c r="AN179" s="127"/>
      <c r="AO179" s="127"/>
      <c r="AP179" s="127"/>
      <c r="AQ179" s="127"/>
      <c r="AR179" s="127"/>
      <c r="AS179" s="127"/>
      <c r="AT179" s="127"/>
    </row>
    <row r="180" spans="31:46" x14ac:dyDescent="0.2">
      <c r="AE180" s="204"/>
      <c r="AF180" s="127"/>
      <c r="AG180" s="127"/>
      <c r="AH180" s="127"/>
      <c r="AI180" s="127"/>
      <c r="AJ180" s="127"/>
      <c r="AK180" s="127"/>
      <c r="AL180" s="127"/>
      <c r="AM180" s="127"/>
      <c r="AN180" s="127"/>
      <c r="AO180" s="127"/>
      <c r="AP180" s="127"/>
      <c r="AQ180" s="127"/>
      <c r="AR180" s="127"/>
      <c r="AS180" s="127"/>
      <c r="AT180" s="127"/>
    </row>
    <row r="181" spans="31:46" x14ac:dyDescent="0.2">
      <c r="AE181" s="204"/>
      <c r="AF181" s="127"/>
      <c r="AG181" s="127"/>
      <c r="AH181" s="127"/>
      <c r="AI181" s="127"/>
      <c r="AJ181" s="127"/>
      <c r="AK181" s="127"/>
      <c r="AL181" s="127"/>
      <c r="AM181" s="127"/>
      <c r="AN181" s="127"/>
      <c r="AO181" s="127"/>
      <c r="AP181" s="127"/>
      <c r="AQ181" s="127"/>
      <c r="AR181" s="127"/>
      <c r="AS181" s="127"/>
      <c r="AT181" s="127"/>
    </row>
    <row r="182" spans="31:46" x14ac:dyDescent="0.2">
      <c r="AE182" s="204"/>
      <c r="AF182" s="127"/>
      <c r="AG182" s="127"/>
      <c r="AH182" s="127"/>
      <c r="AI182" s="127"/>
      <c r="AJ182" s="127"/>
      <c r="AK182" s="127"/>
      <c r="AL182" s="127"/>
      <c r="AM182" s="127"/>
      <c r="AN182" s="127"/>
      <c r="AO182" s="127"/>
      <c r="AP182" s="127"/>
      <c r="AQ182" s="127"/>
      <c r="AR182" s="127"/>
      <c r="AS182" s="127"/>
      <c r="AT182" s="127"/>
    </row>
    <row r="183" spans="31:46" x14ac:dyDescent="0.2">
      <c r="AE183" s="204"/>
      <c r="AF183" s="127"/>
      <c r="AG183" s="127"/>
      <c r="AH183" s="127"/>
      <c r="AI183" s="127"/>
      <c r="AJ183" s="127"/>
      <c r="AK183" s="127"/>
      <c r="AL183" s="127"/>
      <c r="AM183" s="127"/>
      <c r="AN183" s="127"/>
      <c r="AO183" s="127"/>
      <c r="AP183" s="127"/>
      <c r="AQ183" s="127"/>
      <c r="AR183" s="127"/>
      <c r="AS183" s="127"/>
      <c r="AT183" s="127"/>
    </row>
    <row r="184" spans="31:46" x14ac:dyDescent="0.2">
      <c r="AE184" s="204"/>
      <c r="AF184" s="127"/>
      <c r="AG184" s="127"/>
      <c r="AH184" s="127"/>
      <c r="AI184" s="127"/>
      <c r="AJ184" s="127"/>
      <c r="AK184" s="127"/>
      <c r="AL184" s="127"/>
      <c r="AM184" s="127"/>
      <c r="AN184" s="127"/>
      <c r="AO184" s="127"/>
      <c r="AP184" s="127"/>
      <c r="AQ184" s="127"/>
      <c r="AR184" s="127"/>
      <c r="AS184" s="127"/>
      <c r="AT184" s="127"/>
    </row>
    <row r="185" spans="31:46" x14ac:dyDescent="0.2">
      <c r="AE185" s="204"/>
      <c r="AF185" s="127"/>
      <c r="AG185" s="127"/>
      <c r="AH185" s="127"/>
      <c r="AI185" s="127"/>
      <c r="AJ185" s="127"/>
      <c r="AK185" s="127"/>
      <c r="AL185" s="127"/>
      <c r="AM185" s="127"/>
      <c r="AN185" s="127"/>
      <c r="AO185" s="127"/>
      <c r="AP185" s="127"/>
      <c r="AQ185" s="127"/>
      <c r="AR185" s="127"/>
      <c r="AS185" s="127"/>
      <c r="AT185" s="127"/>
    </row>
    <row r="186" spans="31:46" x14ac:dyDescent="0.2">
      <c r="AE186" s="204"/>
      <c r="AG186" s="127"/>
      <c r="AH186" s="127"/>
      <c r="AI186" s="127"/>
      <c r="AJ186" s="127"/>
      <c r="AK186" s="127"/>
      <c r="AL186" s="127"/>
      <c r="AM186" s="127"/>
      <c r="AN186" s="127"/>
    </row>
    <row r="187" spans="31:46" x14ac:dyDescent="0.2">
      <c r="AE187" s="204"/>
      <c r="AF187" s="127"/>
      <c r="AG187" s="127"/>
      <c r="AH187" s="127"/>
      <c r="AI187" s="127"/>
      <c r="AJ187" s="127"/>
      <c r="AK187" s="127"/>
      <c r="AL187" s="127"/>
      <c r="AM187" s="127"/>
      <c r="AN187" s="127"/>
      <c r="AO187" s="127"/>
      <c r="AP187" s="127"/>
      <c r="AQ187" s="127"/>
      <c r="AR187" s="127"/>
      <c r="AS187" s="127"/>
      <c r="AT187" s="127"/>
    </row>
    <row r="188" spans="31:46" x14ac:dyDescent="0.2">
      <c r="AE188" s="204"/>
      <c r="AF188" s="127"/>
      <c r="AG188" s="127"/>
      <c r="AH188" s="127"/>
      <c r="AI188" s="127"/>
      <c r="AJ188" s="127"/>
      <c r="AK188" s="127"/>
      <c r="AL188" s="127"/>
      <c r="AM188" s="127"/>
      <c r="AN188" s="127"/>
      <c r="AO188" s="127"/>
      <c r="AP188" s="127"/>
      <c r="AQ188" s="127"/>
      <c r="AR188" s="127"/>
      <c r="AS188" s="127"/>
      <c r="AT188" s="127"/>
    </row>
    <row r="189" spans="31:46" x14ac:dyDescent="0.2">
      <c r="AE189" s="204"/>
      <c r="AF189" s="127"/>
      <c r="AG189" s="127"/>
      <c r="AH189" s="127"/>
      <c r="AI189" s="127"/>
      <c r="AJ189" s="127"/>
      <c r="AK189" s="127"/>
      <c r="AL189" s="127"/>
      <c r="AM189" s="127"/>
      <c r="AN189" s="127"/>
      <c r="AO189" s="127"/>
      <c r="AP189" s="127"/>
      <c r="AQ189" s="127"/>
      <c r="AR189" s="127"/>
      <c r="AS189" s="127"/>
      <c r="AT189" s="127"/>
    </row>
    <row r="190" spans="31:46" x14ac:dyDescent="0.2">
      <c r="AE190" s="204"/>
      <c r="AF190" s="127"/>
      <c r="AG190" s="127"/>
      <c r="AH190" s="127"/>
      <c r="AI190" s="127"/>
      <c r="AJ190" s="127"/>
      <c r="AK190" s="127"/>
      <c r="AL190" s="127"/>
      <c r="AM190" s="127"/>
      <c r="AN190" s="127"/>
      <c r="AO190" s="127"/>
      <c r="AP190" s="127"/>
      <c r="AQ190" s="127"/>
      <c r="AR190" s="127"/>
      <c r="AS190" s="127"/>
      <c r="AT190" s="127"/>
    </row>
    <row r="191" spans="31:46" x14ac:dyDescent="0.2">
      <c r="AE191" s="204"/>
      <c r="AF191" s="127"/>
      <c r="AG191" s="127"/>
      <c r="AH191" s="127"/>
      <c r="AI191" s="127"/>
      <c r="AJ191" s="127"/>
      <c r="AK191" s="127"/>
      <c r="AL191" s="127"/>
      <c r="AM191" s="127"/>
      <c r="AN191" s="127"/>
      <c r="AO191" s="127"/>
      <c r="AP191" s="127"/>
      <c r="AQ191" s="127"/>
      <c r="AR191" s="127"/>
      <c r="AS191" s="127"/>
      <c r="AT191" s="127"/>
    </row>
    <row r="192" spans="31:46" x14ac:dyDescent="0.2">
      <c r="AE192" s="204"/>
      <c r="AF192" s="127"/>
      <c r="AG192" s="127"/>
      <c r="AH192" s="127"/>
      <c r="AI192" s="127"/>
      <c r="AJ192" s="127"/>
      <c r="AK192" s="127"/>
      <c r="AL192" s="127"/>
      <c r="AM192" s="127"/>
      <c r="AN192" s="127"/>
      <c r="AO192" s="127"/>
      <c r="AP192" s="127"/>
      <c r="AQ192" s="127"/>
      <c r="AR192" s="127"/>
      <c r="AS192" s="127"/>
      <c r="AT192" s="127"/>
    </row>
    <row r="193" spans="31:46" x14ac:dyDescent="0.2">
      <c r="AE193" s="204"/>
      <c r="AF193" s="127"/>
      <c r="AG193" s="127"/>
      <c r="AH193" s="127"/>
      <c r="AI193" s="127"/>
      <c r="AJ193" s="127"/>
      <c r="AK193" s="127"/>
      <c r="AL193" s="127"/>
      <c r="AM193" s="127"/>
      <c r="AN193" s="127"/>
      <c r="AO193" s="127"/>
      <c r="AP193" s="127"/>
      <c r="AQ193" s="127"/>
      <c r="AR193" s="127"/>
      <c r="AS193" s="127"/>
      <c r="AT193" s="127"/>
    </row>
    <row r="194" spans="31:46" x14ac:dyDescent="0.2">
      <c r="AE194" s="204"/>
      <c r="AF194" s="127"/>
      <c r="AG194" s="127"/>
      <c r="AH194" s="127"/>
      <c r="AI194" s="127"/>
      <c r="AJ194" s="127"/>
      <c r="AK194" s="127"/>
      <c r="AL194" s="127"/>
      <c r="AM194" s="127"/>
      <c r="AN194" s="127"/>
      <c r="AO194" s="127"/>
      <c r="AP194" s="127"/>
      <c r="AQ194" s="127"/>
      <c r="AR194" s="127"/>
      <c r="AS194" s="127"/>
      <c r="AT194" s="127"/>
    </row>
    <row r="195" spans="31:46" x14ac:dyDescent="0.2">
      <c r="AE195" s="204"/>
      <c r="AF195" s="127"/>
      <c r="AG195" s="127"/>
      <c r="AH195" s="127"/>
      <c r="AI195" s="127"/>
      <c r="AJ195" s="127"/>
      <c r="AK195" s="127"/>
      <c r="AL195" s="127"/>
      <c r="AM195" s="127"/>
      <c r="AN195" s="127"/>
      <c r="AO195" s="127"/>
      <c r="AP195" s="127"/>
      <c r="AQ195" s="127"/>
      <c r="AR195" s="127"/>
      <c r="AS195" s="127"/>
      <c r="AT195" s="127"/>
    </row>
    <row r="196" spans="31:46" x14ac:dyDescent="0.2">
      <c r="AE196" s="204"/>
      <c r="AF196" s="127"/>
      <c r="AG196" s="127"/>
      <c r="AH196" s="127"/>
      <c r="AI196" s="127"/>
      <c r="AJ196" s="127"/>
      <c r="AK196" s="127"/>
      <c r="AL196" s="127"/>
      <c r="AM196" s="127"/>
      <c r="AN196" s="127"/>
      <c r="AO196" s="127"/>
      <c r="AP196" s="127"/>
      <c r="AQ196" s="127"/>
      <c r="AR196" s="127"/>
      <c r="AS196" s="127"/>
      <c r="AT196" s="127"/>
    </row>
    <row r="197" spans="31:46" x14ac:dyDescent="0.2">
      <c r="AE197" s="204"/>
      <c r="AF197" s="127"/>
      <c r="AG197" s="127"/>
      <c r="AH197" s="127"/>
      <c r="AI197" s="127"/>
      <c r="AJ197" s="127"/>
      <c r="AK197" s="127"/>
      <c r="AL197" s="127"/>
      <c r="AM197" s="127"/>
      <c r="AN197" s="127"/>
      <c r="AO197" s="127"/>
      <c r="AP197" s="127"/>
      <c r="AQ197" s="127"/>
      <c r="AR197" s="127"/>
      <c r="AS197" s="127"/>
      <c r="AT197" s="127"/>
    </row>
    <row r="198" spans="31:46" x14ac:dyDescent="0.2">
      <c r="AE198" s="204"/>
      <c r="AF198" s="127"/>
      <c r="AG198" s="127"/>
      <c r="AH198" s="127"/>
      <c r="AI198" s="127"/>
      <c r="AJ198" s="127"/>
      <c r="AK198" s="127"/>
      <c r="AL198" s="127"/>
      <c r="AM198" s="127"/>
      <c r="AN198" s="127"/>
      <c r="AO198" s="127"/>
      <c r="AP198" s="127"/>
      <c r="AQ198" s="127"/>
      <c r="AR198" s="127"/>
      <c r="AS198" s="127"/>
      <c r="AT198" s="127"/>
    </row>
    <row r="199" spans="31:46" x14ac:dyDescent="0.2">
      <c r="AE199" s="204"/>
      <c r="AF199" s="127"/>
      <c r="AG199" s="127"/>
      <c r="AH199" s="127"/>
      <c r="AI199" s="127"/>
      <c r="AJ199" s="127"/>
      <c r="AK199" s="127"/>
      <c r="AL199" s="127"/>
      <c r="AM199" s="127"/>
      <c r="AN199" s="127"/>
      <c r="AO199" s="127"/>
      <c r="AP199" s="127"/>
      <c r="AQ199" s="127"/>
      <c r="AR199" s="127"/>
      <c r="AS199" s="127"/>
      <c r="AT199" s="127"/>
    </row>
    <row r="200" spans="31:46" x14ac:dyDescent="0.2">
      <c r="AE200" s="204"/>
    </row>
    <row r="201" spans="31:46" x14ac:dyDescent="0.2">
      <c r="AE201" s="204"/>
      <c r="AF201" s="127"/>
      <c r="AG201" s="127"/>
      <c r="AH201" s="127"/>
      <c r="AI201" s="127"/>
      <c r="AJ201" s="127"/>
      <c r="AK201" s="127"/>
      <c r="AL201" s="127"/>
      <c r="AM201" s="127"/>
      <c r="AN201" s="127"/>
      <c r="AO201" s="127"/>
      <c r="AP201" s="127"/>
      <c r="AQ201" s="127"/>
      <c r="AR201" s="127"/>
      <c r="AS201" s="127"/>
      <c r="AT201" s="127"/>
    </row>
    <row r="202" spans="31:46" x14ac:dyDescent="0.2">
      <c r="AE202" s="204"/>
      <c r="AF202" s="127"/>
      <c r="AG202" s="127"/>
      <c r="AH202" s="127"/>
      <c r="AI202" s="127"/>
      <c r="AJ202" s="127"/>
      <c r="AK202" s="127"/>
      <c r="AL202" s="127"/>
      <c r="AM202" s="127"/>
      <c r="AN202" s="127"/>
      <c r="AO202" s="127"/>
      <c r="AP202" s="127"/>
      <c r="AQ202" s="127"/>
      <c r="AR202" s="127"/>
      <c r="AS202" s="127"/>
      <c r="AT202" s="127"/>
    </row>
    <row r="203" spans="31:46" x14ac:dyDescent="0.2">
      <c r="AE203" s="204"/>
      <c r="AF203" s="127"/>
      <c r="AG203" s="127"/>
      <c r="AH203" s="127"/>
      <c r="AI203" s="127"/>
      <c r="AJ203" s="127"/>
      <c r="AK203" s="127"/>
      <c r="AL203" s="127"/>
      <c r="AM203" s="127"/>
      <c r="AN203" s="127"/>
      <c r="AO203" s="127"/>
      <c r="AP203" s="127"/>
      <c r="AQ203" s="127"/>
      <c r="AR203" s="127"/>
      <c r="AS203" s="127"/>
      <c r="AT203" s="127"/>
    </row>
    <row r="204" spans="31:46" x14ac:dyDescent="0.2">
      <c r="AE204" s="204"/>
      <c r="AF204" s="127"/>
      <c r="AG204" s="127"/>
      <c r="AH204" s="127"/>
      <c r="AI204" s="127"/>
      <c r="AJ204" s="127"/>
      <c r="AK204" s="127"/>
      <c r="AL204" s="127"/>
      <c r="AM204" s="127"/>
      <c r="AN204" s="127"/>
      <c r="AO204" s="127"/>
      <c r="AP204" s="127"/>
      <c r="AQ204" s="127"/>
      <c r="AR204" s="127"/>
      <c r="AS204" s="127"/>
      <c r="AT204" s="127"/>
    </row>
    <row r="205" spans="31:46" x14ac:dyDescent="0.2">
      <c r="AE205" s="204"/>
      <c r="AF205" s="127"/>
      <c r="AG205" s="127"/>
      <c r="AH205" s="127"/>
      <c r="AI205" s="127"/>
      <c r="AJ205" s="127"/>
      <c r="AK205" s="127"/>
      <c r="AL205" s="127"/>
      <c r="AM205" s="127"/>
      <c r="AN205" s="127"/>
      <c r="AO205" s="127"/>
      <c r="AP205" s="127"/>
      <c r="AQ205" s="127"/>
      <c r="AR205" s="127"/>
      <c r="AS205" s="127"/>
      <c r="AT205" s="127"/>
    </row>
    <row r="206" spans="31:46" x14ac:dyDescent="0.2">
      <c r="AE206" s="204"/>
      <c r="AF206" s="127"/>
      <c r="AG206" s="127"/>
      <c r="AH206" s="127"/>
      <c r="AI206" s="127"/>
      <c r="AJ206" s="127"/>
      <c r="AK206" s="127"/>
      <c r="AL206" s="127"/>
      <c r="AM206" s="127"/>
      <c r="AN206" s="127"/>
      <c r="AO206" s="127"/>
      <c r="AP206" s="127"/>
      <c r="AQ206" s="127"/>
      <c r="AR206" s="127"/>
      <c r="AS206" s="127"/>
      <c r="AT206" s="127"/>
    </row>
    <row r="207" spans="31:46" x14ac:dyDescent="0.2">
      <c r="AE207" s="204"/>
      <c r="AF207" s="127"/>
      <c r="AG207" s="127"/>
      <c r="AH207" s="127"/>
      <c r="AI207" s="127"/>
      <c r="AJ207" s="127"/>
      <c r="AK207" s="127"/>
      <c r="AL207" s="127"/>
      <c r="AM207" s="127"/>
      <c r="AN207" s="127"/>
      <c r="AO207" s="127"/>
      <c r="AP207" s="127"/>
      <c r="AQ207" s="127"/>
      <c r="AR207" s="127"/>
      <c r="AS207" s="127"/>
      <c r="AT207" s="127"/>
    </row>
    <row r="208" spans="31:46" x14ac:dyDescent="0.2">
      <c r="AE208" s="204"/>
      <c r="AF208" s="127"/>
      <c r="AG208" s="127"/>
      <c r="AH208" s="127"/>
      <c r="AI208" s="127"/>
      <c r="AJ208" s="127"/>
      <c r="AK208" s="127"/>
      <c r="AL208" s="127"/>
      <c r="AM208" s="127"/>
      <c r="AN208" s="127"/>
      <c r="AO208" s="127"/>
      <c r="AP208" s="127"/>
      <c r="AQ208" s="127"/>
      <c r="AR208" s="127"/>
      <c r="AS208" s="127"/>
      <c r="AT208" s="127"/>
    </row>
    <row r="209" spans="31:46" x14ac:dyDescent="0.2">
      <c r="AE209" s="204"/>
      <c r="AF209" s="127"/>
      <c r="AG209" s="127"/>
      <c r="AH209" s="127"/>
      <c r="AI209" s="127"/>
      <c r="AJ209" s="127"/>
      <c r="AK209" s="127"/>
      <c r="AL209" s="127"/>
      <c r="AM209" s="127"/>
      <c r="AN209" s="127"/>
      <c r="AO209" s="127"/>
      <c r="AP209" s="127"/>
      <c r="AQ209" s="127"/>
      <c r="AR209" s="127"/>
      <c r="AS209" s="127"/>
      <c r="AT209" s="127"/>
    </row>
    <row r="210" spans="31:46" x14ac:dyDescent="0.2">
      <c r="AE210" s="204"/>
      <c r="AF210" s="127"/>
      <c r="AG210" s="127"/>
      <c r="AH210" s="127"/>
      <c r="AI210" s="127"/>
      <c r="AJ210" s="127"/>
      <c r="AK210" s="127"/>
      <c r="AL210" s="127"/>
      <c r="AM210" s="127"/>
      <c r="AN210" s="127"/>
      <c r="AO210" s="127"/>
      <c r="AP210" s="127"/>
      <c r="AQ210" s="127"/>
      <c r="AR210" s="127"/>
      <c r="AS210" s="127"/>
      <c r="AT210" s="127"/>
    </row>
    <row r="211" spans="31:46" x14ac:dyDescent="0.2">
      <c r="AE211" s="204"/>
      <c r="AF211" s="127"/>
      <c r="AG211" s="127"/>
      <c r="AH211" s="127"/>
      <c r="AI211" s="127"/>
      <c r="AJ211" s="127"/>
      <c r="AK211" s="127"/>
      <c r="AL211" s="127"/>
      <c r="AM211" s="127"/>
      <c r="AN211" s="127"/>
      <c r="AO211" s="127"/>
      <c r="AP211" s="127"/>
      <c r="AQ211" s="127"/>
      <c r="AR211" s="127"/>
      <c r="AS211" s="127"/>
      <c r="AT211" s="127"/>
    </row>
    <row r="212" spans="31:46" x14ac:dyDescent="0.2">
      <c r="AE212" s="204"/>
      <c r="AF212" s="127"/>
      <c r="AG212" s="127"/>
      <c r="AH212" s="127"/>
      <c r="AI212" s="127"/>
      <c r="AJ212" s="127"/>
      <c r="AK212" s="127"/>
      <c r="AL212" s="127"/>
      <c r="AM212" s="127"/>
      <c r="AN212" s="127"/>
      <c r="AO212" s="127"/>
      <c r="AP212" s="127"/>
      <c r="AQ212" s="127"/>
      <c r="AR212" s="127"/>
      <c r="AS212" s="127"/>
      <c r="AT212" s="127"/>
    </row>
    <row r="213" spans="31:46" x14ac:dyDescent="0.2">
      <c r="AE213" s="204"/>
      <c r="AF213" s="127"/>
      <c r="AG213" s="127"/>
      <c r="AH213" s="127"/>
      <c r="AI213" s="127"/>
      <c r="AJ213" s="127"/>
      <c r="AK213" s="127"/>
      <c r="AL213" s="127"/>
      <c r="AM213" s="127"/>
      <c r="AN213" s="127"/>
      <c r="AO213" s="127"/>
      <c r="AP213" s="127"/>
      <c r="AQ213" s="127"/>
      <c r="AR213" s="127"/>
      <c r="AS213" s="127"/>
      <c r="AT213" s="127"/>
    </row>
    <row r="215" spans="31:46" x14ac:dyDescent="0.2">
      <c r="AE215" s="204"/>
      <c r="AF215" s="127"/>
      <c r="AG215" s="127"/>
      <c r="AH215" s="127"/>
      <c r="AI215" s="127"/>
      <c r="AJ215" s="127"/>
      <c r="AK215" s="127"/>
      <c r="AL215" s="127"/>
      <c r="AM215" s="127"/>
      <c r="AN215" s="127"/>
      <c r="AO215" s="127"/>
      <c r="AP215" s="127"/>
      <c r="AQ215" s="127"/>
      <c r="AR215" s="127"/>
      <c r="AS215" s="127"/>
      <c r="AT215" s="127"/>
    </row>
    <row r="216" spans="31:46" x14ac:dyDescent="0.2">
      <c r="AF216" s="127"/>
      <c r="AG216" s="127"/>
      <c r="AH216" s="127"/>
      <c r="AI216" s="127"/>
      <c r="AJ216" s="127"/>
      <c r="AK216" s="127"/>
      <c r="AL216" s="127"/>
      <c r="AM216" s="127"/>
      <c r="AN216" s="127"/>
      <c r="AO216" s="127"/>
      <c r="AP216" s="127"/>
      <c r="AQ216" s="127"/>
      <c r="AR216" s="127"/>
      <c r="AS216" s="127"/>
      <c r="AT216" s="127"/>
    </row>
    <row r="217" spans="31:46" x14ac:dyDescent="0.2">
      <c r="AF217" s="127"/>
      <c r="AG217" s="127"/>
      <c r="AH217" s="127"/>
      <c r="AI217" s="127"/>
      <c r="AJ217" s="127"/>
      <c r="AK217" s="127"/>
      <c r="AL217" s="127"/>
      <c r="AM217" s="127"/>
      <c r="AN217" s="127"/>
      <c r="AO217" s="127"/>
      <c r="AP217" s="127"/>
      <c r="AQ217" s="127"/>
      <c r="AR217" s="127"/>
      <c r="AS217" s="127"/>
      <c r="AT217" s="127"/>
    </row>
    <row r="218" spans="31:46" x14ac:dyDescent="0.2">
      <c r="AF218" s="127"/>
      <c r="AG218" s="127"/>
      <c r="AH218" s="127"/>
      <c r="AI218" s="127"/>
      <c r="AJ218" s="127"/>
      <c r="AK218" s="127"/>
      <c r="AL218" s="127"/>
      <c r="AM218" s="127"/>
      <c r="AN218" s="127"/>
      <c r="AO218" s="127"/>
      <c r="AP218" s="127"/>
      <c r="AQ218" s="127"/>
      <c r="AR218" s="127"/>
      <c r="AS218" s="127"/>
      <c r="AT218" s="127"/>
    </row>
    <row r="219" spans="31:46" x14ac:dyDescent="0.2">
      <c r="AF219" s="127"/>
      <c r="AG219" s="127"/>
      <c r="AH219" s="127"/>
      <c r="AI219" s="127"/>
      <c r="AJ219" s="127"/>
      <c r="AK219" s="127"/>
      <c r="AL219" s="127"/>
      <c r="AM219" s="127"/>
      <c r="AN219" s="127"/>
      <c r="AO219" s="127"/>
      <c r="AP219" s="127"/>
      <c r="AQ219" s="127"/>
      <c r="AR219" s="127"/>
      <c r="AS219" s="127"/>
      <c r="AT219" s="127"/>
    </row>
    <row r="220" spans="31:46" x14ac:dyDescent="0.2">
      <c r="AF220" s="127"/>
      <c r="AG220" s="127"/>
      <c r="AH220" s="127"/>
      <c r="AI220" s="127"/>
      <c r="AJ220" s="127"/>
      <c r="AK220" s="127"/>
      <c r="AL220" s="127"/>
      <c r="AM220" s="127"/>
      <c r="AN220" s="127"/>
      <c r="AO220" s="127"/>
      <c r="AP220" s="127"/>
      <c r="AQ220" s="127"/>
      <c r="AR220" s="127"/>
      <c r="AS220" s="127"/>
      <c r="AT220" s="127"/>
    </row>
    <row r="221" spans="31:46" x14ac:dyDescent="0.2">
      <c r="AF221" s="127"/>
      <c r="AG221" s="127"/>
      <c r="AH221" s="127"/>
      <c r="AI221" s="127"/>
      <c r="AJ221" s="127"/>
      <c r="AK221" s="127"/>
      <c r="AL221" s="127"/>
      <c r="AM221" s="127"/>
      <c r="AN221" s="127"/>
      <c r="AO221" s="127"/>
      <c r="AP221" s="127"/>
      <c r="AQ221" s="127"/>
      <c r="AR221" s="127"/>
      <c r="AS221" s="127"/>
      <c r="AT221" s="127"/>
    </row>
    <row r="222" spans="31:46" x14ac:dyDescent="0.2">
      <c r="AF222" s="127"/>
      <c r="AG222" s="127"/>
      <c r="AH222" s="127"/>
      <c r="AI222" s="127"/>
      <c r="AJ222" s="127"/>
      <c r="AK222" s="127"/>
      <c r="AL222" s="127"/>
      <c r="AM222" s="127"/>
      <c r="AN222" s="127"/>
      <c r="AO222" s="127"/>
      <c r="AP222" s="127"/>
      <c r="AQ222" s="127"/>
      <c r="AR222" s="127"/>
      <c r="AS222" s="127"/>
      <c r="AT222" s="127"/>
    </row>
    <row r="223" spans="31:46" x14ac:dyDescent="0.2">
      <c r="AF223" s="127"/>
      <c r="AG223" s="127"/>
      <c r="AH223" s="127"/>
      <c r="AI223" s="127"/>
      <c r="AJ223" s="127"/>
      <c r="AK223" s="127"/>
      <c r="AL223" s="127"/>
      <c r="AM223" s="127"/>
      <c r="AN223" s="127"/>
      <c r="AO223" s="127"/>
      <c r="AP223" s="127"/>
      <c r="AQ223" s="127"/>
      <c r="AR223" s="127"/>
      <c r="AS223" s="127"/>
      <c r="AT223" s="127"/>
    </row>
    <row r="224" spans="31:46" x14ac:dyDescent="0.2">
      <c r="AF224" s="127"/>
      <c r="AG224" s="127"/>
      <c r="AH224" s="127"/>
      <c r="AI224" s="127"/>
      <c r="AJ224" s="127"/>
      <c r="AK224" s="127"/>
      <c r="AL224" s="127"/>
      <c r="AM224" s="127"/>
      <c r="AN224" s="127"/>
      <c r="AO224" s="127"/>
      <c r="AP224" s="127"/>
      <c r="AQ224" s="127"/>
      <c r="AR224" s="127"/>
      <c r="AS224" s="127"/>
      <c r="AT224" s="127"/>
    </row>
    <row r="225" spans="31:52" x14ac:dyDescent="0.2">
      <c r="AF225" s="127"/>
      <c r="AG225" s="127"/>
      <c r="AH225" s="127"/>
      <c r="AI225" s="127"/>
      <c r="AJ225" s="127"/>
      <c r="AK225" s="127"/>
      <c r="AL225" s="127"/>
      <c r="AM225" s="127"/>
      <c r="AN225" s="127"/>
      <c r="AO225" s="127"/>
      <c r="AP225" s="127"/>
      <c r="AQ225" s="127"/>
      <c r="AR225" s="127"/>
      <c r="AS225" s="127"/>
      <c r="AT225" s="127"/>
    </row>
    <row r="226" spans="31:52" x14ac:dyDescent="0.2">
      <c r="AF226" s="127"/>
      <c r="AG226" s="127"/>
      <c r="AH226" s="127"/>
      <c r="AI226" s="127"/>
      <c r="AJ226" s="127"/>
      <c r="AK226" s="127"/>
      <c r="AL226" s="127"/>
      <c r="AM226" s="127"/>
      <c r="AN226" s="127"/>
      <c r="AO226" s="127"/>
      <c r="AP226" s="127"/>
      <c r="AQ226" s="127"/>
      <c r="AR226" s="127"/>
      <c r="AS226" s="127"/>
      <c r="AT226" s="127"/>
    </row>
    <row r="227" spans="31:52" x14ac:dyDescent="0.2">
      <c r="AF227" s="127"/>
      <c r="AG227" s="127"/>
      <c r="AH227" s="127"/>
      <c r="AI227" s="127"/>
      <c r="AJ227" s="127"/>
      <c r="AK227" s="127"/>
      <c r="AL227" s="127"/>
      <c r="AM227" s="127"/>
      <c r="AN227" s="127"/>
      <c r="AO227" s="127"/>
      <c r="AP227" s="127"/>
      <c r="AQ227" s="127"/>
      <c r="AR227" s="127"/>
      <c r="AS227" s="127"/>
      <c r="AT227" s="127"/>
    </row>
    <row r="229" spans="31:52" x14ac:dyDescent="0.2">
      <c r="AE229" s="206"/>
      <c r="AF229" s="127"/>
      <c r="AG229" s="127"/>
      <c r="AH229" s="127"/>
      <c r="AI229" s="127"/>
      <c r="AJ229" s="127"/>
      <c r="AK229" s="127"/>
      <c r="AL229" s="127"/>
      <c r="AM229" s="127"/>
      <c r="AN229" s="127"/>
      <c r="AO229" s="127"/>
      <c r="AP229" s="127"/>
      <c r="AQ229" s="127"/>
      <c r="AR229" s="127"/>
      <c r="AS229" s="127"/>
      <c r="AT229" s="127"/>
      <c r="AU229" s="127"/>
      <c r="AV229" s="127"/>
      <c r="AW229" s="127"/>
      <c r="AX229" s="127"/>
      <c r="AY229" s="127"/>
      <c r="AZ229" s="127"/>
    </row>
    <row r="230" spans="31:52" x14ac:dyDescent="0.2">
      <c r="AF230" s="127"/>
      <c r="AG230" s="127"/>
      <c r="AH230" s="127"/>
      <c r="AI230" s="127"/>
      <c r="AJ230" s="127"/>
      <c r="AK230" s="127"/>
      <c r="AL230" s="127"/>
      <c r="AM230" s="127"/>
      <c r="AN230" s="127"/>
      <c r="AO230" s="127"/>
      <c r="AP230" s="127"/>
      <c r="AQ230" s="127"/>
      <c r="AR230" s="127"/>
      <c r="AS230" s="127"/>
      <c r="AT230" s="127"/>
      <c r="AU230" s="127"/>
      <c r="AV230" s="127"/>
      <c r="AW230" s="127"/>
      <c r="AX230" s="127"/>
      <c r="AY230" s="127"/>
      <c r="AZ230" s="127"/>
    </row>
    <row r="231" spans="31:52" x14ac:dyDescent="0.2">
      <c r="AF231" s="127"/>
      <c r="AG231" s="127"/>
      <c r="AH231" s="127"/>
      <c r="AI231" s="127"/>
      <c r="AJ231" s="127"/>
      <c r="AK231" s="127"/>
      <c r="AL231" s="127"/>
      <c r="AM231" s="127"/>
      <c r="AN231" s="127"/>
      <c r="AO231" s="127"/>
      <c r="AP231" s="127"/>
      <c r="AQ231" s="127"/>
      <c r="AR231" s="127"/>
      <c r="AS231" s="127"/>
      <c r="AT231" s="127"/>
      <c r="AU231" s="127"/>
      <c r="AV231" s="127"/>
      <c r="AW231" s="127"/>
      <c r="AX231" s="127"/>
      <c r="AY231" s="127"/>
      <c r="AZ231" s="127"/>
    </row>
    <row r="232" spans="31:52" x14ac:dyDescent="0.2">
      <c r="AF232" s="127"/>
      <c r="AG232" s="127"/>
      <c r="AH232" s="127"/>
      <c r="AI232" s="127"/>
      <c r="AJ232" s="127"/>
      <c r="AK232" s="127"/>
      <c r="AL232" s="127"/>
      <c r="AM232" s="127"/>
      <c r="AN232" s="127"/>
      <c r="AO232" s="127"/>
      <c r="AP232" s="127"/>
      <c r="AQ232" s="127"/>
      <c r="AR232" s="127"/>
      <c r="AS232" s="127"/>
      <c r="AT232" s="127"/>
      <c r="AU232" s="127"/>
      <c r="AV232" s="127"/>
      <c r="AW232" s="127"/>
      <c r="AX232" s="127"/>
      <c r="AY232" s="127"/>
      <c r="AZ232" s="127"/>
    </row>
    <row r="233" spans="31:52" x14ac:dyDescent="0.2">
      <c r="AF233" s="127"/>
      <c r="AG233" s="127"/>
      <c r="AH233" s="127"/>
      <c r="AI233" s="127"/>
      <c r="AJ233" s="127"/>
      <c r="AK233" s="127"/>
      <c r="AL233" s="127"/>
      <c r="AM233" s="127"/>
      <c r="AN233" s="127"/>
      <c r="AO233" s="127"/>
      <c r="AP233" s="127"/>
      <c r="AQ233" s="127"/>
      <c r="AR233" s="127"/>
      <c r="AS233" s="127"/>
      <c r="AT233" s="127"/>
      <c r="AU233" s="127"/>
      <c r="AV233" s="127"/>
      <c r="AW233" s="127"/>
      <c r="AX233" s="127"/>
      <c r="AY233" s="127"/>
      <c r="AZ233" s="127"/>
    </row>
    <row r="234" spans="31:52" x14ac:dyDescent="0.2">
      <c r="AF234" s="127"/>
      <c r="AG234" s="127"/>
      <c r="AH234" s="127"/>
      <c r="AI234" s="127"/>
      <c r="AJ234" s="127"/>
      <c r="AK234" s="127"/>
      <c r="AL234" s="127"/>
      <c r="AM234" s="127"/>
      <c r="AN234" s="127"/>
      <c r="AO234" s="127"/>
      <c r="AP234" s="127"/>
      <c r="AQ234" s="127"/>
      <c r="AR234" s="127"/>
      <c r="AS234" s="127"/>
      <c r="AT234" s="127"/>
      <c r="AU234" s="127"/>
      <c r="AV234" s="127"/>
      <c r="AW234" s="127"/>
      <c r="AX234" s="127"/>
      <c r="AY234" s="127"/>
      <c r="AZ234" s="127"/>
    </row>
    <row r="235" spans="31:52" x14ac:dyDescent="0.2">
      <c r="AF235" s="127"/>
      <c r="AG235" s="127"/>
      <c r="AH235" s="127"/>
      <c r="AI235" s="127"/>
      <c r="AJ235" s="127"/>
      <c r="AK235" s="127"/>
      <c r="AL235" s="127"/>
      <c r="AM235" s="127"/>
      <c r="AN235" s="127"/>
      <c r="AO235" s="127"/>
      <c r="AP235" s="127"/>
      <c r="AQ235" s="127"/>
      <c r="AR235" s="127"/>
      <c r="AS235" s="127"/>
      <c r="AT235" s="127"/>
      <c r="AU235" s="127"/>
      <c r="AV235" s="127"/>
      <c r="AW235" s="127"/>
      <c r="AX235" s="127"/>
      <c r="AY235" s="127"/>
      <c r="AZ235" s="127"/>
    </row>
    <row r="236" spans="31:52" x14ac:dyDescent="0.2">
      <c r="AF236" s="127"/>
      <c r="AG236" s="127"/>
      <c r="AH236" s="127"/>
      <c r="AI236" s="127"/>
      <c r="AJ236" s="127"/>
      <c r="AK236" s="127"/>
      <c r="AL236" s="127"/>
      <c r="AM236" s="127"/>
      <c r="AN236" s="127"/>
      <c r="AO236" s="127"/>
      <c r="AP236" s="127"/>
      <c r="AQ236" s="127"/>
      <c r="AR236" s="127"/>
      <c r="AS236" s="127"/>
      <c r="AT236" s="127"/>
      <c r="AU236" s="127"/>
      <c r="AV236" s="127"/>
      <c r="AW236" s="127"/>
      <c r="AX236" s="127"/>
      <c r="AY236" s="127"/>
      <c r="AZ236" s="127"/>
    </row>
    <row r="237" spans="31:52" x14ac:dyDescent="0.2">
      <c r="AF237" s="127"/>
      <c r="AG237" s="127"/>
      <c r="AH237" s="127"/>
      <c r="AI237" s="127"/>
      <c r="AJ237" s="127"/>
      <c r="AK237" s="127"/>
      <c r="AL237" s="127"/>
      <c r="AM237" s="127"/>
      <c r="AN237" s="127"/>
      <c r="AO237" s="127"/>
      <c r="AP237" s="127"/>
      <c r="AQ237" s="127"/>
      <c r="AR237" s="127"/>
      <c r="AS237" s="127"/>
      <c r="AT237" s="127"/>
      <c r="AU237" s="127"/>
      <c r="AV237" s="127"/>
      <c r="AW237" s="127"/>
      <c r="AX237" s="127"/>
      <c r="AY237" s="127"/>
      <c r="AZ237" s="127"/>
    </row>
    <row r="238" spans="31:52" x14ac:dyDescent="0.2">
      <c r="AF238" s="127"/>
      <c r="AG238" s="127"/>
      <c r="AH238" s="127"/>
      <c r="AI238" s="127"/>
      <c r="AJ238" s="127"/>
      <c r="AK238" s="127"/>
      <c r="AL238" s="127"/>
      <c r="AM238" s="127"/>
      <c r="AN238" s="127"/>
      <c r="AO238" s="127"/>
      <c r="AP238" s="127"/>
      <c r="AQ238" s="127"/>
      <c r="AR238" s="127"/>
      <c r="AS238" s="127"/>
      <c r="AT238" s="127"/>
      <c r="AU238" s="127"/>
      <c r="AV238" s="127"/>
      <c r="AW238" s="127"/>
      <c r="AX238" s="127"/>
      <c r="AY238" s="127"/>
      <c r="AZ238" s="127"/>
    </row>
    <row r="239" spans="31:52" x14ac:dyDescent="0.2">
      <c r="AF239" s="127"/>
      <c r="AG239" s="127"/>
      <c r="AH239" s="127"/>
      <c r="AI239" s="127"/>
      <c r="AJ239" s="127"/>
      <c r="AK239" s="127"/>
      <c r="AL239" s="127"/>
      <c r="AM239" s="127"/>
      <c r="AN239" s="127"/>
      <c r="AO239" s="127"/>
      <c r="AP239" s="127"/>
      <c r="AQ239" s="127"/>
      <c r="AR239" s="127"/>
      <c r="AS239" s="127"/>
      <c r="AT239" s="127"/>
      <c r="AU239" s="127"/>
      <c r="AV239" s="127"/>
      <c r="AW239" s="127"/>
      <c r="AX239" s="127"/>
      <c r="AY239" s="127"/>
      <c r="AZ239" s="127"/>
    </row>
    <row r="240" spans="31:52" x14ac:dyDescent="0.2">
      <c r="AF240" s="127"/>
      <c r="AG240" s="127"/>
      <c r="AH240" s="127"/>
      <c r="AI240" s="127"/>
      <c r="AJ240" s="127"/>
      <c r="AK240" s="127"/>
      <c r="AL240" s="127"/>
      <c r="AM240" s="127"/>
      <c r="AN240" s="127"/>
      <c r="AO240" s="127"/>
      <c r="AP240" s="127"/>
      <c r="AQ240" s="127"/>
      <c r="AR240" s="127"/>
      <c r="AS240" s="127"/>
      <c r="AT240" s="127"/>
      <c r="AU240" s="127"/>
      <c r="AV240" s="127"/>
      <c r="AW240" s="127"/>
      <c r="AX240" s="127"/>
      <c r="AY240" s="127"/>
      <c r="AZ240" s="127"/>
    </row>
    <row r="241" spans="31:52" x14ac:dyDescent="0.2">
      <c r="AF241" s="127"/>
      <c r="AG241" s="127"/>
      <c r="AH241" s="127"/>
      <c r="AI241" s="127"/>
      <c r="AJ241" s="127"/>
      <c r="AK241" s="127"/>
      <c r="AL241" s="127"/>
      <c r="AM241" s="127"/>
      <c r="AN241" s="127"/>
      <c r="AO241" s="127"/>
      <c r="AP241" s="127"/>
      <c r="AQ241" s="127"/>
      <c r="AR241" s="127"/>
      <c r="AS241" s="127"/>
      <c r="AT241" s="127"/>
      <c r="AU241" s="127"/>
      <c r="AV241" s="127"/>
      <c r="AW241" s="127"/>
      <c r="AX241" s="127"/>
      <c r="AY241" s="127"/>
      <c r="AZ241" s="127"/>
    </row>
    <row r="242" spans="31:52" x14ac:dyDescent="0.2">
      <c r="AF242" s="127"/>
      <c r="AG242" s="127"/>
      <c r="AH242" s="127"/>
      <c r="AI242" s="127"/>
      <c r="AJ242" s="127"/>
      <c r="AK242" s="127"/>
      <c r="AL242" s="127"/>
      <c r="AM242" s="127"/>
      <c r="AN242" s="127"/>
      <c r="AO242" s="127"/>
      <c r="AP242" s="127"/>
      <c r="AQ242" s="127"/>
      <c r="AR242" s="127"/>
      <c r="AS242" s="127"/>
      <c r="AT242" s="127"/>
      <c r="AU242" s="127"/>
      <c r="AV242" s="127"/>
      <c r="AW242" s="127"/>
      <c r="AX242" s="127"/>
      <c r="AY242" s="127"/>
      <c r="AZ242" s="127"/>
    </row>
    <row r="243" spans="31:52" x14ac:dyDescent="0.2">
      <c r="AF243" s="127"/>
      <c r="AG243" s="127"/>
      <c r="AH243" s="127"/>
      <c r="AI243" s="127"/>
      <c r="AJ243" s="127"/>
      <c r="AK243" s="127"/>
      <c r="AL243" s="127"/>
      <c r="AM243" s="127"/>
      <c r="AN243" s="127"/>
      <c r="AO243" s="127"/>
      <c r="AP243" s="127"/>
      <c r="AQ243" s="127"/>
      <c r="AR243" s="127"/>
      <c r="AS243" s="127"/>
      <c r="AT243" s="127"/>
      <c r="AU243" s="127"/>
      <c r="AV243" s="127"/>
      <c r="AW243" s="127"/>
      <c r="AX243" s="127"/>
      <c r="AY243" s="127"/>
      <c r="AZ243" s="127"/>
    </row>
    <row r="244" spans="31:52" x14ac:dyDescent="0.2">
      <c r="AF244" s="127"/>
      <c r="AG244" s="127"/>
      <c r="AH244" s="127"/>
      <c r="AI244" s="127"/>
      <c r="AJ244" s="127"/>
      <c r="AK244" s="127"/>
      <c r="AL244" s="127"/>
      <c r="AM244" s="127"/>
      <c r="AN244" s="127"/>
      <c r="AO244" s="127"/>
      <c r="AP244" s="127"/>
      <c r="AQ244" s="127"/>
      <c r="AR244" s="127"/>
      <c r="AS244" s="127"/>
      <c r="AT244" s="127"/>
      <c r="AU244" s="127"/>
      <c r="AV244" s="127"/>
      <c r="AW244" s="127"/>
      <c r="AX244" s="127"/>
      <c r="AY244" s="127"/>
      <c r="AZ244" s="127"/>
    </row>
    <row r="245" spans="31:52" x14ac:dyDescent="0.2">
      <c r="AF245" s="127"/>
      <c r="AG245" s="127"/>
      <c r="AH245" s="127"/>
      <c r="AI245" s="127"/>
      <c r="AJ245" s="127"/>
      <c r="AK245" s="127"/>
      <c r="AL245" s="127"/>
      <c r="AM245" s="127"/>
      <c r="AN245" s="127"/>
      <c r="AO245" s="127"/>
      <c r="AP245" s="127"/>
      <c r="AQ245" s="127"/>
      <c r="AR245" s="127"/>
      <c r="AS245" s="127"/>
      <c r="AT245" s="127"/>
      <c r="AU245" s="127"/>
      <c r="AV245" s="127"/>
      <c r="AW245" s="127"/>
      <c r="AX245" s="127"/>
      <c r="AY245" s="127"/>
      <c r="AZ245" s="127"/>
    </row>
    <row r="246" spans="31:52" x14ac:dyDescent="0.2">
      <c r="AF246" s="127"/>
      <c r="AG246" s="127"/>
      <c r="AH246" s="127"/>
      <c r="AI246" s="127"/>
      <c r="AJ246" s="127"/>
      <c r="AK246" s="127"/>
      <c r="AL246" s="127"/>
      <c r="AM246" s="127"/>
      <c r="AN246" s="127"/>
      <c r="AO246" s="127"/>
      <c r="AP246" s="127"/>
      <c r="AQ246" s="127"/>
      <c r="AR246" s="127"/>
      <c r="AS246" s="127"/>
      <c r="AT246" s="127"/>
      <c r="AU246" s="127"/>
      <c r="AV246" s="127"/>
      <c r="AW246" s="127"/>
      <c r="AX246" s="127"/>
      <c r="AY246" s="127"/>
      <c r="AZ246" s="127"/>
    </row>
    <row r="247" spans="31:52" x14ac:dyDescent="0.2">
      <c r="AF247" s="127"/>
      <c r="AG247" s="127"/>
      <c r="AH247" s="127"/>
      <c r="AI247" s="127"/>
      <c r="AJ247" s="127"/>
      <c r="AK247" s="127"/>
      <c r="AL247" s="127"/>
      <c r="AM247" s="127"/>
      <c r="AN247" s="127"/>
      <c r="AO247" s="127"/>
      <c r="AP247" s="127"/>
      <c r="AQ247" s="127"/>
      <c r="AR247" s="127"/>
      <c r="AS247" s="127"/>
      <c r="AT247" s="127"/>
      <c r="AU247" s="127"/>
      <c r="AV247" s="127"/>
      <c r="AW247" s="127"/>
      <c r="AX247" s="127"/>
      <c r="AY247" s="127"/>
      <c r="AZ247" s="127"/>
    </row>
    <row r="248" spans="31:52" x14ac:dyDescent="0.2">
      <c r="AF248" s="127"/>
      <c r="AG248" s="127"/>
      <c r="AH248" s="127"/>
      <c r="AI248" s="127"/>
      <c r="AJ248" s="127"/>
      <c r="AK248" s="127"/>
      <c r="AL248" s="127"/>
      <c r="AM248" s="127"/>
      <c r="AN248" s="127"/>
      <c r="AO248" s="127"/>
      <c r="AP248" s="127"/>
      <c r="AQ248" s="127"/>
      <c r="AR248" s="127"/>
      <c r="AS248" s="127"/>
      <c r="AT248" s="127"/>
      <c r="AU248" s="127"/>
      <c r="AV248" s="127"/>
      <c r="AW248" s="127"/>
      <c r="AX248" s="127"/>
      <c r="AY248" s="127"/>
      <c r="AZ248" s="127"/>
    </row>
    <row r="249" spans="31:52" x14ac:dyDescent="0.2">
      <c r="AF249" s="127"/>
      <c r="AG249" s="127"/>
      <c r="AH249" s="127"/>
      <c r="AI249" s="127"/>
      <c r="AJ249" s="127"/>
      <c r="AK249" s="127"/>
      <c r="AL249" s="127"/>
      <c r="AM249" s="127"/>
      <c r="AN249" s="127"/>
      <c r="AO249" s="127"/>
      <c r="AP249" s="127"/>
      <c r="AQ249" s="127"/>
      <c r="AR249" s="127"/>
      <c r="AS249" s="127"/>
      <c r="AT249" s="127"/>
      <c r="AU249" s="127"/>
      <c r="AV249" s="127"/>
      <c r="AW249" s="127"/>
      <c r="AX249" s="127"/>
      <c r="AY249" s="127"/>
      <c r="AZ249" s="127"/>
    </row>
    <row r="250" spans="31:52" x14ac:dyDescent="0.2">
      <c r="AF250" s="127"/>
      <c r="AG250" s="127"/>
      <c r="AH250" s="127"/>
      <c r="AI250" s="127"/>
      <c r="AJ250" s="127"/>
      <c r="AK250" s="127"/>
      <c r="AL250" s="127"/>
      <c r="AM250" s="127"/>
      <c r="AN250" s="127"/>
      <c r="AO250" s="127"/>
      <c r="AP250" s="127"/>
      <c r="AQ250" s="127"/>
      <c r="AR250" s="127"/>
      <c r="AS250" s="127"/>
      <c r="AT250" s="127"/>
      <c r="AU250" s="127"/>
      <c r="AV250" s="127"/>
      <c r="AW250" s="127"/>
      <c r="AX250" s="127"/>
      <c r="AY250" s="127"/>
      <c r="AZ250" s="127"/>
    </row>
    <row r="251" spans="31:52" x14ac:dyDescent="0.2">
      <c r="AF251" s="127"/>
      <c r="AG251" s="127"/>
      <c r="AH251" s="127"/>
      <c r="AI251" s="127"/>
      <c r="AJ251" s="127"/>
      <c r="AK251" s="127"/>
      <c r="AL251" s="127"/>
      <c r="AM251" s="127"/>
      <c r="AN251" s="127"/>
      <c r="AO251" s="127"/>
      <c r="AP251" s="127"/>
      <c r="AQ251" s="127"/>
      <c r="AR251" s="127"/>
      <c r="AS251" s="127"/>
      <c r="AT251" s="127"/>
      <c r="AU251" s="127"/>
      <c r="AV251" s="127"/>
      <c r="AW251" s="127"/>
      <c r="AX251" s="127"/>
      <c r="AY251" s="127"/>
      <c r="AZ251" s="127"/>
    </row>
    <row r="252" spans="31:52" x14ac:dyDescent="0.2">
      <c r="AF252" s="127"/>
      <c r="AG252" s="127"/>
      <c r="AH252" s="127"/>
      <c r="AI252" s="127"/>
      <c r="AJ252" s="127"/>
      <c r="AK252" s="127"/>
      <c r="AL252" s="127"/>
      <c r="AM252" s="127"/>
      <c r="AN252" s="127"/>
      <c r="AO252" s="127"/>
      <c r="AP252" s="127"/>
      <c r="AQ252" s="127"/>
      <c r="AR252" s="127"/>
      <c r="AS252" s="127"/>
      <c r="AT252" s="127"/>
      <c r="AU252" s="127"/>
      <c r="AV252" s="127"/>
      <c r="AW252" s="127"/>
      <c r="AX252" s="127"/>
      <c r="AY252" s="127"/>
      <c r="AZ252" s="127"/>
    </row>
    <row r="253" spans="31:52" x14ac:dyDescent="0.2">
      <c r="AF253" s="127"/>
      <c r="AG253" s="127"/>
      <c r="AH253" s="127"/>
      <c r="AI253" s="127"/>
      <c r="AJ253" s="127"/>
      <c r="AK253" s="127"/>
      <c r="AL253" s="127"/>
      <c r="AM253" s="127"/>
      <c r="AN253" s="127"/>
      <c r="AO253" s="127"/>
      <c r="AP253" s="127"/>
      <c r="AQ253" s="127"/>
      <c r="AR253" s="127"/>
      <c r="AS253" s="127"/>
      <c r="AT253" s="127"/>
      <c r="AU253" s="127"/>
      <c r="AV253" s="127"/>
      <c r="AW253" s="127"/>
      <c r="AX253" s="127"/>
      <c r="AY253" s="127"/>
      <c r="AZ253" s="127"/>
    </row>
    <row r="255" spans="31:52" x14ac:dyDescent="0.2">
      <c r="AE255" s="207"/>
      <c r="AF255" s="127"/>
      <c r="AG255" s="127"/>
      <c r="AH255" s="127"/>
      <c r="AI255" s="127"/>
      <c r="AJ255" s="127"/>
      <c r="AK255" s="127"/>
      <c r="AL255" s="127"/>
      <c r="AM255" s="127"/>
      <c r="AN255" s="127"/>
      <c r="AO255" s="127"/>
      <c r="AP255" s="127"/>
      <c r="AQ255" s="127"/>
      <c r="AR255" s="127"/>
      <c r="AS255" s="127"/>
      <c r="AT255" s="127"/>
      <c r="AU255" s="127"/>
      <c r="AV255" s="127"/>
      <c r="AW255" s="127"/>
      <c r="AX255" s="127"/>
      <c r="AY255" s="127"/>
      <c r="AZ255" s="127"/>
    </row>
    <row r="256" spans="31:52" x14ac:dyDescent="0.2">
      <c r="AF256" s="127"/>
      <c r="AG256" s="127"/>
      <c r="AH256" s="127"/>
      <c r="AI256" s="127"/>
      <c r="AJ256" s="127"/>
      <c r="AK256" s="127"/>
      <c r="AL256" s="127"/>
      <c r="AM256" s="127"/>
      <c r="AN256" s="127"/>
      <c r="AO256" s="127"/>
      <c r="AP256" s="127"/>
      <c r="AQ256" s="127"/>
      <c r="AR256" s="127"/>
      <c r="AS256" s="127"/>
      <c r="AT256" s="127"/>
      <c r="AU256" s="127"/>
      <c r="AV256" s="127"/>
      <c r="AW256" s="127"/>
      <c r="AX256" s="127"/>
      <c r="AY256" s="127"/>
      <c r="AZ256" s="127"/>
    </row>
    <row r="257" spans="32:52" x14ac:dyDescent="0.2">
      <c r="AF257" s="127"/>
      <c r="AG257" s="127"/>
      <c r="AH257" s="127"/>
      <c r="AI257" s="127"/>
      <c r="AJ257" s="127"/>
      <c r="AK257" s="127"/>
      <c r="AL257" s="127"/>
      <c r="AM257" s="127"/>
      <c r="AN257" s="127"/>
      <c r="AO257" s="127"/>
      <c r="AP257" s="127"/>
      <c r="AQ257" s="127"/>
      <c r="AR257" s="127"/>
      <c r="AS257" s="127"/>
      <c r="AT257" s="127"/>
      <c r="AU257" s="127"/>
      <c r="AV257" s="127"/>
      <c r="AW257" s="127"/>
      <c r="AX257" s="127"/>
      <c r="AY257" s="127"/>
      <c r="AZ257" s="127"/>
    </row>
    <row r="258" spans="32:52" x14ac:dyDescent="0.2">
      <c r="AF258" s="127"/>
      <c r="AG258" s="127"/>
      <c r="AH258" s="127"/>
      <c r="AI258" s="127"/>
      <c r="AJ258" s="127"/>
      <c r="AK258" s="127"/>
      <c r="AL258" s="127"/>
      <c r="AM258" s="127"/>
      <c r="AN258" s="127"/>
      <c r="AO258" s="127"/>
      <c r="AP258" s="127"/>
      <c r="AQ258" s="127"/>
      <c r="AR258" s="127"/>
      <c r="AS258" s="127"/>
      <c r="AT258" s="127"/>
      <c r="AU258" s="127"/>
      <c r="AV258" s="127"/>
      <c r="AW258" s="127"/>
      <c r="AX258" s="127"/>
      <c r="AY258" s="127"/>
      <c r="AZ258" s="127"/>
    </row>
    <row r="259" spans="32:52" x14ac:dyDescent="0.2">
      <c r="AF259" s="127"/>
      <c r="AG259" s="127"/>
      <c r="AH259" s="127"/>
      <c r="AI259" s="127"/>
      <c r="AJ259" s="127"/>
      <c r="AK259" s="127"/>
      <c r="AL259" s="127"/>
      <c r="AM259" s="127"/>
      <c r="AN259" s="127"/>
      <c r="AO259" s="127"/>
      <c r="AP259" s="127"/>
      <c r="AQ259" s="127"/>
      <c r="AR259" s="127"/>
      <c r="AS259" s="127"/>
      <c r="AT259" s="127"/>
      <c r="AU259" s="127"/>
      <c r="AV259" s="127"/>
      <c r="AW259" s="127"/>
      <c r="AX259" s="127"/>
      <c r="AY259" s="127"/>
      <c r="AZ259" s="127"/>
    </row>
    <row r="260" spans="32:52" x14ac:dyDescent="0.2">
      <c r="AF260" s="127"/>
      <c r="AG260" s="127"/>
      <c r="AH260" s="127"/>
      <c r="AI260" s="127"/>
      <c r="AJ260" s="127"/>
      <c r="AK260" s="127"/>
      <c r="AL260" s="127"/>
      <c r="AM260" s="127"/>
      <c r="AN260" s="127"/>
      <c r="AO260" s="127"/>
      <c r="AP260" s="127"/>
      <c r="AQ260" s="127"/>
      <c r="AR260" s="127"/>
      <c r="AS260" s="127"/>
      <c r="AT260" s="127"/>
      <c r="AU260" s="127"/>
      <c r="AV260" s="127"/>
      <c r="AW260" s="127"/>
      <c r="AX260" s="127"/>
      <c r="AY260" s="127"/>
      <c r="AZ260" s="127"/>
    </row>
    <row r="261" spans="32:52" x14ac:dyDescent="0.2">
      <c r="AF261" s="127"/>
      <c r="AG261" s="127"/>
      <c r="AH261" s="127"/>
      <c r="AI261" s="127"/>
      <c r="AJ261" s="127"/>
      <c r="AK261" s="127"/>
      <c r="AL261" s="127"/>
      <c r="AM261" s="127"/>
      <c r="AN261" s="127"/>
      <c r="AO261" s="127"/>
      <c r="AP261" s="127"/>
      <c r="AQ261" s="127"/>
      <c r="AR261" s="127"/>
      <c r="AS261" s="127"/>
      <c r="AT261" s="127"/>
      <c r="AU261" s="127"/>
      <c r="AV261" s="127"/>
      <c r="AW261" s="127"/>
      <c r="AX261" s="127"/>
      <c r="AY261" s="127"/>
      <c r="AZ261" s="127"/>
    </row>
    <row r="262" spans="32:52" x14ac:dyDescent="0.2">
      <c r="AF262" s="127"/>
      <c r="AG262" s="127"/>
      <c r="AH262" s="127"/>
      <c r="AI262" s="127"/>
      <c r="AJ262" s="127"/>
      <c r="AK262" s="127"/>
      <c r="AL262" s="127"/>
      <c r="AM262" s="127"/>
      <c r="AN262" s="127"/>
      <c r="AO262" s="127"/>
      <c r="AP262" s="127"/>
      <c r="AQ262" s="127"/>
      <c r="AR262" s="127"/>
      <c r="AS262" s="127"/>
      <c r="AT262" s="127"/>
      <c r="AU262" s="127"/>
      <c r="AV262" s="127"/>
      <c r="AW262" s="127"/>
      <c r="AX262" s="127"/>
      <c r="AY262" s="127"/>
      <c r="AZ262" s="127"/>
    </row>
    <row r="263" spans="32:52" x14ac:dyDescent="0.2">
      <c r="AF263" s="127"/>
      <c r="AG263" s="127"/>
      <c r="AH263" s="127"/>
      <c r="AI263" s="127"/>
      <c r="AJ263" s="127"/>
      <c r="AK263" s="127"/>
      <c r="AL263" s="127"/>
      <c r="AM263" s="127"/>
      <c r="AN263" s="127"/>
      <c r="AO263" s="127"/>
      <c r="AP263" s="127"/>
      <c r="AQ263" s="127"/>
      <c r="AR263" s="127"/>
      <c r="AS263" s="127"/>
      <c r="AT263" s="127"/>
      <c r="AU263" s="127"/>
      <c r="AV263" s="127"/>
      <c r="AW263" s="127"/>
      <c r="AX263" s="127"/>
      <c r="AY263" s="127"/>
      <c r="AZ263" s="127"/>
    </row>
    <row r="264" spans="32:52" x14ac:dyDescent="0.2">
      <c r="AF264" s="127"/>
      <c r="AG264" s="127"/>
      <c r="AH264" s="127"/>
      <c r="AI264" s="127"/>
      <c r="AJ264" s="127"/>
      <c r="AK264" s="127"/>
      <c r="AL264" s="127"/>
      <c r="AM264" s="127"/>
      <c r="AN264" s="127"/>
      <c r="AO264" s="127"/>
      <c r="AP264" s="127"/>
      <c r="AQ264" s="127"/>
      <c r="AR264" s="127"/>
      <c r="AS264" s="127"/>
      <c r="AT264" s="127"/>
      <c r="AU264" s="127"/>
      <c r="AV264" s="127"/>
      <c r="AW264" s="127"/>
      <c r="AX264" s="127"/>
      <c r="AY264" s="127"/>
      <c r="AZ264" s="127"/>
    </row>
    <row r="265" spans="32:52" x14ac:dyDescent="0.2">
      <c r="AF265" s="127"/>
      <c r="AG265" s="127"/>
      <c r="AH265" s="127"/>
      <c r="AI265" s="127"/>
      <c r="AJ265" s="127"/>
      <c r="AK265" s="127"/>
      <c r="AL265" s="127"/>
      <c r="AM265" s="127"/>
      <c r="AN265" s="127"/>
      <c r="AO265" s="127"/>
      <c r="AP265" s="127"/>
      <c r="AQ265" s="127"/>
      <c r="AR265" s="127"/>
      <c r="AS265" s="127"/>
      <c r="AT265" s="127"/>
      <c r="AU265" s="127"/>
      <c r="AV265" s="127"/>
      <c r="AW265" s="127"/>
      <c r="AX265" s="127"/>
      <c r="AY265" s="127"/>
      <c r="AZ265" s="127"/>
    </row>
    <row r="266" spans="32:52" x14ac:dyDescent="0.2">
      <c r="AF266" s="127"/>
      <c r="AG266" s="127"/>
      <c r="AH266" s="127"/>
      <c r="AI266" s="127"/>
      <c r="AJ266" s="127"/>
      <c r="AK266" s="127"/>
      <c r="AL266" s="127"/>
      <c r="AM266" s="127"/>
      <c r="AN266" s="127"/>
      <c r="AO266" s="127"/>
      <c r="AP266" s="127"/>
      <c r="AQ266" s="127"/>
      <c r="AR266" s="127"/>
      <c r="AS266" s="127"/>
      <c r="AT266" s="127"/>
      <c r="AU266" s="127"/>
      <c r="AV266" s="127"/>
      <c r="AW266" s="127"/>
      <c r="AX266" s="127"/>
      <c r="AY266" s="127"/>
      <c r="AZ266" s="127"/>
    </row>
    <row r="267" spans="32:52" x14ac:dyDescent="0.2">
      <c r="AF267" s="127"/>
      <c r="AG267" s="127"/>
      <c r="AH267" s="127"/>
      <c r="AI267" s="127"/>
      <c r="AJ267" s="127"/>
      <c r="AK267" s="127"/>
      <c r="AL267" s="127"/>
      <c r="AM267" s="127"/>
      <c r="AN267" s="127"/>
      <c r="AO267" s="127"/>
      <c r="AP267" s="127"/>
      <c r="AQ267" s="127"/>
      <c r="AR267" s="127"/>
      <c r="AS267" s="127"/>
      <c r="AT267" s="127"/>
      <c r="AU267" s="127"/>
      <c r="AV267" s="127"/>
      <c r="AW267" s="127"/>
      <c r="AX267" s="127"/>
      <c r="AY267" s="127"/>
      <c r="AZ267" s="127"/>
    </row>
    <row r="268" spans="32:52" x14ac:dyDescent="0.2">
      <c r="AF268" s="127"/>
      <c r="AG268" s="127"/>
      <c r="AH268" s="127"/>
      <c r="AI268" s="127"/>
      <c r="AJ268" s="127"/>
      <c r="AK268" s="127"/>
      <c r="AL268" s="127"/>
      <c r="AM268" s="127"/>
      <c r="AN268" s="127"/>
      <c r="AO268" s="127"/>
      <c r="AP268" s="127"/>
      <c r="AQ268" s="127"/>
      <c r="AR268" s="127"/>
      <c r="AS268" s="127"/>
      <c r="AT268" s="127"/>
      <c r="AU268" s="127"/>
      <c r="AV268" s="127"/>
      <c r="AW268" s="127"/>
      <c r="AX268" s="127"/>
      <c r="AY268" s="127"/>
      <c r="AZ268" s="127"/>
    </row>
    <row r="269" spans="32:52" x14ac:dyDescent="0.2">
      <c r="AF269" s="127"/>
      <c r="AG269" s="127"/>
      <c r="AH269" s="127"/>
      <c r="AI269" s="127"/>
      <c r="AJ269" s="127"/>
      <c r="AK269" s="127"/>
      <c r="AL269" s="127"/>
      <c r="AM269" s="127"/>
      <c r="AN269" s="127"/>
      <c r="AO269" s="127"/>
      <c r="AP269" s="127"/>
      <c r="AQ269" s="127"/>
      <c r="AR269" s="127"/>
      <c r="AS269" s="127"/>
      <c r="AT269" s="127"/>
      <c r="AU269" s="127"/>
      <c r="AV269" s="127"/>
      <c r="AW269" s="127"/>
      <c r="AX269" s="127"/>
      <c r="AY269" s="127"/>
      <c r="AZ269" s="127"/>
    </row>
    <row r="270" spans="32:52" x14ac:dyDescent="0.2">
      <c r="AF270" s="127"/>
      <c r="AG270" s="127"/>
      <c r="AH270" s="127"/>
      <c r="AI270" s="127"/>
      <c r="AJ270" s="127"/>
      <c r="AK270" s="127"/>
      <c r="AL270" s="127"/>
      <c r="AM270" s="127"/>
      <c r="AN270" s="127"/>
      <c r="AO270" s="127"/>
      <c r="AP270" s="127"/>
      <c r="AQ270" s="127"/>
      <c r="AR270" s="127"/>
      <c r="AS270" s="127"/>
      <c r="AT270" s="127"/>
      <c r="AU270" s="127"/>
      <c r="AV270" s="127"/>
      <c r="AW270" s="127"/>
      <c r="AX270" s="127"/>
      <c r="AY270" s="127"/>
      <c r="AZ270" s="127"/>
    </row>
    <row r="271" spans="32:52" x14ac:dyDescent="0.2">
      <c r="AF271" s="127"/>
      <c r="AG271" s="127"/>
      <c r="AH271" s="127"/>
      <c r="AI271" s="127"/>
      <c r="AJ271" s="127"/>
      <c r="AK271" s="127"/>
      <c r="AL271" s="127"/>
      <c r="AM271" s="127"/>
      <c r="AN271" s="127"/>
      <c r="AO271" s="127"/>
      <c r="AP271" s="127"/>
      <c r="AQ271" s="127"/>
      <c r="AR271" s="127"/>
      <c r="AS271" s="127"/>
      <c r="AT271" s="127"/>
      <c r="AU271" s="127"/>
      <c r="AV271" s="127"/>
      <c r="AW271" s="127"/>
      <c r="AX271" s="127"/>
      <c r="AY271" s="127"/>
      <c r="AZ271" s="127"/>
    </row>
    <row r="272" spans="32:52" x14ac:dyDescent="0.2">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row>
    <row r="273" spans="31:52" x14ac:dyDescent="0.2">
      <c r="AF273" s="127"/>
      <c r="AG273" s="127"/>
      <c r="AH273" s="127"/>
      <c r="AI273" s="127"/>
      <c r="AJ273" s="127"/>
      <c r="AK273" s="127"/>
      <c r="AL273" s="127"/>
      <c r="AM273" s="127"/>
      <c r="AN273" s="127"/>
      <c r="AO273" s="127"/>
      <c r="AP273" s="127"/>
      <c r="AQ273" s="127"/>
      <c r="AR273" s="127"/>
      <c r="AS273" s="127"/>
      <c r="AT273" s="127"/>
      <c r="AU273" s="127"/>
      <c r="AV273" s="127"/>
      <c r="AW273" s="127"/>
      <c r="AX273" s="127"/>
      <c r="AY273" s="127"/>
      <c r="AZ273" s="127"/>
    </row>
    <row r="274" spans="31:52" x14ac:dyDescent="0.2">
      <c r="AF274" s="127"/>
      <c r="AG274" s="127"/>
      <c r="AH274" s="127"/>
      <c r="AI274" s="127"/>
      <c r="AJ274" s="127"/>
      <c r="AK274" s="127"/>
      <c r="AL274" s="127"/>
      <c r="AM274" s="127"/>
      <c r="AN274" s="127"/>
      <c r="AO274" s="127"/>
      <c r="AP274" s="127"/>
      <c r="AQ274" s="127"/>
      <c r="AR274" s="127"/>
      <c r="AS274" s="127"/>
      <c r="AT274" s="127"/>
      <c r="AU274" s="127"/>
      <c r="AV274" s="127"/>
      <c r="AW274" s="127"/>
      <c r="AX274" s="127"/>
      <c r="AY274" s="127"/>
      <c r="AZ274" s="127"/>
    </row>
    <row r="275" spans="31:52" x14ac:dyDescent="0.2">
      <c r="AF275" s="127"/>
      <c r="AG275" s="127"/>
      <c r="AH275" s="127"/>
      <c r="AI275" s="127"/>
      <c r="AJ275" s="127"/>
      <c r="AK275" s="127"/>
      <c r="AL275" s="127"/>
      <c r="AM275" s="127"/>
      <c r="AN275" s="127"/>
      <c r="AO275" s="127"/>
      <c r="AP275" s="127"/>
      <c r="AQ275" s="127"/>
      <c r="AR275" s="127"/>
      <c r="AS275" s="127"/>
      <c r="AT275" s="127"/>
      <c r="AU275" s="127"/>
      <c r="AV275" s="127"/>
      <c r="AW275" s="127"/>
      <c r="AX275" s="127"/>
      <c r="AY275" s="127"/>
      <c r="AZ275" s="127"/>
    </row>
    <row r="276" spans="31:52" x14ac:dyDescent="0.2">
      <c r="AF276" s="127"/>
      <c r="AG276" s="127"/>
      <c r="AH276" s="127"/>
      <c r="AI276" s="127"/>
      <c r="AJ276" s="127"/>
      <c r="AK276" s="127"/>
      <c r="AL276" s="127"/>
      <c r="AM276" s="127"/>
      <c r="AN276" s="127"/>
      <c r="AO276" s="127"/>
      <c r="AP276" s="127"/>
      <c r="AQ276" s="127"/>
      <c r="AR276" s="127"/>
      <c r="AS276" s="127"/>
      <c r="AT276" s="127"/>
      <c r="AU276" s="127"/>
      <c r="AV276" s="127"/>
      <c r="AW276" s="127"/>
      <c r="AX276" s="127"/>
      <c r="AY276" s="127"/>
      <c r="AZ276" s="127"/>
    </row>
    <row r="277" spans="31:52" x14ac:dyDescent="0.2">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row>
    <row r="278" spans="31:52" x14ac:dyDescent="0.2">
      <c r="AF278" s="127"/>
      <c r="AG278" s="127"/>
      <c r="AH278" s="127"/>
      <c r="AI278" s="127"/>
      <c r="AJ278" s="127"/>
      <c r="AK278" s="127"/>
      <c r="AL278" s="127"/>
      <c r="AM278" s="127"/>
      <c r="AN278" s="127"/>
      <c r="AO278" s="127"/>
      <c r="AP278" s="127"/>
      <c r="AQ278" s="127"/>
      <c r="AR278" s="127"/>
      <c r="AS278" s="127"/>
      <c r="AT278" s="127"/>
      <c r="AU278" s="127"/>
      <c r="AV278" s="127"/>
      <c r="AW278" s="127"/>
      <c r="AX278" s="127"/>
      <c r="AY278" s="127"/>
      <c r="AZ278" s="127"/>
    </row>
    <row r="279" spans="31:52" x14ac:dyDescent="0.2">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row>
    <row r="281" spans="31:52" x14ac:dyDescent="0.2">
      <c r="AE281" s="207"/>
      <c r="AF281" s="127"/>
      <c r="AG281" s="127"/>
      <c r="AH281" s="127"/>
      <c r="AI281" s="127"/>
      <c r="AJ281" s="127"/>
      <c r="AK281" s="127"/>
      <c r="AL281" s="127"/>
      <c r="AM281" s="127"/>
      <c r="AN281" s="127"/>
      <c r="AO281" s="127"/>
      <c r="AP281" s="127"/>
      <c r="AQ281" s="127"/>
      <c r="AR281" s="127"/>
      <c r="AS281" s="127"/>
      <c r="AT281" s="127"/>
      <c r="AU281" s="127"/>
      <c r="AV281" s="127"/>
      <c r="AW281" s="127"/>
      <c r="AX281" s="127"/>
      <c r="AY281" s="127"/>
      <c r="AZ281" s="127"/>
    </row>
    <row r="282" spans="31:52" x14ac:dyDescent="0.2">
      <c r="AF282" s="127"/>
      <c r="AG282" s="127"/>
      <c r="AH282" s="127"/>
      <c r="AI282" s="127"/>
      <c r="AJ282" s="127"/>
      <c r="AK282" s="127"/>
      <c r="AL282" s="127"/>
      <c r="AM282" s="127"/>
      <c r="AN282" s="127"/>
      <c r="AO282" s="127"/>
      <c r="AP282" s="127"/>
      <c r="AQ282" s="127"/>
      <c r="AR282" s="127"/>
      <c r="AS282" s="127"/>
      <c r="AT282" s="127"/>
      <c r="AU282" s="127"/>
      <c r="AV282" s="127"/>
      <c r="AW282" s="127"/>
      <c r="AX282" s="127"/>
      <c r="AY282" s="127"/>
      <c r="AZ282" s="127"/>
    </row>
    <row r="283" spans="31:52" x14ac:dyDescent="0.2">
      <c r="AF283" s="127"/>
      <c r="AG283" s="127"/>
      <c r="AH283" s="127"/>
      <c r="AI283" s="127"/>
      <c r="AJ283" s="127"/>
      <c r="AK283" s="127"/>
      <c r="AL283" s="127"/>
      <c r="AM283" s="127"/>
      <c r="AN283" s="127"/>
      <c r="AO283" s="127"/>
      <c r="AP283" s="127"/>
      <c r="AQ283" s="127"/>
      <c r="AR283" s="127"/>
      <c r="AS283" s="127"/>
      <c r="AT283" s="127"/>
      <c r="AU283" s="127"/>
      <c r="AV283" s="127"/>
      <c r="AW283" s="127"/>
      <c r="AX283" s="127"/>
      <c r="AY283" s="127"/>
      <c r="AZ283" s="127"/>
    </row>
    <row r="284" spans="31:52" x14ac:dyDescent="0.2">
      <c r="AF284" s="127"/>
      <c r="AG284" s="127"/>
      <c r="AH284" s="127"/>
      <c r="AI284" s="127"/>
      <c r="AJ284" s="127"/>
      <c r="AK284" s="127"/>
      <c r="AL284" s="127"/>
      <c r="AM284" s="127"/>
      <c r="AN284" s="127"/>
      <c r="AO284" s="127"/>
      <c r="AP284" s="127"/>
      <c r="AQ284" s="127"/>
      <c r="AR284" s="127"/>
      <c r="AS284" s="127"/>
      <c r="AT284" s="127"/>
      <c r="AU284" s="127"/>
      <c r="AV284" s="127"/>
      <c r="AW284" s="127"/>
      <c r="AX284" s="127"/>
      <c r="AY284" s="127"/>
      <c r="AZ284" s="127"/>
    </row>
    <row r="285" spans="31:52" x14ac:dyDescent="0.2">
      <c r="AF285" s="127"/>
      <c r="AG285" s="127"/>
      <c r="AH285" s="127"/>
      <c r="AI285" s="127"/>
      <c r="AJ285" s="127"/>
      <c r="AK285" s="127"/>
      <c r="AL285" s="127"/>
      <c r="AM285" s="127"/>
      <c r="AN285" s="127"/>
      <c r="AO285" s="127"/>
      <c r="AP285" s="127"/>
      <c r="AQ285" s="127"/>
      <c r="AR285" s="127"/>
      <c r="AS285" s="127"/>
      <c r="AT285" s="127"/>
      <c r="AU285" s="127"/>
      <c r="AV285" s="127"/>
      <c r="AW285" s="127"/>
      <c r="AX285" s="127"/>
      <c r="AY285" s="127"/>
      <c r="AZ285" s="127"/>
    </row>
    <row r="286" spans="31:52" x14ac:dyDescent="0.2">
      <c r="AF286" s="127"/>
      <c r="AG286" s="127"/>
      <c r="AH286" s="127"/>
      <c r="AI286" s="127"/>
      <c r="AJ286" s="127"/>
      <c r="AK286" s="127"/>
      <c r="AL286" s="127"/>
      <c r="AM286" s="127"/>
      <c r="AN286" s="127"/>
      <c r="AO286" s="127"/>
      <c r="AP286" s="127"/>
      <c r="AQ286" s="127"/>
      <c r="AR286" s="127"/>
      <c r="AS286" s="127"/>
      <c r="AT286" s="127"/>
      <c r="AU286" s="127"/>
      <c r="AV286" s="127"/>
      <c r="AW286" s="127"/>
      <c r="AX286" s="127"/>
      <c r="AY286" s="127"/>
      <c r="AZ286" s="127"/>
    </row>
    <row r="287" spans="31:52" x14ac:dyDescent="0.2">
      <c r="AF287" s="127"/>
      <c r="AG287" s="127"/>
      <c r="AH287" s="127"/>
      <c r="AI287" s="127"/>
      <c r="AJ287" s="127"/>
      <c r="AK287" s="127"/>
      <c r="AL287" s="127"/>
      <c r="AM287" s="127"/>
      <c r="AN287" s="127"/>
      <c r="AO287" s="127"/>
      <c r="AP287" s="127"/>
      <c r="AQ287" s="127"/>
      <c r="AR287" s="127"/>
      <c r="AS287" s="127"/>
      <c r="AT287" s="127"/>
      <c r="AU287" s="127"/>
      <c r="AV287" s="127"/>
      <c r="AW287" s="127"/>
      <c r="AX287" s="127"/>
      <c r="AY287" s="127"/>
      <c r="AZ287" s="127"/>
    </row>
    <row r="288" spans="31:52" x14ac:dyDescent="0.2">
      <c r="AF288" s="127"/>
      <c r="AG288" s="127"/>
      <c r="AH288" s="127"/>
      <c r="AI288" s="127"/>
      <c r="AJ288" s="127"/>
      <c r="AK288" s="127"/>
      <c r="AL288" s="127"/>
      <c r="AM288" s="127"/>
      <c r="AN288" s="127"/>
      <c r="AO288" s="127"/>
      <c r="AP288" s="127"/>
      <c r="AQ288" s="127"/>
      <c r="AR288" s="127"/>
      <c r="AS288" s="127"/>
      <c r="AT288" s="127"/>
      <c r="AU288" s="127"/>
      <c r="AV288" s="127"/>
      <c r="AW288" s="127"/>
      <c r="AX288" s="127"/>
      <c r="AY288" s="127"/>
      <c r="AZ288" s="127"/>
    </row>
    <row r="289" spans="32:52" x14ac:dyDescent="0.2">
      <c r="AF289" s="127"/>
      <c r="AG289" s="127"/>
      <c r="AH289" s="127"/>
      <c r="AI289" s="127"/>
      <c r="AJ289" s="127"/>
      <c r="AK289" s="127"/>
      <c r="AL289" s="127"/>
      <c r="AM289" s="127"/>
      <c r="AN289" s="127"/>
      <c r="AO289" s="127"/>
      <c r="AP289" s="127"/>
      <c r="AQ289" s="127"/>
      <c r="AR289" s="127"/>
      <c r="AS289" s="127"/>
      <c r="AT289" s="127"/>
      <c r="AU289" s="127"/>
      <c r="AV289" s="127"/>
      <c r="AW289" s="127"/>
      <c r="AX289" s="127"/>
      <c r="AY289" s="127"/>
      <c r="AZ289" s="127"/>
    </row>
    <row r="290" spans="32:52" x14ac:dyDescent="0.2">
      <c r="AF290" s="127"/>
      <c r="AG290" s="127"/>
      <c r="AH290" s="127"/>
      <c r="AI290" s="127"/>
      <c r="AJ290" s="127"/>
      <c r="AK290" s="127"/>
      <c r="AL290" s="127"/>
      <c r="AM290" s="127"/>
      <c r="AN290" s="127"/>
      <c r="AO290" s="127"/>
      <c r="AP290" s="127"/>
      <c r="AQ290" s="127"/>
      <c r="AR290" s="127"/>
      <c r="AS290" s="127"/>
      <c r="AT290" s="127"/>
      <c r="AU290" s="127"/>
      <c r="AV290" s="127"/>
      <c r="AW290" s="127"/>
      <c r="AX290" s="127"/>
      <c r="AY290" s="127"/>
      <c r="AZ290" s="127"/>
    </row>
    <row r="291" spans="32:52" x14ac:dyDescent="0.2">
      <c r="AF291" s="127"/>
      <c r="AG291" s="127"/>
      <c r="AH291" s="127"/>
      <c r="AI291" s="127"/>
      <c r="AJ291" s="127"/>
      <c r="AK291" s="127"/>
      <c r="AL291" s="127"/>
      <c r="AM291" s="127"/>
      <c r="AN291" s="127"/>
      <c r="AO291" s="127"/>
      <c r="AP291" s="127"/>
      <c r="AQ291" s="127"/>
      <c r="AR291" s="127"/>
      <c r="AS291" s="127"/>
      <c r="AT291" s="127"/>
      <c r="AU291" s="127"/>
      <c r="AV291" s="127"/>
      <c r="AW291" s="127"/>
      <c r="AX291" s="127"/>
      <c r="AY291" s="127"/>
      <c r="AZ291" s="127"/>
    </row>
    <row r="292" spans="32:52" x14ac:dyDescent="0.2">
      <c r="AF292" s="127"/>
      <c r="AG292" s="127"/>
      <c r="AH292" s="127"/>
      <c r="AI292" s="127"/>
      <c r="AJ292" s="127"/>
      <c r="AK292" s="127"/>
      <c r="AL292" s="127"/>
      <c r="AM292" s="127"/>
      <c r="AN292" s="127"/>
      <c r="AO292" s="127"/>
      <c r="AP292" s="127"/>
      <c r="AQ292" s="127"/>
      <c r="AR292" s="127"/>
      <c r="AS292" s="127"/>
      <c r="AT292" s="127"/>
      <c r="AU292" s="127"/>
      <c r="AV292" s="127"/>
      <c r="AW292" s="127"/>
      <c r="AX292" s="127"/>
      <c r="AY292" s="127"/>
      <c r="AZ292" s="127"/>
    </row>
    <row r="293" spans="32:52" x14ac:dyDescent="0.2">
      <c r="AF293" s="127"/>
      <c r="AG293" s="127"/>
      <c r="AH293" s="127"/>
      <c r="AI293" s="127"/>
      <c r="AJ293" s="127"/>
      <c r="AK293" s="127"/>
      <c r="AL293" s="127"/>
      <c r="AM293" s="127"/>
      <c r="AN293" s="127"/>
      <c r="AO293" s="127"/>
      <c r="AP293" s="127"/>
      <c r="AQ293" s="127"/>
      <c r="AR293" s="127"/>
      <c r="AS293" s="127"/>
      <c r="AT293" s="127"/>
      <c r="AU293" s="127"/>
      <c r="AV293" s="127"/>
      <c r="AW293" s="127"/>
      <c r="AX293" s="127"/>
      <c r="AY293" s="127"/>
      <c r="AZ293" s="127"/>
    </row>
    <row r="294" spans="32:52" x14ac:dyDescent="0.2">
      <c r="AF294" s="127"/>
      <c r="AG294" s="127"/>
      <c r="AH294" s="127"/>
      <c r="AI294" s="127"/>
      <c r="AJ294" s="127"/>
      <c r="AK294" s="127"/>
      <c r="AL294" s="127"/>
      <c r="AM294" s="127"/>
      <c r="AN294" s="127"/>
      <c r="AO294" s="127"/>
      <c r="AP294" s="127"/>
      <c r="AQ294" s="127"/>
      <c r="AR294" s="127"/>
      <c r="AS294" s="127"/>
      <c r="AT294" s="127"/>
      <c r="AU294" s="127"/>
      <c r="AV294" s="127"/>
      <c r="AW294" s="127"/>
      <c r="AX294" s="127"/>
      <c r="AY294" s="127"/>
      <c r="AZ294" s="127"/>
    </row>
    <row r="295" spans="32:52" x14ac:dyDescent="0.2">
      <c r="AF295" s="127"/>
      <c r="AG295" s="127"/>
      <c r="AH295" s="127"/>
      <c r="AI295" s="127"/>
      <c r="AJ295" s="127"/>
      <c r="AK295" s="127"/>
      <c r="AL295" s="127"/>
      <c r="AM295" s="127"/>
      <c r="AN295" s="127"/>
      <c r="AO295" s="127"/>
      <c r="AP295" s="127"/>
      <c r="AQ295" s="127"/>
      <c r="AR295" s="127"/>
      <c r="AS295" s="127"/>
      <c r="AT295" s="127"/>
      <c r="AU295" s="127"/>
      <c r="AV295" s="127"/>
      <c r="AW295" s="127"/>
      <c r="AX295" s="127"/>
      <c r="AY295" s="127"/>
      <c r="AZ295" s="127"/>
    </row>
    <row r="296" spans="32:52" x14ac:dyDescent="0.2">
      <c r="AF296" s="127"/>
      <c r="AG296" s="127"/>
      <c r="AH296" s="127"/>
      <c r="AI296" s="127"/>
      <c r="AJ296" s="127"/>
      <c r="AK296" s="127"/>
      <c r="AL296" s="127"/>
      <c r="AM296" s="127"/>
      <c r="AN296" s="127"/>
      <c r="AO296" s="127"/>
      <c r="AP296" s="127"/>
      <c r="AQ296" s="127"/>
      <c r="AR296" s="127"/>
      <c r="AS296" s="127"/>
      <c r="AT296" s="127"/>
      <c r="AU296" s="127"/>
      <c r="AV296" s="127"/>
      <c r="AW296" s="127"/>
      <c r="AX296" s="127"/>
      <c r="AY296" s="127"/>
      <c r="AZ296" s="127"/>
    </row>
    <row r="297" spans="32:52" x14ac:dyDescent="0.2">
      <c r="AF297" s="127"/>
      <c r="AG297" s="127"/>
      <c r="AH297" s="127"/>
      <c r="AI297" s="127"/>
      <c r="AJ297" s="127"/>
      <c r="AK297" s="127"/>
      <c r="AL297" s="127"/>
      <c r="AM297" s="127"/>
      <c r="AN297" s="127"/>
      <c r="AO297" s="127"/>
      <c r="AP297" s="127"/>
      <c r="AQ297" s="127"/>
      <c r="AR297" s="127"/>
      <c r="AS297" s="127"/>
      <c r="AT297" s="127"/>
      <c r="AU297" s="127"/>
      <c r="AV297" s="127"/>
      <c r="AW297" s="127"/>
      <c r="AX297" s="127"/>
      <c r="AY297" s="127"/>
      <c r="AZ297" s="127"/>
    </row>
    <row r="298" spans="32:52" x14ac:dyDescent="0.2">
      <c r="AF298" s="127"/>
      <c r="AG298" s="127"/>
      <c r="AH298" s="127"/>
      <c r="AI298" s="127"/>
      <c r="AJ298" s="127"/>
      <c r="AK298" s="127"/>
      <c r="AL298" s="127"/>
      <c r="AM298" s="127"/>
      <c r="AN298" s="127"/>
      <c r="AO298" s="127"/>
      <c r="AP298" s="127"/>
      <c r="AQ298" s="127"/>
      <c r="AR298" s="127"/>
      <c r="AS298" s="127"/>
      <c r="AT298" s="127"/>
      <c r="AU298" s="127"/>
      <c r="AV298" s="127"/>
      <c r="AW298" s="127"/>
      <c r="AX298" s="127"/>
      <c r="AY298" s="127"/>
      <c r="AZ298" s="127"/>
    </row>
    <row r="299" spans="32:52" x14ac:dyDescent="0.2">
      <c r="AF299" s="127"/>
      <c r="AG299" s="127"/>
      <c r="AH299" s="127"/>
      <c r="AI299" s="127"/>
      <c r="AJ299" s="127"/>
      <c r="AK299" s="127"/>
      <c r="AL299" s="127"/>
      <c r="AM299" s="127"/>
      <c r="AN299" s="127"/>
      <c r="AO299" s="127"/>
      <c r="AP299" s="127"/>
      <c r="AQ299" s="127"/>
      <c r="AR299" s="127"/>
      <c r="AS299" s="127"/>
      <c r="AT299" s="127"/>
      <c r="AU299" s="127"/>
      <c r="AV299" s="127"/>
      <c r="AW299" s="127"/>
      <c r="AX299" s="127"/>
      <c r="AY299" s="127"/>
      <c r="AZ299" s="127"/>
    </row>
    <row r="300" spans="32:52" x14ac:dyDescent="0.2">
      <c r="AF300" s="127"/>
      <c r="AG300" s="127"/>
      <c r="AH300" s="127"/>
      <c r="AI300" s="127"/>
      <c r="AJ300" s="127"/>
      <c r="AK300" s="127"/>
      <c r="AL300" s="127"/>
      <c r="AM300" s="127"/>
      <c r="AN300" s="127"/>
      <c r="AO300" s="127"/>
      <c r="AP300" s="127"/>
      <c r="AQ300" s="127"/>
      <c r="AR300" s="127"/>
      <c r="AS300" s="127"/>
      <c r="AT300" s="127"/>
      <c r="AU300" s="127"/>
      <c r="AV300" s="127"/>
      <c r="AW300" s="127"/>
      <c r="AX300" s="127"/>
      <c r="AY300" s="127"/>
      <c r="AZ300" s="127"/>
    </row>
    <row r="301" spans="32:52" x14ac:dyDescent="0.2">
      <c r="AF301" s="127"/>
      <c r="AG301" s="127"/>
      <c r="AH301" s="127"/>
      <c r="AI301" s="127"/>
      <c r="AJ301" s="127"/>
      <c r="AK301" s="127"/>
      <c r="AL301" s="127"/>
      <c r="AM301" s="127"/>
      <c r="AN301" s="127"/>
      <c r="AO301" s="127"/>
      <c r="AP301" s="127"/>
      <c r="AQ301" s="127"/>
      <c r="AR301" s="127"/>
      <c r="AS301" s="127"/>
      <c r="AT301" s="127"/>
      <c r="AU301" s="127"/>
      <c r="AV301" s="127"/>
      <c r="AW301" s="127"/>
      <c r="AX301" s="127"/>
      <c r="AY301" s="127"/>
      <c r="AZ301" s="127"/>
    </row>
    <row r="302" spans="32:52" x14ac:dyDescent="0.2">
      <c r="AF302" s="127"/>
      <c r="AG302" s="127"/>
      <c r="AH302" s="127"/>
      <c r="AI302" s="127"/>
      <c r="AJ302" s="127"/>
      <c r="AK302" s="127"/>
      <c r="AL302" s="127"/>
      <c r="AM302" s="127"/>
      <c r="AN302" s="127"/>
      <c r="AO302" s="127"/>
      <c r="AP302" s="127"/>
      <c r="AQ302" s="127"/>
      <c r="AR302" s="127"/>
      <c r="AS302" s="127"/>
      <c r="AT302" s="127"/>
      <c r="AU302" s="127"/>
      <c r="AV302" s="127"/>
      <c r="AW302" s="127"/>
      <c r="AX302" s="127"/>
      <c r="AY302" s="127"/>
      <c r="AZ302" s="127"/>
    </row>
    <row r="303" spans="32:52" x14ac:dyDescent="0.2">
      <c r="AF303" s="127"/>
      <c r="AG303" s="127"/>
      <c r="AH303" s="127"/>
      <c r="AI303" s="127"/>
      <c r="AJ303" s="127"/>
      <c r="AK303" s="127"/>
      <c r="AL303" s="127"/>
      <c r="AM303" s="127"/>
      <c r="AN303" s="127"/>
      <c r="AO303" s="127"/>
      <c r="AP303" s="127"/>
      <c r="AQ303" s="127"/>
      <c r="AR303" s="127"/>
      <c r="AS303" s="127"/>
      <c r="AT303" s="127"/>
      <c r="AU303" s="127"/>
      <c r="AV303" s="127"/>
      <c r="AW303" s="127"/>
      <c r="AX303" s="127"/>
      <c r="AY303" s="127"/>
      <c r="AZ303" s="127"/>
    </row>
    <row r="304" spans="32:52" x14ac:dyDescent="0.2">
      <c r="AF304" s="127"/>
      <c r="AG304" s="127"/>
      <c r="AH304" s="127"/>
      <c r="AI304" s="127"/>
      <c r="AJ304" s="127"/>
      <c r="AK304" s="127"/>
      <c r="AL304" s="127"/>
      <c r="AM304" s="127"/>
      <c r="AN304" s="127"/>
      <c r="AO304" s="127"/>
      <c r="AP304" s="127"/>
      <c r="AQ304" s="127"/>
      <c r="AR304" s="127"/>
      <c r="AS304" s="127"/>
      <c r="AT304" s="127"/>
      <c r="AU304" s="127"/>
      <c r="AV304" s="127"/>
      <c r="AW304" s="127"/>
      <c r="AX304" s="127"/>
      <c r="AY304" s="127"/>
      <c r="AZ304" s="127"/>
    </row>
    <row r="305" spans="32:52" x14ac:dyDescent="0.2">
      <c r="AF305" s="127"/>
      <c r="AG305" s="127"/>
      <c r="AH305" s="127"/>
      <c r="AI305" s="127"/>
      <c r="AJ305" s="127"/>
      <c r="AK305" s="127"/>
      <c r="AL305" s="127"/>
      <c r="AM305" s="127"/>
      <c r="AN305" s="127"/>
      <c r="AO305" s="127"/>
      <c r="AP305" s="127"/>
      <c r="AQ305" s="127"/>
      <c r="AR305" s="127"/>
      <c r="AS305" s="127"/>
      <c r="AT305" s="127"/>
      <c r="AU305" s="127"/>
      <c r="AV305" s="127"/>
      <c r="AW305" s="127"/>
      <c r="AX305" s="127"/>
      <c r="AY305" s="127"/>
      <c r="AZ305" s="127"/>
    </row>
  </sheetData>
  <sheetProtection algorithmName="SHA-512" hashValue="tP5kX95v3to7YabjdHTQdzotFZsgqgA9fDZCGTiqTv3QdkMG6fa7b1gCDwvATARNa9Osj1JtdKl8f/a+JTfN3g==" saltValue="FzqTKmqy/OMGZp+I37Rr/w==" spinCount="100000" sheet="1" objects="1" scenarios="1"/>
  <mergeCells count="218">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N14:O15"/>
    <mergeCell ref="R14:S15"/>
    <mergeCell ref="V14:W15"/>
    <mergeCell ref="Z14:AA15"/>
    <mergeCell ref="AD14:AE15"/>
    <mergeCell ref="AD16:AE17"/>
    <mergeCell ref="AH16:AI17"/>
    <mergeCell ref="AL16:AM17"/>
    <mergeCell ref="AP16:AQ17"/>
    <mergeCell ref="AX19:BA20"/>
    <mergeCell ref="G20:J20"/>
    <mergeCell ref="K20:N20"/>
    <mergeCell ref="O20:R20"/>
    <mergeCell ref="S20:V20"/>
    <mergeCell ref="W20:Z20"/>
    <mergeCell ref="AA20:AD20"/>
    <mergeCell ref="AE20:AH20"/>
    <mergeCell ref="AI20:AL20"/>
    <mergeCell ref="AM20:AP20"/>
    <mergeCell ref="H21:I21"/>
    <mergeCell ref="L21:M21"/>
    <mergeCell ref="N21:O21"/>
    <mergeCell ref="P21:Q21"/>
    <mergeCell ref="R21:S21"/>
    <mergeCell ref="T21:U21"/>
    <mergeCell ref="AH21:AI21"/>
    <mergeCell ref="AJ21:AK21"/>
    <mergeCell ref="AL21:AM21"/>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AX22:BA24"/>
    <mergeCell ref="E23:H23"/>
    <mergeCell ref="I23:L23"/>
    <mergeCell ref="M23:P23"/>
    <mergeCell ref="Q23:T23"/>
    <mergeCell ref="U23:X23"/>
    <mergeCell ref="Y23:AB23"/>
    <mergeCell ref="AC23:AF23"/>
    <mergeCell ref="AG23:AJ23"/>
    <mergeCell ref="AK23:AN23"/>
    <mergeCell ref="AO23:AR23"/>
    <mergeCell ref="E24:H24"/>
    <mergeCell ref="I24:L24"/>
    <mergeCell ref="M24:P24"/>
    <mergeCell ref="Q24:T24"/>
    <mergeCell ref="U24:X24"/>
    <mergeCell ref="Y24:AB24"/>
    <mergeCell ref="AC24:AF24"/>
    <mergeCell ref="AG24:AJ24"/>
    <mergeCell ref="AK24:AN24"/>
    <mergeCell ref="AO24:AR24"/>
    <mergeCell ref="E25:H25"/>
    <mergeCell ref="I25:L25"/>
    <mergeCell ref="M25:P25"/>
    <mergeCell ref="Q25:T25"/>
    <mergeCell ref="U25:X25"/>
    <mergeCell ref="Y25:AB25"/>
    <mergeCell ref="AC25:AF25"/>
    <mergeCell ref="AG25:AJ25"/>
    <mergeCell ref="AK25:AN25"/>
    <mergeCell ref="AO25:AR25"/>
    <mergeCell ref="AX25:AZ26"/>
    <mergeCell ref="AC26:AF26"/>
    <mergeCell ref="AG26:AJ26"/>
    <mergeCell ref="AK26:AN26"/>
    <mergeCell ref="AO26:AR26"/>
    <mergeCell ref="E28:H28"/>
    <mergeCell ref="I28:L28"/>
    <mergeCell ref="M28:P28"/>
    <mergeCell ref="Q28:T28"/>
    <mergeCell ref="U28:X28"/>
    <mergeCell ref="Y28:AB28"/>
    <mergeCell ref="E26:H26"/>
    <mergeCell ref="I26:L26"/>
    <mergeCell ref="M26:P26"/>
    <mergeCell ref="Q26:T26"/>
    <mergeCell ref="U26:X26"/>
    <mergeCell ref="Y26:AB26"/>
    <mergeCell ref="AX34:AY34"/>
    <mergeCell ref="AX35:AY35"/>
    <mergeCell ref="AX36:AY36"/>
    <mergeCell ref="AX37:AY37"/>
    <mergeCell ref="AF38:AL38"/>
    <mergeCell ref="AM38:AN38"/>
    <mergeCell ref="AX38:AY38"/>
    <mergeCell ref="AC28:AF28"/>
    <mergeCell ref="AG28:AJ28"/>
    <mergeCell ref="AK28:AN28"/>
    <mergeCell ref="AO28:AR28"/>
    <mergeCell ref="AW30:BA32"/>
    <mergeCell ref="AX33:AY33"/>
    <mergeCell ref="AL39:AS39"/>
    <mergeCell ref="AX39:AY39"/>
    <mergeCell ref="Z40:Z41"/>
    <mergeCell ref="AX40:AY40"/>
    <mergeCell ref="AX41:AY41"/>
    <mergeCell ref="Z42:Z45"/>
    <mergeCell ref="AX42:AY42"/>
    <mergeCell ref="AM43:AQ43"/>
    <mergeCell ref="AR43:AS43"/>
    <mergeCell ref="P44:S45"/>
    <mergeCell ref="AO44:AS44"/>
    <mergeCell ref="T45:U45"/>
    <mergeCell ref="AM45:AS45"/>
    <mergeCell ref="I46:K46"/>
    <mergeCell ref="Z46:Z54"/>
    <mergeCell ref="AM46:AS46"/>
    <mergeCell ref="I47:K47"/>
    <mergeCell ref="AM47:AS47"/>
    <mergeCell ref="I48:K48"/>
    <mergeCell ref="AF48:AL50"/>
    <mergeCell ref="AW48:AX48"/>
    <mergeCell ref="I49:K49"/>
    <mergeCell ref="AM49:AP49"/>
    <mergeCell ref="AE53:AG53"/>
    <mergeCell ref="AI53:AJ53"/>
    <mergeCell ref="AK53:AL53"/>
    <mergeCell ref="AM53:AN53"/>
    <mergeCell ref="AP53:AQ53"/>
    <mergeCell ref="F72:I72"/>
    <mergeCell ref="L72:O72"/>
    <mergeCell ref="X72:AA72"/>
    <mergeCell ref="AN78:AP78"/>
    <mergeCell ref="AN79:AP79"/>
    <mergeCell ref="AN80:AS80"/>
    <mergeCell ref="AE55:AN55"/>
    <mergeCell ref="AO55:AP55"/>
    <mergeCell ref="AI57:AS57"/>
    <mergeCell ref="Q59:AB60"/>
    <mergeCell ref="AE70:AL70"/>
    <mergeCell ref="AN70:AS70"/>
    <mergeCell ref="Z87:AB89"/>
    <mergeCell ref="AM87:AO87"/>
    <mergeCell ref="AM88:AR88"/>
    <mergeCell ref="AE90:AS92"/>
    <mergeCell ref="Z91:AB93"/>
    <mergeCell ref="H96:K96"/>
    <mergeCell ref="O96:R96"/>
    <mergeCell ref="AQ96:AR96"/>
    <mergeCell ref="AE84:AL84"/>
    <mergeCell ref="H85:K85"/>
    <mergeCell ref="O85:R85"/>
    <mergeCell ref="V85:Y85"/>
    <mergeCell ref="AE85:AL85"/>
    <mergeCell ref="AP86:AR86"/>
    <mergeCell ref="T110:Y110"/>
    <mergeCell ref="T112:Y112"/>
    <mergeCell ref="T114:U114"/>
    <mergeCell ref="E116:R118"/>
    <mergeCell ref="AW96:AX96"/>
    <mergeCell ref="V97:Y97"/>
    <mergeCell ref="C98:AO98"/>
    <mergeCell ref="T104:U104"/>
    <mergeCell ref="T106:U106"/>
    <mergeCell ref="T108:U108"/>
  </mergeCells>
  <conditionalFormatting sqref="AG45:AL45">
    <cfRule type="expression" dxfId="331" priority="299">
      <formula>$AC$43="x"</formula>
    </cfRule>
  </conditionalFormatting>
  <conditionalFormatting sqref="AO44:AS44">
    <cfRule type="expression" dxfId="330" priority="298">
      <formula>$AK$42="x"</formula>
    </cfRule>
  </conditionalFormatting>
  <conditionalFormatting sqref="AP7:AS7">
    <cfRule type="expression" dxfId="329" priority="297">
      <formula>$AM$5&gt;0</formula>
    </cfRule>
  </conditionalFormatting>
  <conditionalFormatting sqref="E28:AR28">
    <cfRule type="expression" dxfId="328" priority="284">
      <formula>AND($A$28&lt;&gt;"",F$10&lt;&gt;"")</formula>
    </cfRule>
  </conditionalFormatting>
  <conditionalFormatting sqref="F72:I72">
    <cfRule type="expression" dxfId="327" priority="318">
      <formula>$F$72=""</formula>
    </cfRule>
  </conditionalFormatting>
  <conditionalFormatting sqref="H85:K85">
    <cfRule type="expression" dxfId="326" priority="289">
      <formula>$H$85=""</formula>
    </cfRule>
  </conditionalFormatting>
  <conditionalFormatting sqref="O85:R85">
    <cfRule type="expression" dxfId="325" priority="316">
      <formula>$O$85=""</formula>
    </cfRule>
  </conditionalFormatting>
  <conditionalFormatting sqref="V85:Y85">
    <cfRule type="expression" dxfId="324" priority="288">
      <formula>$V$85=""</formula>
    </cfRule>
  </conditionalFormatting>
  <conditionalFormatting sqref="AM49:AP49">
    <cfRule type="expression" dxfId="323" priority="186">
      <formula>$AM$49=""</formula>
    </cfRule>
  </conditionalFormatting>
  <conditionalFormatting sqref="AH54">
    <cfRule type="expression" dxfId="322" priority="300">
      <formula>$AE$53=0</formula>
    </cfRule>
  </conditionalFormatting>
  <conditionalFormatting sqref="L72:O72">
    <cfRule type="expression" dxfId="321" priority="291">
      <formula>$L$72=""</formula>
    </cfRule>
  </conditionalFormatting>
  <conditionalFormatting sqref="X72:AA72">
    <cfRule type="expression" dxfId="320" priority="290">
      <formula>$X$72=""</formula>
    </cfRule>
  </conditionalFormatting>
  <conditionalFormatting sqref="AT5">
    <cfRule type="expression" dxfId="319" priority="161">
      <formula>$AT$5=1</formula>
    </cfRule>
  </conditionalFormatting>
  <conditionalFormatting sqref="AM43:AQ43">
    <cfRule type="expression" dxfId="318" priority="189">
      <formula>$AM$43=""</formula>
    </cfRule>
  </conditionalFormatting>
  <conditionalFormatting sqref="AR43:AS43">
    <cfRule type="expression" dxfId="317" priority="160">
      <formula>$AR$43=""</formula>
    </cfRule>
  </conditionalFormatting>
  <conditionalFormatting sqref="AM45:AS45">
    <cfRule type="expression" dxfId="316" priority="188">
      <formula>$AM$45=""</formula>
    </cfRule>
  </conditionalFormatting>
  <conditionalFormatting sqref="AE70:AL70">
    <cfRule type="expression" dxfId="315" priority="170">
      <formula>$AE$70=""</formula>
    </cfRule>
  </conditionalFormatting>
  <conditionalFormatting sqref="AN70:AS70">
    <cfRule type="expression" dxfId="314" priority="156">
      <formula>$AN$70=""</formula>
    </cfRule>
  </conditionalFormatting>
  <conditionalFormatting sqref="AO55:AP55">
    <cfRule type="expression" dxfId="313" priority="53">
      <formula>$AT$52=1</formula>
    </cfRule>
    <cfRule type="expression" dxfId="312" priority="154">
      <formula>$AO$55=""</formula>
    </cfRule>
  </conditionalFormatting>
  <conditionalFormatting sqref="AN80:AS80">
    <cfRule type="expression" dxfId="311" priority="151">
      <formula>$AN$80=""</formula>
    </cfRule>
  </conditionalFormatting>
  <conditionalFormatting sqref="H96:K96">
    <cfRule type="expression" dxfId="310" priority="302">
      <formula>$H$96=""</formula>
    </cfRule>
  </conditionalFormatting>
  <conditionalFormatting sqref="AM88:AR88">
    <cfRule type="expression" dxfId="309" priority="144">
      <formula>$AM$88=""</formula>
    </cfRule>
  </conditionalFormatting>
  <conditionalFormatting sqref="Y5:AF5">
    <cfRule type="expression" dxfId="308" priority="278">
      <formula>$Y$5=""</formula>
    </cfRule>
  </conditionalFormatting>
  <conditionalFormatting sqref="Y6:AF6">
    <cfRule type="expression" dxfId="307" priority="141">
      <formula>$Y$6=""</formula>
    </cfRule>
  </conditionalFormatting>
  <conditionalFormatting sqref="Y7:AF7">
    <cfRule type="expression" dxfId="306" priority="140">
      <formula>$Y$7=""</formula>
    </cfRule>
  </conditionalFormatting>
  <conditionalFormatting sqref="AJ5:AL5">
    <cfRule type="expression" dxfId="305" priority="274">
      <formula>$AJ$5=""</formula>
    </cfRule>
  </conditionalFormatting>
  <conditionalFormatting sqref="AJ6:AL6">
    <cfRule type="expression" dxfId="304" priority="138">
      <formula>$AJ$6=""</formula>
    </cfRule>
  </conditionalFormatting>
  <conditionalFormatting sqref="AJ7:AL7">
    <cfRule type="expression" dxfId="303" priority="137">
      <formula>$AJ$7=""</formula>
    </cfRule>
  </conditionalFormatting>
  <conditionalFormatting sqref="I49:K49">
    <cfRule type="expression" dxfId="302" priority="136">
      <formula>$I$49=""</formula>
    </cfRule>
  </conditionalFormatting>
  <conditionalFormatting sqref="T45:U45">
    <cfRule type="expression" dxfId="301" priority="135">
      <formula>$T$45=""</formula>
    </cfRule>
  </conditionalFormatting>
  <conditionalFormatting sqref="Z42:Z45">
    <cfRule type="expression" dxfId="300" priority="134">
      <formula>$Z$42=""</formula>
    </cfRule>
  </conditionalFormatting>
  <conditionalFormatting sqref="AX33:AY42">
    <cfRule type="expression" dxfId="299" priority="132">
      <formula>AW33=""</formula>
    </cfRule>
  </conditionalFormatting>
  <conditionalFormatting sqref="A9:A11">
    <cfRule type="expression" dxfId="298" priority="73">
      <formula>$C$11&lt;36</formula>
    </cfRule>
  </conditionalFormatting>
  <conditionalFormatting sqref="A28">
    <cfRule type="expression" dxfId="297" priority="130">
      <formula>$E$28&gt;0</formula>
    </cfRule>
  </conditionalFormatting>
  <conditionalFormatting sqref="AX33:AY42">
    <cfRule type="expression" dxfId="296" priority="133">
      <formula>AX33=""</formula>
    </cfRule>
  </conditionalFormatting>
  <conditionalFormatting sqref="R112:Y114">
    <cfRule type="expression" dxfId="295" priority="80">
      <formula>$T$110=""</formula>
    </cfRule>
  </conditionalFormatting>
  <conditionalFormatting sqref="AE53:AG53">
    <cfRule type="expression" dxfId="294" priority="54">
      <formula>$AT$52=1</formula>
    </cfRule>
    <cfRule type="expression" dxfId="293" priority="107">
      <formula>$AE$53=0</formula>
    </cfRule>
  </conditionalFormatting>
  <conditionalFormatting sqref="AW48:AX48">
    <cfRule type="expression" dxfId="292" priority="106">
      <formula>$AW$48=""</formula>
    </cfRule>
  </conditionalFormatting>
  <conditionalFormatting sqref="AE84:AL84">
    <cfRule type="expression" dxfId="291" priority="98">
      <formula>$AE$84=""</formula>
    </cfRule>
  </conditionalFormatting>
  <conditionalFormatting sqref="AB102:AB120">
    <cfRule type="expression" dxfId="290" priority="96">
      <formula>$T$104&lt;&gt;105</formula>
    </cfRule>
  </conditionalFormatting>
  <conditionalFormatting sqref="AB120:AG120">
    <cfRule type="expression" dxfId="289" priority="95">
      <formula>$T$104&lt;&gt;105</formula>
    </cfRule>
  </conditionalFormatting>
  <conditionalFormatting sqref="AG102:AG120">
    <cfRule type="expression" dxfId="288" priority="94">
      <formula>AND($T$104&lt;&gt;105,$T$104&lt;&gt;85)</formula>
    </cfRule>
  </conditionalFormatting>
  <conditionalFormatting sqref="AB102:AG102">
    <cfRule type="expression" dxfId="287" priority="93">
      <formula>$T$104&lt;&gt;105</formula>
    </cfRule>
  </conditionalFormatting>
  <conditionalFormatting sqref="AH120:AM120">
    <cfRule type="expression" dxfId="286" priority="92">
      <formula>$T$104&lt;&gt;85</formula>
    </cfRule>
  </conditionalFormatting>
  <conditionalFormatting sqref="AH102:AM102">
    <cfRule type="expression" dxfId="285" priority="91">
      <formula>$T$104&lt;&gt;85</formula>
    </cfRule>
  </conditionalFormatting>
  <conditionalFormatting sqref="AN102:AN120">
    <cfRule type="expression" dxfId="284" priority="90">
      <formula>AND($T$104&lt;&gt;85,$T$104&lt;&gt;110)</formula>
    </cfRule>
  </conditionalFormatting>
  <conditionalFormatting sqref="AN120:AT120">
    <cfRule type="expression" dxfId="283" priority="89">
      <formula>$T$104&lt;&gt;110</formula>
    </cfRule>
  </conditionalFormatting>
  <conditionalFormatting sqref="AT102:AT120">
    <cfRule type="expression" dxfId="282" priority="88">
      <formula>$T$104&lt;&gt;110</formula>
    </cfRule>
  </conditionalFormatting>
  <conditionalFormatting sqref="AN102:AT102">
    <cfRule type="expression" dxfId="281" priority="87">
      <formula>$T$104&lt;&gt;110</formula>
    </cfRule>
  </conditionalFormatting>
  <conditionalFormatting sqref="T104:U104">
    <cfRule type="expression" dxfId="280" priority="86">
      <formula>$T$104=""</formula>
    </cfRule>
  </conditionalFormatting>
  <conditionalFormatting sqref="T106:U106">
    <cfRule type="expression" dxfId="279" priority="85">
      <formula>$T$106=""</formula>
    </cfRule>
  </conditionalFormatting>
  <conditionalFormatting sqref="T108:U108">
    <cfRule type="expression" dxfId="278" priority="84">
      <formula>$T$108=""</formula>
    </cfRule>
  </conditionalFormatting>
  <conditionalFormatting sqref="T114:U114">
    <cfRule type="expression" dxfId="277" priority="83">
      <formula>$T$114=""</formula>
    </cfRule>
  </conditionalFormatting>
  <conditionalFormatting sqref="T110:Y110">
    <cfRule type="expression" dxfId="276" priority="81">
      <formula>$T$110=""</formula>
    </cfRule>
  </conditionalFormatting>
  <conditionalFormatting sqref="T112:Y112">
    <cfRule type="expression" dxfId="275" priority="82">
      <formula>$T$112=""</formula>
    </cfRule>
  </conditionalFormatting>
  <conditionalFormatting sqref="AI57:AS57">
    <cfRule type="expression" dxfId="274" priority="185">
      <formula>$AI$57=""</formula>
    </cfRule>
  </conditionalFormatting>
  <conditionalFormatting sqref="AX25:AZ26">
    <cfRule type="expression" dxfId="273" priority="75">
      <formula>$AX$25=""</formula>
    </cfRule>
  </conditionalFormatting>
  <conditionalFormatting sqref="AM87:AO87">
    <cfRule type="expression" dxfId="272" priority="71">
      <formula>$AM$87=""</formula>
    </cfRule>
  </conditionalFormatting>
  <conditionalFormatting sqref="AX76">
    <cfRule type="expression" dxfId="271" priority="60">
      <formula>$AN$80=""</formula>
    </cfRule>
  </conditionalFormatting>
  <conditionalFormatting sqref="AX77">
    <cfRule type="expression" dxfId="270" priority="59">
      <formula>$AN$80=""</formula>
    </cfRule>
  </conditionalFormatting>
  <conditionalFormatting sqref="AX78">
    <cfRule type="expression" dxfId="269" priority="58">
      <formula>$AN$80=""</formula>
    </cfRule>
  </conditionalFormatting>
  <conditionalFormatting sqref="AX79">
    <cfRule type="expression" dxfId="268" priority="57">
      <formula>$AN$80=""</formula>
    </cfRule>
  </conditionalFormatting>
  <conditionalFormatting sqref="AX80">
    <cfRule type="expression" dxfId="267" priority="56">
      <formula>$AN$80=""</formula>
    </cfRule>
  </conditionalFormatting>
  <conditionalFormatting sqref="AT52">
    <cfRule type="expression" dxfId="266" priority="55">
      <formula>$AT$52=1</formula>
    </cfRule>
  </conditionalFormatting>
  <conditionalFormatting sqref="M6:Q6">
    <cfRule type="expression" dxfId="265" priority="42">
      <formula>$M$6=""</formula>
    </cfRule>
  </conditionalFormatting>
  <conditionalFormatting sqref="AN78:AP78">
    <cfRule type="expression" dxfId="264" priority="153">
      <formula>$AN$78=""</formula>
    </cfRule>
  </conditionalFormatting>
  <conditionalFormatting sqref="AN79:AP79">
    <cfRule type="expression" dxfId="263" priority="152">
      <formula>$AN$79=""</formula>
    </cfRule>
  </conditionalFormatting>
  <conditionalFormatting sqref="AM46:AS46">
    <cfRule type="expression" dxfId="262" priority="157">
      <formula>$AM$46=""</formula>
    </cfRule>
  </conditionalFormatting>
  <conditionalFormatting sqref="AM47:AS47">
    <cfRule type="expression" dxfId="261" priority="34">
      <formula>$AM$47=""</formula>
    </cfRule>
  </conditionalFormatting>
  <conditionalFormatting sqref="AB62">
    <cfRule type="expression" dxfId="260" priority="20">
      <formula>$AB$62&gt;0</formula>
    </cfRule>
  </conditionalFormatting>
  <conditionalFormatting sqref="AB73">
    <cfRule type="expression" dxfId="259" priority="19">
      <formula>$AB$73&gt;0</formula>
    </cfRule>
  </conditionalFormatting>
  <conditionalFormatting sqref="AQ96:AR96">
    <cfRule type="expression" dxfId="258" priority="18">
      <formula>$AQ$96=""</formula>
    </cfRule>
  </conditionalFormatting>
  <conditionalFormatting sqref="BD2:BI10">
    <cfRule type="expression" dxfId="257" priority="9">
      <formula>$AW$2=""</formula>
    </cfRule>
  </conditionalFormatting>
  <conditionalFormatting sqref="AZ9:BA9">
    <cfRule type="expression" dxfId="256" priority="6">
      <formula>$AZ$9=""</formula>
    </cfRule>
  </conditionalFormatting>
  <conditionalFormatting sqref="AZ10:BA10">
    <cfRule type="expression" dxfId="255" priority="5">
      <formula>$AZ$10=""</formula>
    </cfRule>
  </conditionalFormatting>
  <dataValidations count="7">
    <dataValidation type="whole" allowBlank="1" showInputMessage="1" showErrorMessage="1" sqref="J58:M59 I46:K49" xr:uid="{50868028-AF79-4930-8920-B6AC370108DB}">
      <formula1>0</formula1>
      <formula2>100000</formula2>
    </dataValidation>
    <dataValidation type="custom" operator="equal" allowBlank="1" showInputMessage="1" showErrorMessage="1" sqref="AA47:AA49 E33:E34 E40:E41 Q40:Q41 E6:E7 AN33 AN44" xr:uid="{5DD04213-521E-438D-8751-2014199EA99F}">
      <formula1>E6="X"</formula1>
    </dataValidation>
    <dataValidation type="whole" allowBlank="1" showInputMessage="1" showErrorMessage="1" sqref="H21:I21 AJ21:AK21 L21:M21 P21:Q21 T21:U21 X21:Y21 AB21:AC21 AF21:AG21 AN21:AO21" xr:uid="{F97CAAB9-3233-4D26-9C91-79688988E835}">
      <formula1>0</formula1>
      <formula2>360</formula2>
    </dataValidation>
    <dataValidation type="whole" allowBlank="1" showInputMessage="1" showErrorMessage="1" sqref="E28:AR28 Z42:Z45" xr:uid="{EC5F7E72-5741-40A3-B086-8B4885274FCF}">
      <formula1>0</formula1>
      <formula2>10000</formula2>
    </dataValidation>
    <dataValidation type="whole" allowBlank="1" showInputMessage="1" showErrorMessage="1" sqref="T45:U45" xr:uid="{7AD50E15-FC04-4712-9EC6-75F418A1AA48}">
      <formula1>0</formula1>
      <formula2>3000</formula2>
    </dataValidation>
    <dataValidation type="date" operator="greaterThanOrEqual" allowBlank="1" showInputMessage="1" showErrorMessage="1" sqref="Y7:AF7" xr:uid="{B1B1B63F-BF8D-42B9-B383-894FE11DEBF9}">
      <formula1>TODAY()-3</formula1>
    </dataValidation>
    <dataValidation type="whole" allowBlank="1" showInputMessage="1" showErrorMessage="1" sqref="AJ6:AL6" xr:uid="{1374969E-F66B-40C4-B1E0-5FD786061137}">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15361"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15362"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15363"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15364" r:id="rId7" name="Check Box 4">
              <controlPr locked="0"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15365" r:id="rId8" name="Check Box 5">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15366" r:id="rId9" name="Check Box 6">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15367" r:id="rId10" name="Check Box 7">
              <controlPr locked="0" defaultSize="0" autoFill="0" autoLine="0" autoPict="0">
                <anchor moveWithCells="1">
                  <from>
                    <xdr:col>29</xdr:col>
                    <xdr:colOff>219075</xdr:colOff>
                    <xdr:row>36</xdr:row>
                    <xdr:rowOff>0</xdr:rowOff>
                  </from>
                  <to>
                    <xdr:col>31</xdr:col>
                    <xdr:colOff>0</xdr:colOff>
                    <xdr:row>37</xdr:row>
                    <xdr:rowOff>9525</xdr:rowOff>
                  </to>
                </anchor>
              </controlPr>
            </control>
          </mc:Choice>
        </mc:AlternateContent>
        <mc:AlternateContent xmlns:mc="http://schemas.openxmlformats.org/markup-compatibility/2006">
          <mc:Choice Requires="x14">
            <control shapeId="15368" r:id="rId11" name="Check Box 8">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15369" r:id="rId12" name="Check Box 9">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15370" r:id="rId13" name="Check Box 10">
              <controlPr defaultSize="0" autoFill="0" autoLine="0" autoPict="0">
                <anchor moveWithCells="1">
                  <from>
                    <xdr:col>30</xdr:col>
                    <xdr:colOff>0</xdr:colOff>
                    <xdr:row>31</xdr:row>
                    <xdr:rowOff>180975</xdr:rowOff>
                  </from>
                  <to>
                    <xdr:col>31</xdr:col>
                    <xdr:colOff>0</xdr:colOff>
                    <xdr:row>33</xdr:row>
                    <xdr:rowOff>9525</xdr:rowOff>
                  </to>
                </anchor>
              </controlPr>
            </control>
          </mc:Choice>
        </mc:AlternateContent>
        <mc:AlternateContent xmlns:mc="http://schemas.openxmlformats.org/markup-compatibility/2006">
          <mc:Choice Requires="x14">
            <control shapeId="15371" r:id="rId14" name="Check Box 11">
              <controlPr locked="0" defaultSize="0" autoFill="0" autoLine="0" autoPict="0">
                <anchor moveWithCells="1">
                  <from>
                    <xdr:col>39</xdr:col>
                    <xdr:colOff>0</xdr:colOff>
                    <xdr:row>32</xdr:row>
                    <xdr:rowOff>0</xdr:rowOff>
                  </from>
                  <to>
                    <xdr:col>40</xdr:col>
                    <xdr:colOff>0</xdr:colOff>
                    <xdr:row>33</xdr:row>
                    <xdr:rowOff>0</xdr:rowOff>
                  </to>
                </anchor>
              </controlPr>
            </control>
          </mc:Choice>
        </mc:AlternateContent>
        <mc:AlternateContent xmlns:mc="http://schemas.openxmlformats.org/markup-compatibility/2006">
          <mc:Choice Requires="x14">
            <control shapeId="15372" r:id="rId15" name="Check Box 12">
              <controlPr locked="0" defaultSize="0" autoFill="0" autoLine="0" autoPict="0">
                <anchor moveWithCells="1">
                  <from>
                    <xdr:col>42</xdr:col>
                    <xdr:colOff>0</xdr:colOff>
                    <xdr:row>4</xdr:row>
                    <xdr:rowOff>0</xdr:rowOff>
                  </from>
                  <to>
                    <xdr:col>43</xdr:col>
                    <xdr:colOff>0</xdr:colOff>
                    <xdr:row>5</xdr:row>
                    <xdr:rowOff>9525</xdr:rowOff>
                  </to>
                </anchor>
              </controlPr>
            </control>
          </mc:Choice>
        </mc:AlternateContent>
        <mc:AlternateContent xmlns:mc="http://schemas.openxmlformats.org/markup-compatibility/2006">
          <mc:Choice Requires="x14">
            <control shapeId="15373" r:id="rId16" name="Check Box 13">
              <controlPr locked="0" defaultSize="0" autoFill="0" autoLine="0" autoPict="0">
                <anchor moveWithCells="1">
                  <from>
                    <xdr:col>42</xdr:col>
                    <xdr:colOff>0</xdr:colOff>
                    <xdr:row>5</xdr:row>
                    <xdr:rowOff>0</xdr:rowOff>
                  </from>
                  <to>
                    <xdr:col>43</xdr:col>
                    <xdr:colOff>0</xdr:colOff>
                    <xdr:row>6</xdr:row>
                    <xdr:rowOff>19050</xdr:rowOff>
                  </to>
                </anchor>
              </controlPr>
            </control>
          </mc:Choice>
        </mc:AlternateContent>
        <mc:AlternateContent xmlns:mc="http://schemas.openxmlformats.org/markup-compatibility/2006">
          <mc:Choice Requires="x14">
            <control shapeId="15374" r:id="rId17" name="Check Box 14">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5375" r:id="rId18" name="Check Box 15">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5376" r:id="rId19" name="Check Box 16">
              <controlPr locked="0" defaultSize="0" autoFill="0" autoLine="0" autoPict="0">
                <anchor moveWithCells="1">
                  <from>
                    <xdr:col>4</xdr:col>
                    <xdr:colOff>0</xdr:colOff>
                    <xdr:row>5</xdr:row>
                    <xdr:rowOff>0</xdr:rowOff>
                  </from>
                  <to>
                    <xdr:col>5</xdr:col>
                    <xdr:colOff>0</xdr:colOff>
                    <xdr:row>6</xdr:row>
                    <xdr:rowOff>19050</xdr:rowOff>
                  </to>
                </anchor>
              </controlPr>
            </control>
          </mc:Choice>
        </mc:AlternateContent>
        <mc:AlternateContent xmlns:mc="http://schemas.openxmlformats.org/markup-compatibility/2006">
          <mc:Choice Requires="x14">
            <control shapeId="15377" r:id="rId20" name="Check Box 17">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15378" r:id="rId21" name="Check Box 18">
              <controlPr locked="0" defaultSize="0" autoFill="0" autoLine="0" autoPict="0">
                <anchor moveWithCells="1">
                  <from>
                    <xdr:col>6</xdr:col>
                    <xdr:colOff>9525</xdr:colOff>
                    <xdr:row>43</xdr:row>
                    <xdr:rowOff>114300</xdr:rowOff>
                  </from>
                  <to>
                    <xdr:col>7</xdr:col>
                    <xdr:colOff>38100</xdr:colOff>
                    <xdr:row>44</xdr:row>
                    <xdr:rowOff>114300</xdr:rowOff>
                  </to>
                </anchor>
              </controlPr>
            </control>
          </mc:Choice>
        </mc:AlternateContent>
        <mc:AlternateContent xmlns:mc="http://schemas.openxmlformats.org/markup-compatibility/2006">
          <mc:Choice Requires="x14">
            <control shapeId="15379" r:id="rId22" name="Check Box 19">
              <controlPr locked="0" defaultSize="0" autoFill="0" autoLine="0" autoPict="0">
                <anchor moveWithCells="1">
                  <from>
                    <xdr:col>11</xdr:col>
                    <xdr:colOff>152400</xdr:colOff>
                    <xdr:row>43</xdr:row>
                    <xdr:rowOff>114300</xdr:rowOff>
                  </from>
                  <to>
                    <xdr:col>12</xdr:col>
                    <xdr:colOff>152400</xdr:colOff>
                    <xdr:row>44</xdr:row>
                    <xdr:rowOff>104775</xdr:rowOff>
                  </to>
                </anchor>
              </controlPr>
            </control>
          </mc:Choice>
        </mc:AlternateContent>
        <mc:AlternateContent xmlns:mc="http://schemas.openxmlformats.org/markup-compatibility/2006">
          <mc:Choice Requires="x14">
            <control shapeId="15380" r:id="rId23" name="Check Box 20">
              <controlPr locked="0" defaultSize="0" autoFill="0" autoLine="0" autoPict="0">
                <anchor moveWithCells="1">
                  <from>
                    <xdr:col>7</xdr:col>
                    <xdr:colOff>171450</xdr:colOff>
                    <xdr:row>52</xdr:row>
                    <xdr:rowOff>85725</xdr:rowOff>
                  </from>
                  <to>
                    <xdr:col>8</xdr:col>
                    <xdr:colOff>171450</xdr:colOff>
                    <xdr:row>53</xdr:row>
                    <xdr:rowOff>85725</xdr:rowOff>
                  </to>
                </anchor>
              </controlPr>
            </control>
          </mc:Choice>
        </mc:AlternateContent>
        <mc:AlternateContent xmlns:mc="http://schemas.openxmlformats.org/markup-compatibility/2006">
          <mc:Choice Requires="x14">
            <control shapeId="15381" r:id="rId24" name="Check Box 21">
              <controlPr locked="0" defaultSize="0" autoFill="0" autoLine="0" autoPict="0">
                <anchor moveWithCells="1">
                  <from>
                    <xdr:col>9</xdr:col>
                    <xdr:colOff>219075</xdr:colOff>
                    <xdr:row>52</xdr:row>
                    <xdr:rowOff>85725</xdr:rowOff>
                  </from>
                  <to>
                    <xdr:col>11</xdr:col>
                    <xdr:colOff>0</xdr:colOff>
                    <xdr:row>53</xdr:row>
                    <xdr:rowOff>85725</xdr:rowOff>
                  </to>
                </anchor>
              </controlPr>
            </control>
          </mc:Choice>
        </mc:AlternateContent>
        <mc:AlternateContent xmlns:mc="http://schemas.openxmlformats.org/markup-compatibility/2006">
          <mc:Choice Requires="x14">
            <control shapeId="15382" r:id="rId25" name="Check Box 22">
              <controlPr locked="0" defaultSize="0" autoFill="0" autoLine="0" autoPict="0">
                <anchor moveWithCells="1">
                  <from>
                    <xdr:col>30</xdr:col>
                    <xdr:colOff>0</xdr:colOff>
                    <xdr:row>54</xdr:row>
                    <xdr:rowOff>142875</xdr:rowOff>
                  </from>
                  <to>
                    <xdr:col>31</xdr:col>
                    <xdr:colOff>0</xdr:colOff>
                    <xdr:row>55</xdr:row>
                    <xdr:rowOff>142875</xdr:rowOff>
                  </to>
                </anchor>
              </controlPr>
            </control>
          </mc:Choice>
        </mc:AlternateContent>
        <mc:AlternateContent xmlns:mc="http://schemas.openxmlformats.org/markup-compatibility/2006">
          <mc:Choice Requires="x14">
            <control shapeId="15383" r:id="rId26" name="Check Box 23">
              <controlPr locked="0" defaultSize="0" autoFill="0" autoLine="0" autoPict="0">
                <anchor moveWithCells="1">
                  <from>
                    <xdr:col>37</xdr:col>
                    <xdr:colOff>219075</xdr:colOff>
                    <xdr:row>55</xdr:row>
                    <xdr:rowOff>0</xdr:rowOff>
                  </from>
                  <to>
                    <xdr:col>39</xdr:col>
                    <xdr:colOff>0</xdr:colOff>
                    <xdr:row>56</xdr:row>
                    <xdr:rowOff>0</xdr:rowOff>
                  </to>
                </anchor>
              </controlPr>
            </control>
          </mc:Choice>
        </mc:AlternateContent>
        <mc:AlternateContent xmlns:mc="http://schemas.openxmlformats.org/markup-compatibility/2006">
          <mc:Choice Requires="x14">
            <control shapeId="15384" r:id="rId27" name="Check Box 24">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15385" r:id="rId28" name="Check Box 25">
              <controlPr locked="0" defaultSize="0" autoFill="0" autoLine="0" autoPict="0">
                <anchor moveWithCells="1">
                  <from>
                    <xdr:col>33</xdr:col>
                    <xdr:colOff>180975</xdr:colOff>
                    <xdr:row>62</xdr:row>
                    <xdr:rowOff>0</xdr:rowOff>
                  </from>
                  <to>
                    <xdr:col>34</xdr:col>
                    <xdr:colOff>190500</xdr:colOff>
                    <xdr:row>63</xdr:row>
                    <xdr:rowOff>9525</xdr:rowOff>
                  </to>
                </anchor>
              </controlPr>
            </control>
          </mc:Choice>
        </mc:AlternateContent>
        <mc:AlternateContent xmlns:mc="http://schemas.openxmlformats.org/markup-compatibility/2006">
          <mc:Choice Requires="x14">
            <control shapeId="15386" r:id="rId29" name="Check Box 26">
              <controlPr locked="0" defaultSize="0" autoFill="0" autoLine="0" autoPict="0">
                <anchor moveWithCells="1">
                  <from>
                    <xdr:col>37</xdr:col>
                    <xdr:colOff>104775</xdr:colOff>
                    <xdr:row>62</xdr:row>
                    <xdr:rowOff>0</xdr:rowOff>
                  </from>
                  <to>
                    <xdr:col>38</xdr:col>
                    <xdr:colOff>104775</xdr:colOff>
                    <xdr:row>63</xdr:row>
                    <xdr:rowOff>19050</xdr:rowOff>
                  </to>
                </anchor>
              </controlPr>
            </control>
          </mc:Choice>
        </mc:AlternateContent>
        <mc:AlternateContent xmlns:mc="http://schemas.openxmlformats.org/markup-compatibility/2006">
          <mc:Choice Requires="x14">
            <control shapeId="15387" r:id="rId30" name="Check Box 27">
              <controlPr locked="0" defaultSize="0" autoFill="0" autoLine="0" autoPict="0">
                <anchor moveWithCells="1">
                  <from>
                    <xdr:col>41</xdr:col>
                    <xdr:colOff>57150</xdr:colOff>
                    <xdr:row>62</xdr:row>
                    <xdr:rowOff>0</xdr:rowOff>
                  </from>
                  <to>
                    <xdr:col>42</xdr:col>
                    <xdr:colOff>57150</xdr:colOff>
                    <xdr:row>63</xdr:row>
                    <xdr:rowOff>9525</xdr:rowOff>
                  </to>
                </anchor>
              </controlPr>
            </control>
          </mc:Choice>
        </mc:AlternateContent>
        <mc:AlternateContent xmlns:mc="http://schemas.openxmlformats.org/markup-compatibility/2006">
          <mc:Choice Requires="x14">
            <control shapeId="15388" r:id="rId31" name="Check Box 28">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15389" r:id="rId32" name="Check Box 29">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15390" r:id="rId33" name="Check Box 30">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15391" r:id="rId34" name="Check Box 31">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15392" r:id="rId35" name="Check Box 32">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15393" r:id="rId36" name="Check Box 33">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15394" r:id="rId37" name="Check Box 34">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15395" r:id="rId38" name="Check Box 35">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15396" r:id="rId39" name="Check Box 36">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5397" r:id="rId40" name="Check Box 37">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15398" r:id="rId41" name="Check Box 38">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15399" r:id="rId42" name="Check Box 39">
              <controlPr locked="0" defaultSize="0" autoFill="0" autoLine="0" autoPict="0">
                <anchor moveWithCells="1">
                  <from>
                    <xdr:col>20</xdr:col>
                    <xdr:colOff>0</xdr:colOff>
                    <xdr:row>89</xdr:row>
                    <xdr:rowOff>0</xdr:rowOff>
                  </from>
                  <to>
                    <xdr:col>21</xdr:col>
                    <xdr:colOff>0</xdr:colOff>
                    <xdr:row>90</xdr:row>
                    <xdr:rowOff>0</xdr:rowOff>
                  </to>
                </anchor>
              </controlPr>
            </control>
          </mc:Choice>
        </mc:AlternateContent>
        <mc:AlternateContent xmlns:mc="http://schemas.openxmlformats.org/markup-compatibility/2006">
          <mc:Choice Requires="x14">
            <control shapeId="15400" r:id="rId43" name="Check Box 40">
              <controlPr locked="0" defaultSize="0" autoFill="0" autoLine="0" autoPict="0">
                <anchor moveWithCells="1">
                  <from>
                    <xdr:col>19</xdr:col>
                    <xdr:colOff>219075</xdr:colOff>
                    <xdr:row>95</xdr:row>
                    <xdr:rowOff>0</xdr:rowOff>
                  </from>
                  <to>
                    <xdr:col>21</xdr:col>
                    <xdr:colOff>0</xdr:colOff>
                    <xdr:row>96</xdr:row>
                    <xdr:rowOff>0</xdr:rowOff>
                  </to>
                </anchor>
              </controlPr>
            </control>
          </mc:Choice>
        </mc:AlternateContent>
        <mc:AlternateContent xmlns:mc="http://schemas.openxmlformats.org/markup-compatibility/2006">
          <mc:Choice Requires="x14">
            <control shapeId="15401" r:id="rId44" name="Check Box 41">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15402" r:id="rId45" name="Check Box 42">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15403" r:id="rId46" name="Check Box 43">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15404" r:id="rId47" name="Check Box 44">
              <controlPr locked="0" defaultSize="0" autoFill="0" autoLine="0" autoPict="0">
                <anchor moveWithCells="1">
                  <from>
                    <xdr:col>13</xdr:col>
                    <xdr:colOff>104775</xdr:colOff>
                    <xdr:row>80</xdr:row>
                    <xdr:rowOff>152400</xdr:rowOff>
                  </from>
                  <to>
                    <xdr:col>14</xdr:col>
                    <xdr:colOff>104775</xdr:colOff>
                    <xdr:row>82</xdr:row>
                    <xdr:rowOff>0</xdr:rowOff>
                  </to>
                </anchor>
              </controlPr>
            </control>
          </mc:Choice>
        </mc:AlternateContent>
        <mc:AlternateContent xmlns:mc="http://schemas.openxmlformats.org/markup-compatibility/2006">
          <mc:Choice Requires="x14">
            <control shapeId="15405" r:id="rId48" name="Check Box 45">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15406" r:id="rId49" name="Check Box 46">
              <controlPr locked="0" defaultSize="0" autoFill="0" autoLine="0" autoPict="0">
                <anchor moveWithCells="1">
                  <from>
                    <xdr:col>23</xdr:col>
                    <xdr:colOff>0</xdr:colOff>
                    <xdr:row>55</xdr:row>
                    <xdr:rowOff>0</xdr:rowOff>
                  </from>
                  <to>
                    <xdr:col>24</xdr:col>
                    <xdr:colOff>0</xdr:colOff>
                    <xdr:row>56</xdr:row>
                    <xdr:rowOff>38100</xdr:rowOff>
                  </to>
                </anchor>
              </controlPr>
            </control>
          </mc:Choice>
        </mc:AlternateContent>
        <mc:AlternateContent xmlns:mc="http://schemas.openxmlformats.org/markup-compatibility/2006">
          <mc:Choice Requires="x14">
            <control shapeId="15407" r:id="rId50" name="Check Box 47">
              <controlPr locked="0" defaultSize="0" autoFill="0" autoLine="0" autoPict="0">
                <anchor moveWithCells="1">
                  <from>
                    <xdr:col>39</xdr:col>
                    <xdr:colOff>0</xdr:colOff>
                    <xdr:row>33</xdr:row>
                    <xdr:rowOff>0</xdr:rowOff>
                  </from>
                  <to>
                    <xdr:col>40</xdr:col>
                    <xdr:colOff>0</xdr:colOff>
                    <xdr:row>34</xdr:row>
                    <xdr:rowOff>0</xdr:rowOff>
                  </to>
                </anchor>
              </controlPr>
            </control>
          </mc:Choice>
        </mc:AlternateContent>
        <mc:AlternateContent xmlns:mc="http://schemas.openxmlformats.org/markup-compatibility/2006">
          <mc:Choice Requires="x14">
            <control shapeId="15408" r:id="rId51" name="Check Box 48">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15409" r:id="rId52" name="Check Box 49">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15410" r:id="rId53" name="Check Box 50">
              <controlPr locked="0" defaultSize="0" autoFill="0" autoLine="0" autoPict="0">
                <anchor moveWithCells="1">
                  <from>
                    <xdr:col>29</xdr:col>
                    <xdr:colOff>219075</xdr:colOff>
                    <xdr:row>56</xdr:row>
                    <xdr:rowOff>19050</xdr:rowOff>
                  </from>
                  <to>
                    <xdr:col>31</xdr:col>
                    <xdr:colOff>0</xdr:colOff>
                    <xdr:row>57</xdr:row>
                    <xdr:rowOff>38100</xdr:rowOff>
                  </to>
                </anchor>
              </controlPr>
            </control>
          </mc:Choice>
        </mc:AlternateContent>
        <mc:AlternateContent xmlns:mc="http://schemas.openxmlformats.org/markup-compatibility/2006">
          <mc:Choice Requires="x14">
            <control shapeId="15411" r:id="rId54" name="Check Box 51">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mc:AlternateContent xmlns:mc="http://schemas.openxmlformats.org/markup-compatibility/2006">
          <mc:Choice Requires="x14">
            <control shapeId="15412" r:id="rId55" name="Check Box 52">
              <controlPr locked="0" defaultSize="0" autoFill="0" autoLine="0" autoPict="0">
                <anchor moveWithCells="1">
                  <from>
                    <xdr:col>39</xdr:col>
                    <xdr:colOff>0</xdr:colOff>
                    <xdr:row>33</xdr:row>
                    <xdr:rowOff>152400</xdr:rowOff>
                  </from>
                  <to>
                    <xdr:col>40</xdr:col>
                    <xdr:colOff>0</xdr:colOff>
                    <xdr:row>35</xdr:row>
                    <xdr:rowOff>0</xdr:rowOff>
                  </to>
                </anchor>
              </controlPr>
            </control>
          </mc:Choice>
        </mc:AlternateContent>
        <mc:AlternateContent xmlns:mc="http://schemas.openxmlformats.org/markup-compatibility/2006">
          <mc:Choice Requires="x14">
            <control shapeId="15413" r:id="rId56" name="Check Box 53">
              <controlPr locked="0" defaultSize="0" autoFill="0" autoLine="0" autoPict="0">
                <anchor moveWithCells="1">
                  <from>
                    <xdr:col>39</xdr:col>
                    <xdr:colOff>0</xdr:colOff>
                    <xdr:row>34</xdr:row>
                    <xdr:rowOff>142875</xdr:rowOff>
                  </from>
                  <to>
                    <xdr:col>40</xdr:col>
                    <xdr:colOff>0</xdr:colOff>
                    <xdr:row>36</xdr:row>
                    <xdr:rowOff>0</xdr:rowOff>
                  </to>
                </anchor>
              </controlPr>
            </control>
          </mc:Choice>
        </mc:AlternateContent>
        <mc:AlternateContent xmlns:mc="http://schemas.openxmlformats.org/markup-compatibility/2006">
          <mc:Choice Requires="x14">
            <control shapeId="15414" r:id="rId57" name="Check Box 54">
              <controlPr locked="0" defaultSize="0" autoFill="0" autoLine="0" autoPict="0">
                <anchor moveWithCells="1">
                  <from>
                    <xdr:col>39</xdr:col>
                    <xdr:colOff>0</xdr:colOff>
                    <xdr:row>35</xdr:row>
                    <xdr:rowOff>142875</xdr:rowOff>
                  </from>
                  <to>
                    <xdr:col>40</xdr:col>
                    <xdr:colOff>0</xdr:colOff>
                    <xdr:row>37</xdr:row>
                    <xdr:rowOff>0</xdr:rowOff>
                  </to>
                </anchor>
              </controlPr>
            </control>
          </mc:Choice>
        </mc:AlternateContent>
        <mc:AlternateContent xmlns:mc="http://schemas.openxmlformats.org/markup-compatibility/2006">
          <mc:Choice Requires="x14">
            <control shapeId="15415" r:id="rId58" name="Check Box 55">
              <controlPr locked="0" defaultSize="0" autoFill="0" autoLine="0" autoPict="0">
                <anchor moveWithCells="1">
                  <from>
                    <xdr:col>30</xdr:col>
                    <xdr:colOff>0</xdr:colOff>
                    <xdr:row>38</xdr:row>
                    <xdr:rowOff>142875</xdr:rowOff>
                  </from>
                  <to>
                    <xdr:col>31</xdr:col>
                    <xdr:colOff>0</xdr:colOff>
                    <xdr:row>40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72" id="{B36D52F4-420F-48EA-ABC1-60666E8B8B24}">
            <xm:f>$A$9&lt;&gt;'Sprachen &amp; Rückgabewerte(5)'!$H$132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38" id="{C9F2175D-9EFD-402A-9783-4889216B9A5B}">
            <xm:f>'Sprachen &amp; Rückgabewerte(5)'!$U$49=FALSE</xm:f>
            <x14:dxf>
              <border>
                <bottom style="thin">
                  <color rgb="FFFF0000"/>
                </bottom>
                <vertical/>
                <horizontal/>
              </border>
            </x14:dxf>
          </x14:cfRule>
          <x14:cfRule type="expression" priority="296" id="{3D7F894A-9935-496B-8E0F-B67F9B200875}">
            <xm:f>'Sprachen &amp; Rückgabewerte(5)'!$I$12=FALSE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295" id="{737F54B8-116D-46CB-A2E2-9187527B2ABC}">
            <xm:f>AND('Sprachen &amp; Rückgabewerte(5)'!$I$11=FALSE,'Sprachen &amp; Rückgabewerte(5)'!$I$12=FALSE)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94" id="{166746D7-1709-4FE8-BF13-F642F332F78F}">
            <xm:f>AND('Sprachen &amp; Rückgabewerte(5)'!$I$10=FALSE,'Sprachen &amp; Rückgabewerte(5)'!$I$11=FALSE,'Sprachen &amp; Rückgabewerte(5)'!$I$12=FALSE)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43" id="{91204C6C-056B-445C-A676-E15D86AA33C7}">
            <xm:f>AND($AP$86="",'Sprachen &amp; Rückgabewerte(5)'!$I$51=TRUE)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93" id="{A96EE6DF-D5E8-4890-8B11-20C7FD5B6622}">
            <xm:f>'Sprachen &amp; Rückgabewerte(5)'!$I$51=TRUE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92" id="{4E77A504-C079-4E9E-93CB-DA6E1FA04F61}">
            <xm:f>'Sprachen &amp; Rückgabewerte(5)'!$C$41=FALSE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28" id="{37D7F6C2-5759-4AD0-9BE4-DF0B9FAC6DF1}">
            <xm:f>'Sprachen &amp; Rückgabewerte(5)'!$C$42=FALSE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66" id="{74561915-8378-4047-8F47-0EBCD6CF152C}">
            <xm:f>'Sprachen &amp; Rückgabewerte(5)'!$C$44=FALSE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64" id="{D47E00AF-506F-46F3-B683-E70A1AB1D39D}">
            <xm:f>'Sprachen &amp; Rückgabewerte(5)'!$C$45=FALSE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310" id="{0A569B91-DD3A-44F9-A2B9-603E6758F149}">
            <xm:f>'Sprachen &amp; Rückgabewerte(5)'!$C$46=FALSE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87" id="{C60F9DCE-3434-4EFE-AC55-596E52A3EC7A}">
            <xm:f>'Sprachen &amp; Rückgabewerte(5)'!$C$47=FALSE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63" id="{552C72A4-D12B-4C97-A8E6-0D6D3266DA70}">
            <xm:f>'Sprachen &amp; Rückgabewerte(5)'!$C$49=FALSE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85" id="{5F8C11A8-29D4-4F57-BDD4-CCA47F1D4BA5}">
            <xm:f>G$20='Sprachen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86" id="{922BD023-53CE-48BA-A783-126DB3932115}">
            <xm:f>G$20='Sprachen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83" id="{434F995E-A6A5-48D3-972A-14C94106AD05}">
            <xm:f>'Sprachen &amp; Rückgabewerte(5)'!$L$41=0</xm:f>
            <x14:dxf>
              <border>
                <left style="thin">
                  <color rgb="FFFF0000"/>
                </left>
                <vertical/>
                <horizontal/>
              </border>
            </x14:dxf>
          </x14:cfRule>
          <xm:sqref>C5:C8</xm:sqref>
        </x14:conditionalFormatting>
        <x14:conditionalFormatting xmlns:xm="http://schemas.microsoft.com/office/excel/2006/main">
          <x14:cfRule type="expression" priority="282" id="{6A9B07E3-713E-4814-BEF0-6DF1CF6DFCB1}">
            <xm:f>'Sprachen &amp; Rückgabewerte(5)'!$L$41=0</xm:f>
            <x14:dxf>
              <border>
                <top style="thin">
                  <color rgb="FFFF0000"/>
                </top>
                <vertical/>
                <horizontal/>
              </border>
            </x14:dxf>
          </x14:cfRule>
          <xm:sqref>C5:R5</xm:sqref>
        </x14:conditionalFormatting>
        <x14:conditionalFormatting xmlns:xm="http://schemas.microsoft.com/office/excel/2006/main">
          <x14:cfRule type="expression" priority="281" id="{5FC8591A-91E5-45EE-9149-CE37468F0E70}">
            <xm:f>'Sprachen &amp; Rückgabewerte(5)'!$L$41=0</xm:f>
            <x14:dxf>
              <border>
                <right style="thin">
                  <color rgb="FFFF0000"/>
                </right>
                <vertical/>
                <horizontal/>
              </border>
            </x14:dxf>
          </x14:cfRule>
          <xm:sqref>R5:R8</xm:sqref>
        </x14:conditionalFormatting>
        <x14:conditionalFormatting xmlns:xm="http://schemas.microsoft.com/office/excel/2006/main">
          <x14:cfRule type="expression" priority="280" id="{9353F5D4-3A7A-4E51-9E3B-E1EB89B8F6CF}">
            <xm:f>'Sprachen &amp; Rückgabewerte(5)'!$L$41=0</xm:f>
            <x14:dxf>
              <border>
                <bottom style="thin">
                  <color rgb="FFFF0000"/>
                </bottom>
                <vertical/>
                <horizontal/>
              </border>
            </x14:dxf>
          </x14:cfRule>
          <xm:sqref>C8:R8</xm:sqref>
        </x14:conditionalFormatting>
        <x14:conditionalFormatting xmlns:xm="http://schemas.microsoft.com/office/excel/2006/main">
          <x14:cfRule type="expression" priority="279" id="{39391ADF-2240-4A63-AFE7-7C48F105123A}">
            <xm:f>'Sprachen &amp; Rückgabewerte(5)'!$L$42=0</xm:f>
            <x14:dxf>
              <border>
                <left style="thin">
                  <color rgb="FFFF0000"/>
                </left>
                <vertical/>
                <horizontal/>
              </border>
            </x14:dxf>
          </x14:cfRule>
          <xm:sqref>S5:S8</xm:sqref>
        </x14:conditionalFormatting>
        <x14:conditionalFormatting xmlns:xm="http://schemas.microsoft.com/office/excel/2006/main">
          <x14:cfRule type="expression" priority="142" id="{D10A1782-98CF-4763-A9CA-ABD5D4E59270}">
            <xm:f>'Sprachen &amp; Rückgabewerte(5)'!$L$42=0</xm:f>
            <x14:dxf>
              <border>
                <top style="thin">
                  <color rgb="FFFF0000"/>
                </top>
                <vertical/>
                <horizontal/>
              </border>
            </x14:dxf>
          </x14:cfRule>
          <xm:sqref>S5:AG5</xm:sqref>
        </x14:conditionalFormatting>
        <x14:conditionalFormatting xmlns:xm="http://schemas.microsoft.com/office/excel/2006/main">
          <x14:cfRule type="expression" priority="277" id="{41263C5F-79E8-4E8A-BA55-4DCCCD6A870B}">
            <xm:f>'Sprachen &amp; Rückgabewerte(5)'!$L$42=0</xm:f>
            <x14:dxf>
              <border>
                <right style="thin">
                  <color rgb="FFFF0000"/>
                </right>
                <vertical/>
                <horizontal/>
              </border>
            </x14:dxf>
          </x14:cfRule>
          <xm:sqref>AG5:AG8</xm:sqref>
        </x14:conditionalFormatting>
        <x14:conditionalFormatting xmlns:xm="http://schemas.microsoft.com/office/excel/2006/main">
          <x14:cfRule type="expression" priority="276" id="{EBA92320-B580-40DE-9B46-1D5152DCE727}">
            <xm:f>'Sprachen &amp; Rückgabewerte(5)'!$L$42=0</xm:f>
            <x14:dxf>
              <border>
                <bottom style="thin">
                  <color rgb="FFFF0000"/>
                </bottom>
                <vertical/>
                <horizontal/>
              </border>
            </x14:dxf>
          </x14:cfRule>
          <xm:sqref>S8:AG8</xm:sqref>
        </x14:conditionalFormatting>
        <x14:conditionalFormatting xmlns:xm="http://schemas.microsoft.com/office/excel/2006/main">
          <x14:cfRule type="expression" priority="275" id="{5B75FFC1-EA0A-4FCC-85CD-3639DE192138}">
            <xm:f>'Sprachen &amp; Rückgabewerte(5)'!$L$43=0</xm:f>
            <x14:dxf>
              <border>
                <left style="thin">
                  <color rgb="FFFF0000"/>
                </left>
                <vertical/>
                <horizontal/>
              </border>
            </x14:dxf>
          </x14:cfRule>
          <xm:sqref>AH5:AH8</xm:sqref>
        </x14:conditionalFormatting>
        <x14:conditionalFormatting xmlns:xm="http://schemas.microsoft.com/office/excel/2006/main">
          <x14:cfRule type="expression" priority="139" id="{D6355561-AC81-48E5-9E73-F3D433932B48}">
            <xm:f>'Sprachen &amp; Rückgabewerte(5)'!$L$43=0</xm:f>
            <x14:dxf>
              <border>
                <top style="thin">
                  <color rgb="FFFF0000"/>
                </top>
                <vertical/>
                <horizontal/>
              </border>
            </x14:dxf>
          </x14:cfRule>
          <xm:sqref>AH5:AM5</xm:sqref>
        </x14:conditionalFormatting>
        <x14:conditionalFormatting xmlns:xm="http://schemas.microsoft.com/office/excel/2006/main">
          <x14:cfRule type="expression" priority="273" id="{53E12812-9653-41FF-B3DB-A4DD7D2FB626}">
            <xm:f>'Sprachen &amp; Rückgabewerte(5)'!$L$43=0</xm:f>
            <x14:dxf>
              <border>
                <right style="thin">
                  <color rgb="FFFF0000"/>
                </right>
                <vertical/>
                <horizontal/>
              </border>
            </x14:dxf>
          </x14:cfRule>
          <xm:sqref>AM5:AM8</xm:sqref>
        </x14:conditionalFormatting>
        <x14:conditionalFormatting xmlns:xm="http://schemas.microsoft.com/office/excel/2006/main">
          <x14:cfRule type="expression" priority="272" id="{F794BF40-8B03-4FDF-9069-DB9ADA6F421D}">
            <xm:f>'Sprachen &amp; Rückgabewerte(5)'!$L$43=0</xm:f>
            <x14:dxf>
              <border>
                <bottom style="thin">
                  <color rgb="FFFF0000"/>
                </bottom>
                <vertical/>
                <horizontal/>
              </border>
            </x14:dxf>
          </x14:cfRule>
          <xm:sqref>AH8:AM8</xm:sqref>
        </x14:conditionalFormatting>
        <x14:conditionalFormatting xmlns:xm="http://schemas.microsoft.com/office/excel/2006/main">
          <x14:cfRule type="expression" priority="271" id="{B519698B-80F0-476A-8259-CD0D8E1FE71A}">
            <xm:f>'Sprachen &amp; Rückgabewerte(5)'!$L$44=0</xm:f>
            <x14:dxf>
              <border>
                <left style="thin">
                  <color rgb="FFFF0000"/>
                </left>
                <vertical/>
                <horizontal/>
              </border>
            </x14:dxf>
          </x14:cfRule>
          <xm:sqref>AN5:AN8</xm:sqref>
        </x14:conditionalFormatting>
        <x14:conditionalFormatting xmlns:xm="http://schemas.microsoft.com/office/excel/2006/main">
          <x14:cfRule type="expression" priority="270" id="{B74C370D-DE82-4154-9B29-1CEDBAD0C84E}">
            <xm:f>'Sprachen &amp; Rückgabewerte(5)'!$L$44=0</xm:f>
            <x14:dxf>
              <border>
                <top style="thin">
                  <color rgb="FFFF0000"/>
                </top>
                <vertical/>
                <horizontal/>
              </border>
            </x14:dxf>
          </x14:cfRule>
          <xm:sqref>AN5:AT5</xm:sqref>
        </x14:conditionalFormatting>
        <x14:conditionalFormatting xmlns:xm="http://schemas.microsoft.com/office/excel/2006/main">
          <x14:cfRule type="expression" priority="269" id="{33E50BA5-8191-4FC6-8564-D42E653182E9}">
            <xm:f>'Sprachen &amp; Rückgabewerte(5)'!$L$44=0</xm:f>
            <x14:dxf>
              <border>
                <right style="thin">
                  <color rgb="FFFF0000"/>
                </right>
                <vertical/>
                <horizontal/>
              </border>
            </x14:dxf>
          </x14:cfRule>
          <xm:sqref>AT5:AT8</xm:sqref>
        </x14:conditionalFormatting>
        <x14:conditionalFormatting xmlns:xm="http://schemas.microsoft.com/office/excel/2006/main">
          <x14:cfRule type="expression" priority="268" id="{E1DE5ADF-092F-4738-9B83-564696A9BB7E}">
            <xm:f>'Sprachen &amp; Rückgabewerte(5)'!$L$44=0</xm:f>
            <x14:dxf>
              <border>
                <bottom style="thin">
                  <color rgb="FFFF0000"/>
                </bottom>
                <vertical/>
                <horizontal/>
              </border>
            </x14:dxf>
          </x14:cfRule>
          <xm:sqref>AN8:AT8</xm:sqref>
        </x14:conditionalFormatting>
        <x14:conditionalFormatting xmlns:xm="http://schemas.microsoft.com/office/excel/2006/main">
          <x14:cfRule type="expression" priority="267" id="{8D235E3C-25BB-4ACA-8873-3D98DB7E3950}">
            <xm:f>'Sprachen &amp; Rückgabewerte(5)'!$L$45=0</xm:f>
            <x14:dxf>
              <border>
                <left style="thin">
                  <color rgb="FFFF0000"/>
                </left>
                <vertical/>
                <horizontal/>
              </border>
            </x14:dxf>
          </x14:cfRule>
          <xm:sqref>C9:C30</xm:sqref>
        </x14:conditionalFormatting>
        <x14:conditionalFormatting xmlns:xm="http://schemas.microsoft.com/office/excel/2006/main">
          <x14:cfRule type="expression" priority="260" id="{CFC58C5B-ECC4-46B4-9D5D-28DDECCB913C}">
            <xm:f>'Sprachen &amp; Rückgabewerte(5)'!$L$46=0</xm:f>
            <x14:dxf>
              <border>
                <bottom style="thin">
                  <color rgb="FFFF0000"/>
                </bottom>
                <vertical/>
                <horizontal/>
              </border>
            </x14:dxf>
          </x14:cfRule>
          <x14:cfRule type="expression" priority="266" id="{C5B09B71-CA6B-491B-B2A6-8365099D183C}">
            <xm:f>'Sprachen &amp; Rückgabewerte(5)'!$L$45=0</xm:f>
            <x14:dxf>
              <border>
                <bottom style="thin">
                  <color rgb="FFFF0000"/>
                </bottom>
                <vertical/>
                <horizontal/>
              </border>
            </x14:dxf>
          </x14:cfRule>
          <xm:sqref>C30:AT30</xm:sqref>
        </x14:conditionalFormatting>
        <x14:conditionalFormatting xmlns:xm="http://schemas.microsoft.com/office/excel/2006/main">
          <x14:cfRule type="expression" priority="265" id="{3FA6D759-195A-4215-A284-05BA4476C9F5}">
            <xm:f>'Sprachen &amp; Rückgabewerte(5)'!$L$45=0</xm:f>
            <x14:dxf>
              <border>
                <top style="thin">
                  <color rgb="FFFF0000"/>
                </top>
                <vertical/>
                <horizontal/>
              </border>
            </x14:dxf>
          </x14:cfRule>
          <xm:sqref>C9:AT9</xm:sqref>
        </x14:conditionalFormatting>
        <x14:conditionalFormatting xmlns:xm="http://schemas.microsoft.com/office/excel/2006/main">
          <x14:cfRule type="expression" priority="264" id="{605CD4CF-FADF-4AA8-AED2-6FC5C5336FA4}">
            <xm:f>'Sprachen &amp; Rückgabewerte(5)'!$L$45=0</xm:f>
            <x14:dxf>
              <border>
                <right style="thin">
                  <color rgb="FFFF0000"/>
                </right>
                <vertical/>
                <horizontal/>
              </border>
            </x14:dxf>
          </x14:cfRule>
          <xm:sqref>AT9:AT30</xm:sqref>
        </x14:conditionalFormatting>
        <x14:conditionalFormatting xmlns:xm="http://schemas.microsoft.com/office/excel/2006/main">
          <x14:cfRule type="expression" priority="263" id="{7AA4EDEA-DE16-4AA0-803F-BFE0087FE0D1}">
            <xm:f>'Sprachen &amp; Rückgabewerte(5)'!$L$46=0</xm:f>
            <x14:dxf>
              <border>
                <left style="thin">
                  <color rgb="FFFF0000"/>
                </left>
                <vertical/>
                <horizontal/>
              </border>
            </x14:dxf>
          </x14:cfRule>
          <xm:sqref>C27:C30</xm:sqref>
        </x14:conditionalFormatting>
        <x14:conditionalFormatting xmlns:xm="http://schemas.microsoft.com/office/excel/2006/main">
          <x14:cfRule type="expression" priority="262" id="{18D3A4C9-E3D1-432E-AEB9-FDED7A3FCCDA}">
            <xm:f>'Sprachen &amp; Rückgabewerte(5)'!$L$46=0</xm:f>
            <x14:dxf>
              <border>
                <top style="thin">
                  <color rgb="FFFF0000"/>
                </top>
                <vertical/>
                <horizontal/>
              </border>
            </x14:dxf>
          </x14:cfRule>
          <xm:sqref>C27:AT27</xm:sqref>
        </x14:conditionalFormatting>
        <x14:conditionalFormatting xmlns:xm="http://schemas.microsoft.com/office/excel/2006/main">
          <x14:cfRule type="expression" priority="261" id="{AA92C5F0-0F6C-4839-84AA-1E25BC5CA3B4}">
            <xm:f>'Sprachen &amp; Rückgabewerte(5)'!$L$46=0</xm:f>
            <x14:dxf>
              <border>
                <right style="thin">
                  <color rgb="FFFF0000"/>
                </right>
                <vertical/>
                <horizontal/>
              </border>
            </x14:dxf>
          </x14:cfRule>
          <xm:sqref>AT27:AT30</xm:sqref>
        </x14:conditionalFormatting>
        <x14:conditionalFormatting xmlns:xm="http://schemas.microsoft.com/office/excel/2006/main">
          <x14:cfRule type="expression" priority="259" id="{A6F7AEC8-1916-4C3E-BBB1-CB190A312D82}">
            <xm:f>'Sprachen &amp; Rückgabewerte(5)'!$L$47=0</xm:f>
            <x14:dxf>
              <border>
                <left style="thin">
                  <color rgb="FFFF0000"/>
                </left>
                <vertical/>
                <horizontal/>
              </border>
            </x14:dxf>
          </x14:cfRule>
          <xm:sqref>C32:C35</xm:sqref>
        </x14:conditionalFormatting>
        <x14:conditionalFormatting xmlns:xm="http://schemas.microsoft.com/office/excel/2006/main">
          <x14:cfRule type="expression" priority="258" id="{6F7E619A-F346-4CDD-A33A-4F4A0A2FE813}">
            <xm:f>'Sprachen &amp; Rückgabewerte(5)'!$L$47=0</xm:f>
            <x14:dxf>
              <border>
                <top style="thin">
                  <color rgb="FFFF0000"/>
                </top>
                <vertical/>
                <horizontal/>
              </border>
            </x14:dxf>
          </x14:cfRule>
          <xm:sqref>C32:AB32</xm:sqref>
        </x14:conditionalFormatting>
        <x14:conditionalFormatting xmlns:xm="http://schemas.microsoft.com/office/excel/2006/main">
          <x14:cfRule type="expression" priority="257" id="{A3D237A0-F6ED-48E5-B422-770F0E55503F}">
            <xm:f>'Sprachen &amp; Rückgabewerte(5)'!$L$47=0</xm:f>
            <x14:dxf>
              <border>
                <right style="thin">
                  <color rgb="FFFF0000"/>
                </right>
                <vertical/>
                <horizontal/>
              </border>
            </x14:dxf>
          </x14:cfRule>
          <xm:sqref>AB32:AB35</xm:sqref>
        </x14:conditionalFormatting>
        <x14:conditionalFormatting xmlns:xm="http://schemas.microsoft.com/office/excel/2006/main">
          <x14:cfRule type="expression" priority="256" id="{FB474C7A-9E6B-472E-866F-3D025DD1EC7B}">
            <xm:f>'Sprachen &amp; Rückgabewerte(5)'!$L$47=0</xm:f>
            <x14:dxf>
              <border>
                <bottom style="thin">
                  <color rgb="FFFF0000"/>
                </bottom>
                <vertical/>
                <horizontal/>
              </border>
            </x14:dxf>
          </x14:cfRule>
          <xm:sqref>C35:AB35</xm:sqref>
        </x14:conditionalFormatting>
        <x14:conditionalFormatting xmlns:xm="http://schemas.microsoft.com/office/excel/2006/main">
          <x14:cfRule type="expression" priority="255" id="{76C47A42-497A-48A6-93ED-6920ACBA22E8}">
            <xm:f>'Sprachen &amp; Rückgabewerte(5)'!$M$49=0</xm:f>
            <x14:dxf>
              <border>
                <left style="thin">
                  <color rgb="FFFF0000"/>
                </left>
                <vertical/>
                <horizontal/>
              </border>
            </x14:dxf>
          </x14:cfRule>
          <xm:sqref>C36:C60</xm:sqref>
        </x14:conditionalFormatting>
        <x14:conditionalFormatting xmlns:xm="http://schemas.microsoft.com/office/excel/2006/main">
          <x14:cfRule type="expression" priority="254" id="{64EAA585-445A-4CDA-BC08-E17AFA9B9B29}">
            <xm:f>'Sprachen &amp; Rückgabewerte(5)'!$M$49=0</xm:f>
            <x14:dxf>
              <border>
                <top style="thin">
                  <color rgb="FFFF0000"/>
                </top>
                <vertical/>
                <horizontal/>
              </border>
            </x14:dxf>
          </x14:cfRule>
          <xm:sqref>C36:O36</xm:sqref>
        </x14:conditionalFormatting>
        <x14:conditionalFormatting xmlns:xm="http://schemas.microsoft.com/office/excel/2006/main">
          <x14:cfRule type="expression" priority="253" id="{3F542AF8-0BAF-4176-9B2A-326FC9ABF07A}">
            <xm:f>'Sprachen &amp; Rückgabewerte(5)'!$M$49=0</xm:f>
            <x14:dxf>
              <border>
                <right style="thin">
                  <color rgb="FFFF0000"/>
                </right>
                <vertical/>
                <horizontal/>
              </border>
            </x14:dxf>
          </x14:cfRule>
          <xm:sqref>O36:O60</xm:sqref>
        </x14:conditionalFormatting>
        <x14:conditionalFormatting xmlns:xm="http://schemas.microsoft.com/office/excel/2006/main">
          <x14:cfRule type="expression" priority="252" id="{52073008-BB28-40C8-807C-4AC50A40BA8E}">
            <xm:f>'Sprachen &amp; Rückgabewerte(5)'!$M$49=0</xm:f>
            <x14:dxf>
              <border>
                <bottom style="thin">
                  <color rgb="FFFF0000"/>
                </bottom>
                <vertical/>
                <horizontal/>
              </border>
            </x14:dxf>
          </x14:cfRule>
          <xm:sqref>C60:O60</xm:sqref>
        </x14:conditionalFormatting>
        <x14:conditionalFormatting xmlns:xm="http://schemas.microsoft.com/office/excel/2006/main">
          <x14:cfRule type="expression" priority="251" id="{F7A8518A-A827-46A9-A47B-7C7ADF806379}">
            <xm:f>'Sprachen &amp; Rückgabewerte(5)'!$L$50=0</xm:f>
            <x14:dxf>
              <border>
                <top style="thin">
                  <color rgb="FFFF0000"/>
                </top>
                <vertical/>
                <horizontal/>
              </border>
            </x14:dxf>
          </x14:cfRule>
          <xm:sqref>P36:AB36</xm:sqref>
        </x14:conditionalFormatting>
        <x14:conditionalFormatting xmlns:xm="http://schemas.microsoft.com/office/excel/2006/main">
          <x14:cfRule type="expression" priority="250" id="{2EAE6D7F-8126-4054-A211-04504BF1C037}">
            <xm:f>'Sprachen &amp; Rückgabewerte(5)'!$L$50=0</xm:f>
            <x14:dxf>
              <border>
                <right style="thin">
                  <color rgb="FFFF0000"/>
                </right>
              </border>
            </x14:dxf>
          </x14:cfRule>
          <xm:sqref>AB36:AB58</xm:sqref>
        </x14:conditionalFormatting>
        <x14:conditionalFormatting xmlns:xm="http://schemas.microsoft.com/office/excel/2006/main">
          <x14:cfRule type="expression" priority="249" id="{3FC07795-8D15-4FD3-91BE-358832B89A2D}">
            <xm:f>'Sprachen &amp; Rückgabewerte(5)'!$L$50=0</xm:f>
            <x14:dxf>
              <border>
                <bottom style="thin">
                  <color rgb="FFFF0000"/>
                </bottom>
                <vertical/>
                <horizontal/>
              </border>
            </x14:dxf>
          </x14:cfRule>
          <xm:sqref>P60</xm:sqref>
        </x14:conditionalFormatting>
        <x14:conditionalFormatting xmlns:xm="http://schemas.microsoft.com/office/excel/2006/main">
          <x14:cfRule type="expression" priority="248" id="{40FCC56E-9966-43E0-8708-B2AD0A28D576}">
            <xm:f>'Sprachen &amp; Rückgabewerte(5)'!$L$50=0</xm:f>
            <x14:dxf>
              <border>
                <left style="thin">
                  <color rgb="FFFF0000"/>
                </left>
                <vertical/>
                <horizontal/>
              </border>
            </x14:dxf>
          </x14:cfRule>
          <xm:sqref>P36:P43</xm:sqref>
        </x14:conditionalFormatting>
        <x14:conditionalFormatting xmlns:xm="http://schemas.microsoft.com/office/excel/2006/main">
          <x14:cfRule type="expression" priority="247" id="{3E9171A7-37ED-4E10-92B6-46E350023B04}">
            <xm:f>'Sprachen &amp; Rückgabewerte(5)'!$L$50=0</xm:f>
            <x14:dxf>
              <border>
                <left style="thin">
                  <color rgb="FFFF0000"/>
                </left>
                <vertical/>
                <horizontal/>
              </border>
            </x14:dxf>
          </x14:cfRule>
          <xm:sqref>P44:S45</xm:sqref>
        </x14:conditionalFormatting>
        <x14:conditionalFormatting xmlns:xm="http://schemas.microsoft.com/office/excel/2006/main">
          <x14:cfRule type="expression" priority="246" id="{FCD6D6BA-A5D8-428E-AFEF-003D6F764CB8}">
            <xm:f>'Sprachen &amp; Rückgabewerte(5)'!$L$50=0</xm:f>
            <x14:dxf>
              <border>
                <left style="thin">
                  <color rgb="FFFF0000"/>
                </left>
                <vertical/>
                <horizontal/>
              </border>
            </x14:dxf>
          </x14:cfRule>
          <xm:sqref>P46:P60</xm:sqref>
        </x14:conditionalFormatting>
        <x14:conditionalFormatting xmlns:xm="http://schemas.microsoft.com/office/excel/2006/main">
          <x14:cfRule type="expression" priority="245" id="{15395F58-3723-4300-A67D-F0916C6B861B}">
            <xm:f>'Sprachen &amp; Rückgabewerte(5)'!$L$51=0</xm:f>
            <x14:dxf>
              <border>
                <top style="thin">
                  <color rgb="FFFF0000"/>
                </top>
                <vertical/>
                <horizontal/>
              </border>
            </x14:dxf>
          </x14:cfRule>
          <xm:sqref>AE32:AT32</xm:sqref>
        </x14:conditionalFormatting>
        <x14:conditionalFormatting xmlns:xm="http://schemas.microsoft.com/office/excel/2006/main">
          <x14:cfRule type="expression" priority="121" id="{3803B861-7206-4B02-8232-ABCF0FAD5A3A}">
            <xm:f>AND($AY$43&lt;&gt;0,'Sprachen &amp; Rückgabewerte(5)'!$I$19=TRUE)</xm:f>
            <x14:dxf>
              <border>
                <right style="thin">
                  <color rgb="FFFF0000"/>
                </right>
                <vertical/>
                <horizontal/>
              </border>
            </x14:dxf>
          </x14:cfRule>
          <x14:cfRule type="expression" priority="244" id="{C946C2A0-00A9-4EE7-A047-55478FC4DECE}">
            <xm:f>'Sprachen &amp; Rückgabewerte(5)'!$L$51=0</xm:f>
            <x14:dxf>
              <border>
                <right style="thin">
                  <color rgb="FFFF0000"/>
                </right>
                <vertical/>
                <horizontal/>
              </border>
            </x14:dxf>
          </x14:cfRule>
          <xm:sqref>AT32:AT40</xm:sqref>
        </x14:conditionalFormatting>
        <x14:conditionalFormatting xmlns:xm="http://schemas.microsoft.com/office/excel/2006/main">
          <x14:cfRule type="expression" priority="243" id="{F78C1257-BC72-40D3-88CB-D4CA27BE1239}">
            <xm:f>'Sprachen &amp; Rückgabewerte(5)'!$L$51=0</xm:f>
            <x14:dxf>
              <border>
                <bottom style="thin">
                  <color rgb="FFFF0000"/>
                </bottom>
                <vertical/>
                <horizontal/>
              </border>
            </x14:dxf>
          </x14:cfRule>
          <xm:sqref>AE40:AT40</xm:sqref>
        </x14:conditionalFormatting>
        <x14:conditionalFormatting xmlns:xm="http://schemas.microsoft.com/office/excel/2006/main">
          <x14:cfRule type="expression" priority="242" id="{7C58ADDE-08BB-4699-A792-C18304A78F9C}">
            <xm:f>'Sprachen &amp; Rückgabewerte(5)'!$L$52=0</xm:f>
            <x14:dxf>
              <border>
                <top style="thin">
                  <color rgb="FFFF0000"/>
                </top>
                <vertical/>
                <horizontal/>
              </border>
            </x14:dxf>
          </x14:cfRule>
          <xm:sqref>AE42:AT42</xm:sqref>
        </x14:conditionalFormatting>
        <x14:conditionalFormatting xmlns:xm="http://schemas.microsoft.com/office/excel/2006/main">
          <x14:cfRule type="expression" priority="241" id="{47256F8D-368C-40A5-B168-9850A8FCFD98}">
            <xm:f>'Sprachen &amp; Rückgabewerte(5)'!$L$52=0</xm:f>
            <x14:dxf>
              <border>
                <right style="thin">
                  <color rgb="FFFF0000"/>
                </right>
                <vertical/>
                <horizontal/>
              </border>
            </x14:dxf>
          </x14:cfRule>
          <xm:sqref>AT42:AT50</xm:sqref>
        </x14:conditionalFormatting>
        <x14:conditionalFormatting xmlns:xm="http://schemas.microsoft.com/office/excel/2006/main">
          <x14:cfRule type="expression" priority="240" id="{883DC6F6-5713-49AA-93AA-F775AC748FC9}">
            <xm:f>'Sprachen &amp; Rückgabewerte(5)'!$L$52=0</xm:f>
            <x14:dxf>
              <border>
                <bottom style="thin">
                  <color rgb="FFFF0000"/>
                </bottom>
                <vertical/>
                <horizontal/>
              </border>
            </x14:dxf>
          </x14:cfRule>
          <xm:sqref>AM50:AT50</xm:sqref>
        </x14:conditionalFormatting>
        <x14:conditionalFormatting xmlns:xm="http://schemas.microsoft.com/office/excel/2006/main">
          <x14:cfRule type="expression" priority="187" id="{403BAE15-5A6A-4945-BCD2-3C25AC6F103D}">
            <xm:f>OR('Sprachen &amp; Rückgabewerte(5)'!$I$36=TRUE,'Sprachen &amp; Rückgabewerte(5)'!$I$39=TRUE)</xm:f>
            <x14:dxf>
              <font>
                <color theme="1"/>
              </font>
            </x14:dxf>
          </x14:cfRule>
          <x14:cfRule type="expression" priority="239" id="{6FCA478D-3A70-4B01-89F5-C67D3A9093E4}">
            <xm:f>'Sprachen &amp; Rückgabewerte(5)'!$L$52=0</xm:f>
            <x14:dxf>
              <border>
                <bottom style="thin">
                  <color rgb="FFFF0000"/>
                </bottom>
                <vertical/>
                <horizontal/>
              </border>
            </x14:dxf>
          </x14:cfRule>
          <xm:sqref>AF48:AL50</xm:sqref>
        </x14:conditionalFormatting>
        <x14:conditionalFormatting xmlns:xm="http://schemas.microsoft.com/office/excel/2006/main">
          <x14:cfRule type="expression" priority="238" id="{C07DD09C-1A23-41A2-BD90-A462B88D5A1E}">
            <xm:f>'Sprachen &amp; Rückgabewerte(5)'!$L$52=0</xm:f>
            <x14:dxf>
              <border>
                <bottom style="thin">
                  <color rgb="FFFF0000"/>
                </bottom>
                <vertical/>
                <horizontal/>
              </border>
            </x14:dxf>
          </x14:cfRule>
          <xm:sqref>AE50</xm:sqref>
        </x14:conditionalFormatting>
        <x14:conditionalFormatting xmlns:xm="http://schemas.microsoft.com/office/excel/2006/main">
          <x14:cfRule type="expression" priority="237" id="{C27DB416-7856-42BD-9C25-ACDFF0FA740D}">
            <xm:f>'Sprachen &amp; Rückgabewerte(5)'!$L$53=0</xm:f>
            <x14:dxf>
              <border>
                <top style="thin">
                  <color rgb="FFFF0000"/>
                </top>
                <vertical/>
                <horizontal/>
              </border>
            </x14:dxf>
          </x14:cfRule>
          <xm:sqref>AE52:AT52</xm:sqref>
        </x14:conditionalFormatting>
        <x14:conditionalFormatting xmlns:xm="http://schemas.microsoft.com/office/excel/2006/main">
          <x14:cfRule type="expression" priority="236" id="{579BD600-C23E-4400-8606-87F61003E613}">
            <xm:f>'Sprachen &amp; Rückgabewerte(5)'!$L$53=0</xm:f>
            <x14:dxf>
              <border>
                <right style="thin">
                  <color rgb="FFFF0000"/>
                </right>
                <vertical/>
                <horizontal/>
              </border>
            </x14:dxf>
          </x14:cfRule>
          <xm:sqref>AT52:AT58</xm:sqref>
        </x14:conditionalFormatting>
        <x14:conditionalFormatting xmlns:xm="http://schemas.microsoft.com/office/excel/2006/main">
          <x14:cfRule type="expression" priority="235" id="{A554D65F-BEAF-4ECC-9CF6-324401058808}">
            <xm:f>'Sprachen &amp; Rückgabewerte(5)'!$L$53=0</xm:f>
            <x14:dxf>
              <border>
                <bottom style="thin">
                  <color rgb="FFFF0000"/>
                </bottom>
                <vertical/>
                <horizontal/>
              </border>
            </x14:dxf>
          </x14:cfRule>
          <xm:sqref>AE58:AT58</xm:sqref>
        </x14:conditionalFormatting>
        <x14:conditionalFormatting xmlns:xm="http://schemas.microsoft.com/office/excel/2006/main">
          <x14:cfRule type="expression" priority="234" id="{29A0DC32-B15C-4F9D-B467-5526E6D6310C}">
            <xm:f>'Sprachen &amp; Rückgabewerte(5)'!$L$54=0</xm:f>
            <x14:dxf>
              <border>
                <top style="thin">
                  <color rgb="FFFF0000"/>
                </top>
                <vertical/>
                <horizontal/>
              </border>
            </x14:dxf>
          </x14:cfRule>
          <xm:sqref>AE60:AT60</xm:sqref>
        </x14:conditionalFormatting>
        <x14:conditionalFormatting xmlns:xm="http://schemas.microsoft.com/office/excel/2006/main">
          <x14:cfRule type="expression" priority="233" id="{DA729468-5CA6-4640-AB13-0838F99A5A35}">
            <xm:f>'Sprachen &amp; Rückgabewerte(5)'!$L$54=0</xm:f>
            <x14:dxf>
              <border>
                <right style="thin">
                  <color rgb="FFFF0000"/>
                </right>
                <vertical/>
                <horizontal/>
              </border>
            </x14:dxf>
          </x14:cfRule>
          <xm:sqref>AT60:AT71</xm:sqref>
        </x14:conditionalFormatting>
        <x14:conditionalFormatting xmlns:xm="http://schemas.microsoft.com/office/excel/2006/main">
          <x14:cfRule type="expression" priority="232" id="{0A08C09C-E26A-428D-98A6-6DED503579FB}">
            <xm:f>'Sprachen &amp; Rückgabewerte(5)'!$L$54=0</xm:f>
            <x14:dxf>
              <border>
                <bottom style="thin">
                  <color rgb="FFFF0000"/>
                </bottom>
                <vertical/>
                <horizontal/>
              </border>
            </x14:dxf>
          </x14:cfRule>
          <xm:sqref>AE71:AT71</xm:sqref>
        </x14:conditionalFormatting>
        <x14:conditionalFormatting xmlns:xm="http://schemas.microsoft.com/office/excel/2006/main">
          <x14:cfRule type="expression" priority="231" id="{FD6C829C-3AF3-4042-905D-887A6740DE37}">
            <xm:f>'Sprachen &amp; Rückgabewerte(5)'!$L$55=0</xm:f>
            <x14:dxf>
              <border>
                <top style="thin">
                  <color rgb="FFFF0000"/>
                </top>
                <vertical/>
                <horizontal/>
              </border>
            </x14:dxf>
          </x14:cfRule>
          <xm:sqref>AE83:AT83</xm:sqref>
        </x14:conditionalFormatting>
        <x14:conditionalFormatting xmlns:xm="http://schemas.microsoft.com/office/excel/2006/main">
          <x14:cfRule type="expression" priority="230" id="{17986DDE-B68B-4F60-BF3A-8E8E133D997C}">
            <xm:f>'Sprachen &amp; Rückgabewerte(5)'!$L$55=0</xm:f>
            <x14:dxf>
              <border>
                <right style="thin">
                  <color rgb="FFFF0000"/>
                </right>
                <vertical/>
                <horizontal/>
              </border>
            </x14:dxf>
          </x14:cfRule>
          <xm:sqref>AT83:AT93</xm:sqref>
        </x14:conditionalFormatting>
        <x14:conditionalFormatting xmlns:xm="http://schemas.microsoft.com/office/excel/2006/main">
          <x14:cfRule type="expression" priority="229" id="{88E7E6D7-BDA3-4F66-ADAF-F8974B187E61}">
            <xm:f>'Sprachen &amp; Rückgabewerte(5)'!$L$55=0</xm:f>
            <x14:dxf>
              <border>
                <bottom style="thin">
                  <color rgb="FFFF0000"/>
                </bottom>
                <vertical/>
                <horizontal/>
              </border>
            </x14:dxf>
          </x14:cfRule>
          <xm:sqref>AE93:AT93</xm:sqref>
        </x14:conditionalFormatting>
        <x14:conditionalFormatting xmlns:xm="http://schemas.microsoft.com/office/excel/2006/main">
          <x14:cfRule type="expression" priority="227" id="{1700055C-2387-46EE-96E1-9DCB3984473B}">
            <xm:f>'Sprachen &amp; Rückgabewerte(5)'!$M$59=0</xm:f>
            <x14:dxf>
              <border>
                <right style="thin">
                  <color rgb="FFFF0000"/>
                </right>
                <vertical/>
                <horizontal/>
              </border>
            </x14:dxf>
          </x14:cfRule>
          <xm:sqref>AB86</xm:sqref>
        </x14:conditionalFormatting>
        <x14:conditionalFormatting xmlns:xm="http://schemas.microsoft.com/office/excel/2006/main">
          <x14:cfRule type="expression" priority="226" id="{741C1EAE-30AD-493E-A037-2267191C0AD1}">
            <xm:f>'Sprachen &amp; Rückgabewerte(5)'!$M$59=0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23" id="{5E0658AB-43DC-4928-A6F5-45CEA54AE9A0}">
            <xm:f>K$20='Sprachen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4" id="{7D148ED5-E8C8-492C-987B-BED3B6758566}">
            <xm:f>K$20='Sprachen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21" id="{7E48FACD-C109-4C4C-819E-3360F38A5355}">
            <xm:f>O$20='Sprachen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2" id="{02B9A096-7719-45BA-AC89-C9E084E5747A}">
            <xm:f>O$20='Sprachen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219" id="{4FAE4D5C-DA84-42FE-84C8-957CB20D5467}">
            <xm:f>S$20='Sprachen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0" id="{9830F64C-0F8A-41BD-89D8-3ECDB8FDCC45}">
            <xm:f>S$20='Sprachen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217" id="{17E96BA3-8C52-4AAD-9351-B1B8A46C7A63}">
            <xm:f>W$20='Sprachen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8" id="{90F4E9A5-5C34-4EF3-AF31-40B3166D85C7}">
            <xm:f>W$20='Sprachen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215" id="{34CFF842-02C3-4315-8DFD-E54BF492CE7C}">
            <xm:f>AA$20='Sprachen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6" id="{EA063CCC-EACF-481D-80EF-915CAF63CC1A}">
            <xm:f>AA$20='Sprachen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213" id="{B9F407F9-91B1-41F3-9385-E3207C0900F6}">
            <xm:f>AE$20='Sprachen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4" id="{97F5C170-6EE6-4813-B488-A43A0E670F3B}">
            <xm:f>AE$20='Sprachen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211" id="{6F387D98-0B9E-424C-BD06-BEF2A716FE01}">
            <xm:f>AI$20='Sprachen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2" id="{92667AE7-2D82-4EDA-886D-A642CCD73FD5}">
            <xm:f>AI$20='Sprachen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209" id="{EAD60027-E9E2-439D-A420-D5FCB62F65C5}">
            <xm:f>AM$20='Sprachen &amp; Rückgabewerte(5)'!$H$107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0" id="{34B74DD3-DE0D-4466-BD41-9B375FDEE886}">
            <xm:f>AM$20='Sprachen &amp; Rückgabewerte(5)'!$H$106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208" id="{DDC9C70E-F3EA-4F5D-BA22-EF4AECC4DFBA}">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207" id="{C84318C4-3017-4ACC-A6C9-1AE2EE4BD327}">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206" id="{67C29148-CF0A-42C1-880A-378B0191D369}">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205" id="{3DEEFD2F-8A1D-4135-9129-DF7011B2FD05}">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204" id="{262975A8-1CEC-4790-9C82-98E3988880AC}">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203" id="{B199132E-592E-4AFE-BADF-140F3E72726B}">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202" id="{A4EB74C9-8A68-433A-B782-DAFDBD1A9408}">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201" id="{9C3AEF78-FF1C-4130-AB32-853E8F241D82}">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200" id="{92250D6D-FC57-40AD-AD13-01F4DEF5A511}">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99" id="{3DFE1A4D-80AF-4EEC-A48C-9FA430897AA6}">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98" id="{C0234A75-2E3F-492F-8B2F-B60467D58174}">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97" id="{8FDCE55F-296F-4122-B9AF-D89DE0523452}">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96" id="{B65193C3-5608-4155-9E3C-B3A45DE08865}">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95" id="{8E88B996-7604-4092-81EC-4642AF57F0B3}">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94" id="{0073B510-DB95-433F-AE03-215764395823}">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93" id="{BC936DF6-24C9-466D-B32C-97FF90375658}">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92" id="{E7B28326-5942-4F62-8A4C-BA2D03D682D5}">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146" id="{59087549-2BFA-4222-AA83-DE904B22B6B2}">
            <xm:f>AND($AL$39="",'Sprachen &amp; Rückgabewerte(5)'!$I$22=TRUE)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90" id="{587E16F5-4336-46D8-8FF4-57684F3DE03E}">
            <xm:f>'Sprachen &amp; Rückgabewerte(5)'!$I$22=FALSE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59" id="{8BD3DA96-EED4-4A85-98FB-5E8E2295A2AE}">
            <xm:f>'Sprachen &amp; Rückgabewerte(5)'!$I$36=FALSE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5" id="{035669B3-8019-4862-82FE-3937BF70D988}">
            <xm:f>'Sprachen &amp; Rückgabewerte(5)'!$I$39=FALSE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58" id="{6413A73D-0401-4C82-9EF4-F70EDC5150D9}">
            <xm:f>AND('Sprachen &amp; Rückgabewerte(5)'!$I$36=FALSE,'Sprachen &amp; Rückgabewerte(5)'!$I$39=FALSE)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76" id="{84E08B4A-E3DB-49F2-B906-E0ED64403157}">
            <xm:f>'Sprachen &amp; Rückgabewerte(5)'!$I$45=FALSE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84" id="{C3BCC2BD-62D7-4013-89C7-DE5FADCC6591}">
            <xm:f>'Sprachen &amp; Rückgabewerte(5)'!$L$67=TRUE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83" id="{4FD5624C-5C39-4BAD-8285-622F0AF8387A}">
            <xm:f>'Sprachen &amp; Rückgabewerte(5)'!$L$68=TRUE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119" id="{D715E881-FC7E-45C5-AC6A-3CABC74348F6}">
            <xm:f>AND($AY$43&lt;&gt;0,'Sprachen &amp; Rückgabewerte(5)'!$I$19=TRUE)</xm:f>
            <x14:dxf>
              <border>
                <left style="thin">
                  <color rgb="FFFF0000"/>
                </left>
                <bottom/>
                <vertical/>
                <horizontal/>
              </border>
            </x14:dxf>
          </x14:cfRule>
          <x14:cfRule type="expression" priority="182" id="{D2398B0E-E6A5-4D9C-ADD2-8144E6C74389}">
            <xm:f>'Sprachen &amp; Rückgabewerte(5)'!$L$51=0</xm:f>
            <x14:dxf>
              <border>
                <left style="thin">
                  <color rgb="FFFF0000"/>
                </left>
                <vertical/>
                <horizontal/>
              </border>
            </x14:dxf>
          </x14:cfRule>
          <xm:sqref>AD32:AD40</xm:sqref>
        </x14:conditionalFormatting>
        <x14:conditionalFormatting xmlns:xm="http://schemas.microsoft.com/office/excel/2006/main">
          <x14:cfRule type="expression" priority="118" id="{9DE06ED5-C69B-4FDF-9605-19A3474A5B9E}">
            <xm:f>AND($AY$43&lt;&gt;0,'Sprachen &amp; Rückgabewerte(5)'!$I$19=TRUE)</xm:f>
            <x14:dxf>
              <border>
                <bottom style="thin">
                  <color rgb="FFFF0000"/>
                </bottom>
                <vertical/>
                <horizontal/>
              </border>
            </x14:dxf>
          </x14:cfRule>
          <x14:cfRule type="expression" priority="181" id="{DB8A733F-9E5F-4A02-9EE5-7DCE01BD1A7A}">
            <xm:f>'Sprachen &amp; Rückgabewerte(5)'!$L$51=0</xm:f>
            <x14:dxf>
              <border>
                <bottom style="thin">
                  <color rgb="FFFF0000"/>
                </bottom>
                <vertical/>
                <horizontal/>
              </border>
            </x14:dxf>
          </x14:cfRule>
          <xm:sqref>AD40</xm:sqref>
        </x14:conditionalFormatting>
        <x14:conditionalFormatting xmlns:xm="http://schemas.microsoft.com/office/excel/2006/main">
          <x14:cfRule type="expression" priority="180" id="{8259A964-FA33-40B9-85C7-852D6EAE1657}">
            <xm:f>'Sprachen &amp; Rückgabewerte(5)'!$L$51=0</xm:f>
            <x14:dxf>
              <border>
                <top style="thin">
                  <color rgb="FFFF0000"/>
                </top>
                <vertical/>
                <horizontal/>
              </border>
            </x14:dxf>
          </x14:cfRule>
          <xm:sqref>AD32</xm:sqref>
        </x14:conditionalFormatting>
        <x14:conditionalFormatting xmlns:xm="http://schemas.microsoft.com/office/excel/2006/main">
          <x14:cfRule type="expression" priority="179" id="{5057B587-22A2-491A-BD2E-165E39B043D1}">
            <xm:f>'Sprachen &amp; Rückgabewerte(5)'!$L$52=0</xm:f>
            <x14:dxf>
              <border>
                <left style="thin">
                  <color rgb="FFFF0000"/>
                </left>
                <vertical/>
                <horizontal/>
              </border>
            </x14:dxf>
          </x14:cfRule>
          <xm:sqref>AD42:AD50</xm:sqref>
        </x14:conditionalFormatting>
        <x14:conditionalFormatting xmlns:xm="http://schemas.microsoft.com/office/excel/2006/main">
          <x14:cfRule type="expression" priority="178" id="{A367C42B-B980-4DA7-A8E6-1AAEC0295C7B}">
            <xm:f>'Sprachen &amp; Rückgabewerte(5)'!$L$52=0</xm:f>
            <x14:dxf>
              <border>
                <top style="thin">
                  <color rgb="FFFF0000"/>
                </top>
                <vertical/>
                <horizontal/>
              </border>
            </x14:dxf>
          </x14:cfRule>
          <xm:sqref>AD42</xm:sqref>
        </x14:conditionalFormatting>
        <x14:conditionalFormatting xmlns:xm="http://schemas.microsoft.com/office/excel/2006/main">
          <x14:cfRule type="expression" priority="177" id="{ABB7ED79-F9D8-4AF7-8858-D5672E7D09AA}">
            <xm:f>'Sprachen &amp; Rückgabewerte(5)'!$L$52=0</xm:f>
            <x14:dxf>
              <border>
                <bottom style="thin">
                  <color rgb="FFFF0000"/>
                </bottom>
                <vertical/>
                <horizontal/>
              </border>
            </x14:dxf>
          </x14:cfRule>
          <xm:sqref>AD50</xm:sqref>
        </x14:conditionalFormatting>
        <x14:conditionalFormatting xmlns:xm="http://schemas.microsoft.com/office/excel/2006/main">
          <x14:cfRule type="expression" priority="176" id="{1C20C4D6-EFF7-4E7D-8369-C82D59B917BE}">
            <xm:f>'Sprachen &amp; Rückgabewerte(5)'!$L$53=0</xm:f>
            <x14:dxf>
              <border>
                <left style="thin">
                  <color rgb="FFFF0000"/>
                </left>
                <vertical/>
                <horizontal/>
              </border>
            </x14:dxf>
          </x14:cfRule>
          <xm:sqref>AD52:AD58</xm:sqref>
        </x14:conditionalFormatting>
        <x14:conditionalFormatting xmlns:xm="http://schemas.microsoft.com/office/excel/2006/main">
          <x14:cfRule type="expression" priority="175" id="{1F935B71-0857-4439-970B-F7215568F96E}">
            <xm:f>'Sprachen &amp; Rückgabewerte(5)'!$L$53=0</xm:f>
            <x14:dxf>
              <border>
                <top style="thin">
                  <color rgb="FFFF0000"/>
                </top>
                <vertical/>
                <horizontal/>
              </border>
            </x14:dxf>
          </x14:cfRule>
          <xm:sqref>AD52</xm:sqref>
        </x14:conditionalFormatting>
        <x14:conditionalFormatting xmlns:xm="http://schemas.microsoft.com/office/excel/2006/main">
          <x14:cfRule type="expression" priority="174" id="{2CC82614-1890-4DF5-85F3-22C5DD5DC2B3}">
            <xm:f>'Sprachen &amp; Rückgabewerte(5)'!$L$53=0</xm:f>
            <x14:dxf>
              <border>
                <bottom style="thin">
                  <color rgb="FFFF0000"/>
                </bottom>
                <vertical/>
                <horizontal/>
              </border>
            </x14:dxf>
          </x14:cfRule>
          <xm:sqref>AD58</xm:sqref>
        </x14:conditionalFormatting>
        <x14:conditionalFormatting xmlns:xm="http://schemas.microsoft.com/office/excel/2006/main">
          <x14:cfRule type="expression" priority="173" id="{C6D9DEC6-5CB7-44CD-8954-80BC795A88BF}">
            <xm:f>'Sprachen &amp; Rückgabewerte(5)'!$L$54=0</xm:f>
            <x14:dxf>
              <border>
                <left style="thin">
                  <color rgb="FFFF0000"/>
                </left>
                <vertical/>
                <horizontal/>
              </border>
            </x14:dxf>
          </x14:cfRule>
          <xm:sqref>AD60:AD71</xm:sqref>
        </x14:conditionalFormatting>
        <x14:conditionalFormatting xmlns:xm="http://schemas.microsoft.com/office/excel/2006/main">
          <x14:cfRule type="expression" priority="172" id="{59B464F0-90CC-4B94-B032-5E0201A7F9DE}">
            <xm:f>'Sprachen &amp; Rückgabewerte(5)'!$L$54=0</xm:f>
            <x14:dxf>
              <border>
                <top style="thin">
                  <color rgb="FFFF0000"/>
                </top>
                <vertical/>
                <horizontal/>
              </border>
            </x14:dxf>
          </x14:cfRule>
          <xm:sqref>AD60</xm:sqref>
        </x14:conditionalFormatting>
        <x14:conditionalFormatting xmlns:xm="http://schemas.microsoft.com/office/excel/2006/main">
          <x14:cfRule type="expression" priority="171" id="{5D790337-6528-4037-9C4F-761E15F1EF58}">
            <xm:f>'Sprachen &amp; Rückgabewerte(5)'!$L$54=0</xm:f>
            <x14:dxf>
              <border>
                <bottom style="thin">
                  <color rgb="FFFF0000"/>
                </bottom>
                <vertical/>
                <horizontal/>
              </border>
            </x14:dxf>
          </x14:cfRule>
          <xm:sqref>AD71</xm:sqref>
        </x14:conditionalFormatting>
        <x14:conditionalFormatting xmlns:xm="http://schemas.microsoft.com/office/excel/2006/main">
          <x14:cfRule type="expression" priority="155" id="{EBF8E95B-7E16-4096-BE01-D559BE25E7DF}">
            <xm:f>'Sprachen &amp; Rückgabewerte(5)'!$C$64=0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69" id="{20174DF4-5788-4FBA-B14E-DD27D3BEA252}">
            <xm:f>'Sprachen &amp; Rückgabewerte(5)'!$L$55=0</xm:f>
            <x14:dxf>
              <border>
                <left style="thin">
                  <color rgb="FFFF0000"/>
                </left>
                <vertical/>
                <horizontal/>
              </border>
            </x14:dxf>
          </x14:cfRule>
          <xm:sqref>AD83:AD93</xm:sqref>
        </x14:conditionalFormatting>
        <x14:conditionalFormatting xmlns:xm="http://schemas.microsoft.com/office/excel/2006/main">
          <x14:cfRule type="expression" priority="168" id="{D73539E7-578E-4483-8B9A-30E1DB94899A}">
            <xm:f>'Sprachen &amp; Rückgabewerte(5)'!$L$55=0</xm:f>
            <x14:dxf>
              <border>
                <top style="thin">
                  <color rgb="FFFF0000"/>
                </top>
                <vertical/>
                <horizontal/>
              </border>
            </x14:dxf>
          </x14:cfRule>
          <xm:sqref>AD83</xm:sqref>
        </x14:conditionalFormatting>
        <x14:conditionalFormatting xmlns:xm="http://schemas.microsoft.com/office/excel/2006/main">
          <x14:cfRule type="expression" priority="167" id="{5B2FEBAC-9F76-4301-92E6-6294DBABFCEF}">
            <xm:f>'Sprachen &amp; Rückgabewerte(5)'!$L$55=0</xm:f>
            <x14:dxf>
              <border>
                <bottom style="thin">
                  <color rgb="FFFF0000"/>
                </bottom>
                <vertical/>
                <horizontal/>
              </border>
            </x14:dxf>
          </x14:cfRule>
          <xm:sqref>AD93</xm:sqref>
        </x14:conditionalFormatting>
        <x14:conditionalFormatting xmlns:xm="http://schemas.microsoft.com/office/excel/2006/main">
          <x14:cfRule type="expression" priority="145" id="{EE3C4E47-A8A0-4034-BAEA-120F1ED40AA6}">
            <xm:f>AND($AE$85="",$AE$84='Sprachen &amp; Rückgabewerte(5)'!$H$89)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2" id="{CEF484DA-7B06-42B8-AA4D-BCD92D522630}">
            <xm:f>$AE$84='Sprachen &amp; Rückgabewerte(5)'!$H$89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301" id="{E6040AE1-5865-4EEF-8C1A-75DB8316D79E}">
            <xm:f>'Sprachen &amp; Rückgabewerte(5)'!$C$48=FALSE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303" id="{00225F30-8C3D-4138-A39E-CA114A298F5A}">
            <xm:f>'Sprachen &amp; Rückgabewerte(5)'!$M$62=3</xm:f>
            <x14:dxf>
              <border>
                <left style="thin">
                  <color rgb="FFFF0000"/>
                </left>
                <vertical/>
                <horizontal/>
              </border>
            </x14:dxf>
          </x14:cfRule>
          <x14:cfRule type="expression" priority="304" id="{03EFA9D7-AB7F-45AA-BAF8-F0B403A58E5F}">
            <xm:f>'Sprachen &amp; Rückgabewerte(5)'!$M$62=2</xm:f>
            <x14:dxf>
              <border>
                <left style="thin">
                  <color rgb="FFFF0000"/>
                </left>
                <vertical/>
                <horizontal/>
              </border>
            </x14:dxf>
          </x14:cfRule>
          <xm:sqref>C73:C97</xm:sqref>
        </x14:conditionalFormatting>
        <x14:conditionalFormatting xmlns:xm="http://schemas.microsoft.com/office/excel/2006/main">
          <x14:cfRule type="expression" priority="305" id="{98FD5205-DDF5-4AD4-8DBC-4EDB372FF687}">
            <xm:f>'Sprachen &amp; Rückgabewerte(5)'!$M$62=2</xm:f>
            <x14:dxf>
              <border>
                <top style="thin">
                  <color rgb="FFFF0000"/>
                </top>
                <vertical/>
                <horizontal/>
              </border>
            </x14:dxf>
          </x14:cfRule>
          <x14:cfRule type="expression" priority="306" id="{AB37B020-942B-4CA9-821D-A64CEA2E9E39}">
            <xm:f>'Sprachen &amp; Rückgabewerte(5)'!$M$62=3</xm:f>
            <x14:dxf>
              <border>
                <top style="thin">
                  <color rgb="FFFF0000"/>
                </top>
                <vertical/>
                <horizontal/>
              </border>
            </x14:dxf>
          </x14:cfRule>
          <xm:sqref>C73:AB73</xm:sqref>
        </x14:conditionalFormatting>
        <x14:conditionalFormatting xmlns:xm="http://schemas.microsoft.com/office/excel/2006/main">
          <x14:cfRule type="expression" priority="307" id="{F32E5093-A761-45B0-A431-C3F305248D5A}">
            <xm:f>'Sprachen &amp; Rückgabewerte(5)'!$M$62=2</xm:f>
            <x14:dxf>
              <border>
                <right style="thin">
                  <color rgb="FFFF0000"/>
                </right>
                <vertical/>
                <horizontal/>
              </border>
            </x14:dxf>
          </x14:cfRule>
          <x14:cfRule type="expression" priority="308" id="{D6273691-D857-4A5E-8AFD-0279DEB2A608}">
            <xm:f>'Sprachen &amp; Rückgabewerte(5)'!$M$62=3</xm:f>
            <x14:dxf>
              <border>
                <right style="thin">
                  <color rgb="FFFF0000"/>
                </right>
                <vertical/>
                <horizontal/>
              </border>
            </x14:dxf>
          </x14:cfRule>
          <xm:sqref>AB73:AB85</xm:sqref>
        </x14:conditionalFormatting>
        <x14:conditionalFormatting xmlns:xm="http://schemas.microsoft.com/office/excel/2006/main">
          <x14:cfRule type="expression" priority="311" id="{66FFE02C-F24E-491C-8BDF-3EC5E9BA90EE}">
            <xm:f>'Sprachen &amp; Rückgabewerte(5)'!$M$62=3</xm:f>
            <x14:dxf>
              <border>
                <bottom style="thin">
                  <color rgb="FFFF0000"/>
                </bottom>
                <vertical/>
                <horizontal/>
              </border>
            </x14:dxf>
          </x14:cfRule>
          <x14:cfRule type="expression" priority="312" id="{660E7FE2-93DF-49D3-9890-CFF3C547478C}">
            <xm:f>'Sprachen &amp; Rückgabewerte(5)'!$M$62=2</xm:f>
            <x14:dxf>
              <border>
                <bottom style="thin">
                  <color rgb="FFFF0000"/>
                </bottom>
                <vertical/>
                <horizontal/>
              </border>
            </x14:dxf>
          </x14:cfRule>
          <xm:sqref>C97:K97</xm:sqref>
        </x14:conditionalFormatting>
        <x14:conditionalFormatting xmlns:xm="http://schemas.microsoft.com/office/excel/2006/main">
          <x14:cfRule type="expression" priority="313" id="{5D1D5990-FC65-4BA3-B177-61CD8499EFEC}">
            <xm:f>'Sprachen &amp; Rückgabewerte(5)'!$M$60=0</xm:f>
            <x14:dxf>
              <border>
                <left style="thin">
                  <color rgb="FFFF0000"/>
                </left>
                <vertical/>
                <horizontal/>
              </border>
            </x14:dxf>
          </x14:cfRule>
          <xm:sqref>M73:M85</xm:sqref>
        </x14:conditionalFormatting>
        <x14:conditionalFormatting xmlns:xm="http://schemas.microsoft.com/office/excel/2006/main">
          <x14:cfRule type="expression" priority="314" id="{F8493A34-6E2D-4037-B842-09C4C1D8A606}">
            <xm:f>'Sprachen &amp; Rückgabewerte(5)'!$M$60=0</xm:f>
            <x14:dxf>
              <border>
                <top style="thin">
                  <color rgb="FFFF0000"/>
                </top>
                <vertical/>
                <horizontal/>
              </border>
            </x14:dxf>
          </x14:cfRule>
          <xm:sqref>M73:S73</xm:sqref>
        </x14:conditionalFormatting>
        <x14:conditionalFormatting xmlns:xm="http://schemas.microsoft.com/office/excel/2006/main">
          <x14:cfRule type="expression" priority="315" id="{40C97B08-F6EE-4F85-ADD7-ABADDCFADFF4}">
            <xm:f>'Sprachen &amp; Rückgabewerte(5)'!$M$60=0</xm:f>
            <x14:dxf>
              <border>
                <right style="thin">
                  <color rgb="FFFF0000"/>
                </right>
                <vertical/>
                <horizontal/>
              </border>
            </x14:dxf>
          </x14:cfRule>
          <xm:sqref>S73:S85</xm:sqref>
        </x14:conditionalFormatting>
        <x14:conditionalFormatting xmlns:xm="http://schemas.microsoft.com/office/excel/2006/main">
          <x14:cfRule type="expression" priority="309" id="{2EBDCEC6-F5C4-4921-A747-61F3883240B1}">
            <xm:f>'Sprachen &amp; Rückgabewerte(5)'!$M$60=0</xm:f>
            <x14:dxf>
              <border>
                <bottom style="thin">
                  <color rgb="FFFF0000"/>
                </bottom>
                <vertical/>
                <horizontal/>
              </border>
            </x14:dxf>
          </x14:cfRule>
          <xm:sqref>M85:S85</xm:sqref>
        </x14:conditionalFormatting>
        <x14:conditionalFormatting xmlns:xm="http://schemas.microsoft.com/office/excel/2006/main">
          <x14:cfRule type="expression" priority="317" id="{00549739-09D2-49AB-A51F-BBC29CCD2C14}">
            <xm:f>'Sprachen &amp; Rückgabewerte(5)'!$M$56=0</xm:f>
            <x14:dxf>
              <border>
                <left style="thin">
                  <color rgb="FFFF0000"/>
                </left>
                <vertical/>
                <horizontal/>
              </border>
            </x14:dxf>
          </x14:cfRule>
          <xm:sqref>C62:C72</xm:sqref>
        </x14:conditionalFormatting>
        <x14:conditionalFormatting xmlns:xm="http://schemas.microsoft.com/office/excel/2006/main">
          <x14:cfRule type="expression" priority="165" id="{05FC699A-0BF5-4D36-A3EE-3C479CB5FF4E}">
            <xm:f>'Sprachen &amp; Rückgabewerte(5)'!$M$56=0</xm:f>
            <x14:dxf>
              <border>
                <bottom style="thin">
                  <color rgb="FFFF0000"/>
                </bottom>
                <vertical/>
                <horizontal/>
              </border>
            </x14:dxf>
          </x14:cfRule>
          <xm:sqref>C72:AB72</xm:sqref>
        </x14:conditionalFormatting>
        <x14:conditionalFormatting xmlns:xm="http://schemas.microsoft.com/office/excel/2006/main">
          <x14:cfRule type="expression" priority="319" id="{113C1542-8DD6-4803-987B-45C427B88B85}">
            <xm:f>'Sprachen &amp; Rückgabewerte(5)'!$M$56=0</xm:f>
            <x14:dxf>
              <border>
                <right style="thin">
                  <color rgb="FFFF0000"/>
                </right>
                <vertical/>
                <horizontal/>
              </border>
            </x14:dxf>
          </x14:cfRule>
          <xm:sqref>AB62:AB72</xm:sqref>
        </x14:conditionalFormatting>
        <x14:conditionalFormatting xmlns:xm="http://schemas.microsoft.com/office/excel/2006/main">
          <x14:cfRule type="expression" priority="320" id="{175F8E16-B2D0-4D85-88E1-D9589E16AC23}">
            <xm:f>'Sprachen &amp; Rückgabewerte(5)'!$M$56=0</xm:f>
            <x14:dxf>
              <border>
                <top style="thin">
                  <color rgb="FFFF0000"/>
                </top>
                <vertical/>
                <horizontal/>
              </border>
            </x14:dxf>
          </x14:cfRule>
          <xm:sqref>C62:AB62</xm:sqref>
        </x14:conditionalFormatting>
        <x14:conditionalFormatting xmlns:xm="http://schemas.microsoft.com/office/excel/2006/main">
          <x14:cfRule type="expression" priority="150" id="{C4F0327F-50BD-4E0F-AD61-A8ED67DC3E8F}">
            <xm:f>'Sprachen &amp; Rückgabewerte(5)'!$M$66=FALSE</xm:f>
            <x14:dxf>
              <border>
                <left style="thin">
                  <color rgb="FFFF0000"/>
                </left>
                <vertical/>
                <horizontal/>
              </border>
            </x14:dxf>
          </x14:cfRule>
          <xm:sqref>AD73:AD81</xm:sqref>
        </x14:conditionalFormatting>
        <x14:conditionalFormatting xmlns:xm="http://schemas.microsoft.com/office/excel/2006/main">
          <x14:cfRule type="expression" priority="149" id="{EEFC3C4B-C003-4335-B947-0FEC601420E7}">
            <xm:f>'Sprachen &amp; Rückgabewerte(5)'!$M$66=FALSE</xm:f>
            <x14:dxf>
              <border>
                <top style="thin">
                  <color rgb="FFFF0000"/>
                </top>
                <vertical/>
                <horizontal/>
              </border>
            </x14:dxf>
          </x14:cfRule>
          <xm:sqref>AD73:AT73</xm:sqref>
        </x14:conditionalFormatting>
        <x14:conditionalFormatting xmlns:xm="http://schemas.microsoft.com/office/excel/2006/main">
          <x14:cfRule type="expression" priority="148" id="{FFE4D822-52D0-4210-8A50-FAE7B1F51EAF}">
            <xm:f>'Sprachen &amp; Rückgabewerte(5)'!$M$66=FALSE</xm:f>
            <x14:dxf>
              <border>
                <right style="thin">
                  <color rgb="FFFF0000"/>
                </right>
                <vertical/>
                <horizontal/>
              </border>
            </x14:dxf>
          </x14:cfRule>
          <xm:sqref>AT73:AT81</xm:sqref>
        </x14:conditionalFormatting>
        <x14:conditionalFormatting xmlns:xm="http://schemas.microsoft.com/office/excel/2006/main">
          <x14:cfRule type="expression" priority="147" id="{D4C0A633-982A-4F74-ACF4-6AAAF56FD7B2}">
            <xm:f>'Sprachen &amp; Rückgabewerte(5)'!$M$66=FALSE</xm:f>
            <x14:dxf>
              <border>
                <bottom style="thin">
                  <color rgb="FFFF0000"/>
                </bottom>
                <vertical/>
                <horizontal/>
              </border>
            </x14:dxf>
          </x14:cfRule>
          <xm:sqref>AD81:AT81</xm:sqref>
        </x14:conditionalFormatting>
        <x14:conditionalFormatting xmlns:xm="http://schemas.microsoft.com/office/excel/2006/main">
          <x14:cfRule type="expression" priority="124" id="{5EBF75BC-B246-43AE-B987-1AFB9A7D2419}">
            <xm:f>'Sprachen &amp; Rückgabewerte(5)'!$I$19=FALSE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31" id="{CE493FB1-626A-4D00-B7D3-29798AF21EAD}">
            <xm:f>'Sprachen &amp; Rückgabewerte(5)'!$I$13=FALSE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123" id="{4674A2AB-11F4-4407-B544-B2E2A872D73B}">
            <xm:f>AND($AY$43&lt;&gt;0,'Sprachen &amp; Rückgabewerte(5)'!$I$19=TRUE)</xm:f>
            <x14:dxf>
              <border>
                <top style="thin">
                  <color rgb="FFFF0000"/>
                </top>
                <vertical/>
                <horizontal/>
              </border>
            </x14:dxf>
          </x14:cfRule>
          <x14:cfRule type="expression" priority="128" id="{A2C6D06D-A6A4-40A5-A8C9-6742138B82E1}">
            <xm:f>'Sprachen &amp; Rückgabewerte(5)'!$I$19=FALSE</xm:f>
            <x14:dxf>
              <border>
                <top/>
                <vertical/>
                <horizontal/>
              </border>
            </x14:dxf>
          </x14:cfRule>
          <xm:sqref>AU32:AV32</xm:sqref>
        </x14:conditionalFormatting>
        <x14:conditionalFormatting xmlns:xm="http://schemas.microsoft.com/office/excel/2006/main">
          <x14:cfRule type="expression" priority="127" id="{78106834-F9E0-4731-A238-2136FBF1F117}">
            <xm:f>AND($AY$43&lt;&gt;0,'Sprachen &amp; Rückgabewerte(5)'!$I$19=TRUE)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26" id="{CC1BA018-D525-448A-ACFE-B6052ABB9749}">
            <xm:f>AND($AY$43&lt;&gt;0,'Sprachen &amp; Rückgabewerte(5)'!$I$19=TRUE)</xm:f>
            <x14:dxf>
              <border>
                <right style="thin">
                  <color rgb="FFFF0000"/>
                </right>
                <vertical/>
                <horizontal/>
              </border>
            </x14:dxf>
          </x14:cfRule>
          <xm:sqref>BA33:BA43</xm:sqref>
        </x14:conditionalFormatting>
        <x14:conditionalFormatting xmlns:xm="http://schemas.microsoft.com/office/excel/2006/main">
          <x14:cfRule type="expression" priority="125" id="{E132E191-DCFC-4A66-8BE3-CB76E4E652BF}">
            <xm:f>AND($AY$43&lt;&gt;0,'Sprachen &amp; Rückgabewerte(5)'!$I$19=TRUE)</xm:f>
            <x14:dxf>
              <border>
                <bottom style="thin">
                  <color rgb="FFFF0000"/>
                </bottom>
                <vertical/>
                <horizontal/>
              </border>
            </x14:dxf>
          </x14:cfRule>
          <xm:sqref>AW43:BA43</xm:sqref>
        </x14:conditionalFormatting>
        <x14:conditionalFormatting xmlns:xm="http://schemas.microsoft.com/office/excel/2006/main">
          <x14:cfRule type="expression" priority="129" id="{9710D7D6-ADFA-46A7-9D4C-93CB11AC9B07}">
            <xm:f>AND($AY$43&lt;&gt;0,'Sprachen &amp; Rückgabewerte(5)'!$I$19=TRUE)</xm:f>
            <x14:dxf>
              <border>
                <left style="thin">
                  <color rgb="FFFF0000"/>
                </left>
                <vertical/>
                <horizontal/>
              </border>
            </x14:dxf>
          </x14:cfRule>
          <xm:sqref>AW33:AW43</xm:sqref>
        </x14:conditionalFormatting>
        <x14:conditionalFormatting xmlns:xm="http://schemas.microsoft.com/office/excel/2006/main">
          <x14:cfRule type="expression" priority="122" id="{553E70C7-07A6-42B4-A192-4150CFB1B185}">
            <xm:f>AND($AY$43&lt;&gt;0,'Sprachen &amp; Rückgabewerte(5)'!$I$19=TRUE)</xm:f>
            <x14:dxf>
              <border>
                <top style="thin">
                  <color rgb="FFFF0000"/>
                </top>
                <vertical/>
                <horizontal/>
              </border>
            </x14:dxf>
          </x14:cfRule>
          <xm:sqref>AD32:AT32</xm:sqref>
        </x14:conditionalFormatting>
        <x14:conditionalFormatting xmlns:xm="http://schemas.microsoft.com/office/excel/2006/main">
          <x14:cfRule type="expression" priority="120" id="{272628F2-8B57-4D95-90BE-002CF722654C}">
            <xm:f>AND($AY$43&lt;&gt;0,'Sprachen &amp; Rückgabewerte(5)'!$I$19=TRUE)</xm:f>
            <x14:dxf>
              <border>
                <bottom style="thin">
                  <color rgb="FFFF0000"/>
                </bottom>
                <vertical/>
                <horizontal/>
              </border>
            </x14:dxf>
          </x14:cfRule>
          <xm:sqref>AD40:AT40</xm:sqref>
        </x14:conditionalFormatting>
        <x14:conditionalFormatting xmlns:xm="http://schemas.microsoft.com/office/excel/2006/main">
          <x14:cfRule type="expression" priority="117" id="{49BA98C5-52A6-4647-98ED-7C8A3D6D1EE3}">
            <xm:f>AND('Sprachen &amp; Rückgabewerte(5)'!$I$50=TRUE,'Sprachen &amp; Rückgabewerte(5)'!$C$95&lt;&gt;0)</xm:f>
            <x14:dxf>
              <border>
                <top style="thin">
                  <color rgb="FFFF0000"/>
                </top>
                <vertical/>
                <horizontal/>
              </border>
            </x14:dxf>
          </x14:cfRule>
          <xm:sqref>B101:AU101</xm:sqref>
        </x14:conditionalFormatting>
        <x14:conditionalFormatting xmlns:xm="http://schemas.microsoft.com/office/excel/2006/main">
          <x14:cfRule type="expression" priority="116" id="{FDA820A7-A882-4EE5-9203-B5B5BAC1057A}">
            <xm:f>AND('Sprachen &amp; Rückgabewerte(5)'!$I$50=TRUE,'Sprachen &amp; Rückgabewerte(5)'!$C$95&lt;&gt;0)</xm:f>
            <x14:dxf>
              <border>
                <right style="thin">
                  <color rgb="FFFF0000"/>
                </right>
                <vertical/>
                <horizontal/>
              </border>
            </x14:dxf>
          </x14:cfRule>
          <xm:sqref>AU101:AU136</xm:sqref>
        </x14:conditionalFormatting>
        <x14:conditionalFormatting xmlns:xm="http://schemas.microsoft.com/office/excel/2006/main">
          <x14:cfRule type="expression" priority="115" id="{294DACCD-7E5D-42F4-9A01-AFAF7CA64020}">
            <xm:f>AND('Sprachen &amp; Rückgabewerte(5)'!$I$50=TRUE,'Sprachen &amp; Rückgabewerte(5)'!$C$95&lt;&gt;0)</xm:f>
            <x14:dxf>
              <border>
                <bottom style="thin">
                  <color rgb="FFFF0000"/>
                </bottom>
                <vertical/>
                <horizontal/>
              </border>
            </x14:dxf>
          </x14:cfRule>
          <xm:sqref>B136:AU136</xm:sqref>
        </x14:conditionalFormatting>
        <x14:conditionalFormatting xmlns:xm="http://schemas.microsoft.com/office/excel/2006/main">
          <x14:cfRule type="expression" priority="114" id="{26B42780-C7BD-44D8-B071-43CD07CEDD66}">
            <xm:f>AND('Sprachen &amp; Rückgabewerte(5)'!$I$50=TRUE,'Sprachen &amp; Rückgabewerte(5)'!$C$95&lt;&gt;0)</xm:f>
            <x14:dxf>
              <border>
                <left style="thin">
                  <color rgb="FFFF0000"/>
                </left>
                <vertical/>
                <horizontal/>
              </border>
            </x14:dxf>
          </x14:cfRule>
          <xm:sqref>B101:B136</xm:sqref>
        </x14:conditionalFormatting>
        <x14:conditionalFormatting xmlns:xm="http://schemas.microsoft.com/office/excel/2006/main">
          <x14:cfRule type="expression" priority="113" id="{E8AED13A-D327-47FD-AA10-C9E6CA236B5D}">
            <xm:f>AND('Sprachen &amp; Rückgabewerte(5)'!$I$50=TRUE,'Sprachen &amp; Rückgabewerte(5)'!$C$95&lt;&gt;0)</xm:f>
            <x14:dxf>
              <border>
                <top style="thin">
                  <color rgb="FFFF0000"/>
                </top>
                <bottom/>
                <vertical/>
                <horizontal/>
              </border>
            </x14:dxf>
          </x14:cfRule>
          <xm:sqref>AV101</xm:sqref>
        </x14:conditionalFormatting>
        <x14:conditionalFormatting xmlns:xm="http://schemas.microsoft.com/office/excel/2006/main">
          <x14:cfRule type="expression" priority="109" id="{AFCCB88A-8600-4E97-9009-9570D5DF4BE4}">
            <xm:f>'Sprachen &amp; Rückgabewerte(5)'!$I$50=FALSE</xm:f>
            <x14:dxf>
              <border>
                <right/>
                <vertical/>
                <horizontal/>
              </border>
            </x14:dxf>
          </x14:cfRule>
          <x14:cfRule type="expression" priority="112" id="{F87C6ABA-9872-4CC9-8C6C-48165E543CAB}">
            <xm:f>AND('Sprachen &amp; Rückgabewerte(5)'!$I$50=TRUE,'Sprachen &amp; Rückgabewerte(5)'!$C$95&lt;&gt;0)</xm:f>
            <x14:dxf>
              <border>
                <right style="thin">
                  <color rgb="FFFF0000"/>
                </right>
                <vertical/>
                <horizontal/>
              </border>
            </x14:dxf>
          </x14:cfRule>
          <xm:sqref>AV84:AV100</xm:sqref>
        </x14:conditionalFormatting>
        <x14:conditionalFormatting xmlns:xm="http://schemas.microsoft.com/office/excel/2006/main">
          <x14:cfRule type="expression" priority="110" id="{75256E3A-E7F1-4558-9B37-77E75273204F}">
            <xm:f>'Sprachen &amp; Rückgabewerte(5)'!$I$50=FALSE</xm:f>
            <x14:dxf>
              <border>
                <top/>
                <vertical/>
                <horizontal/>
              </border>
            </x14:dxf>
          </x14:cfRule>
          <x14:cfRule type="expression" priority="111" id="{04CFB0FB-86F0-43D7-942B-C7DDFE4CFE57}">
            <xm:f>AND('Sprachen &amp; Rückgabewerte(5)'!$I$50=TRUE,'Sprachen &amp; Rückgabewerte(5)'!$C$95&lt;&gt;0)</xm:f>
            <x14:dxf>
              <border>
                <top style="thin">
                  <color rgb="FFFF0000"/>
                </top>
                <vertical/>
                <horizontal/>
              </border>
            </x14:dxf>
          </x14:cfRule>
          <xm:sqref>AU84:AV84</xm:sqref>
        </x14:conditionalFormatting>
        <x14:conditionalFormatting xmlns:xm="http://schemas.microsoft.com/office/excel/2006/main">
          <x14:cfRule type="expression" priority="108" id="{B906E553-4FDB-4BE1-9A06-4689A38BBA28}">
            <xm:f>'Sprachen &amp; Rückgabewerte(5)'!$I$50=FALSE</xm:f>
            <x14:dxf>
              <border>
                <bottom/>
                <vertical/>
                <horizontal/>
              </border>
            </x14:dxf>
          </x14:cfRule>
          <xm:sqref>AV100</xm:sqref>
        </x14:conditionalFormatting>
        <x14:conditionalFormatting xmlns:xm="http://schemas.microsoft.com/office/excel/2006/main">
          <x14:cfRule type="expression" priority="97" id="{DAF76A8D-F5C5-4D96-8908-93155F82A9D2}">
            <xm:f>'Sprachen &amp; Rückgabewerte(5)'!$S$41=3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1" id="{E0615F32-4508-4129-801A-AA87C0AE0DBE}">
            <xm:f>'Sprachen &amp; Rückgabewerte(5)'!$S$41=2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2" id="{E0107E24-7373-4200-8EB4-0FD645F453B7}">
            <xm:f>'Sprachen &amp; Rückgabewerte(5)'!$S$41=1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23" id="{4018A571-184D-4E7A-9D0D-B925CFD2E102}">
            <xm:f>'Sprachen &amp; Rückgabewerte(5)'!$S$41=3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4" id="{211121E6-38D4-421F-AB3C-330DF1D3F324}">
            <xm:f>'Sprachen &amp; Rückgabewerte(5)'!$S$41=2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25" id="{0303225B-DCB0-4E81-9AD1-ACEEC79D40CC}">
            <xm:f>'Sprachen &amp; Rückgabewerte(5)'!$S$41=3</xm:f>
            <x14:dxf>
              <font>
                <b/>
                <i val="0"/>
                <color theme="1"/>
              </font>
            </x14:dxf>
          </x14:cfRule>
          <x14:cfRule type="expression" priority="326" id="{183E4DF3-2733-43BE-9BFA-74261F825B93}">
            <xm:f>'Sprachen &amp; Rückgabewerte(5)'!$S$41=3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27" id="{0C65CACC-9965-46B8-BBBD-4F5E1AC97CE9}">
            <xm:f>'Sprachen &amp; Rückgabewerte(5)'!$S$41=3</xm:f>
            <x14:dxf>
              <font>
                <b/>
                <i val="0"/>
                <color theme="1"/>
              </font>
            </x14:dxf>
          </x14:cfRule>
          <xm:sqref>L46</xm:sqref>
        </x14:conditionalFormatting>
        <x14:conditionalFormatting xmlns:xm="http://schemas.microsoft.com/office/excel/2006/main">
          <x14:cfRule type="expression" priority="328" id="{776D97EB-E02C-4ABE-8F30-29B6E9F2ED0B}">
            <xm:f>'Sprachen &amp; Rückgabewerte(5)'!$S$41=2</xm:f>
            <x14:dxf>
              <font>
                <b/>
                <i val="0"/>
                <color theme="1"/>
              </font>
            </x14:dxf>
          </x14:cfRule>
          <x14:cfRule type="expression" priority="329" id="{F7C953C3-AE8D-4617-BD9E-C1E3B2022A93}">
            <xm:f>'Sprachen &amp; Rückgabewerte(5)'!$S$41=3</xm:f>
            <x14:dxf>
              <font>
                <b/>
                <i val="0"/>
                <color theme="1"/>
              </font>
            </x14:dxf>
          </x14:cfRule>
          <xm:sqref>L47</xm:sqref>
        </x14:conditionalFormatting>
        <x14:conditionalFormatting xmlns:xm="http://schemas.microsoft.com/office/excel/2006/main">
          <x14:cfRule type="expression" priority="330" id="{F26C3074-A623-43D7-AE69-F64F0D892BF5}">
            <xm:f>'Sprachen &amp; Rückgabewerte(5)'!$S$41=3</xm:f>
            <x14:dxf>
              <font>
                <b/>
                <i val="0"/>
                <color theme="1"/>
              </font>
            </x14:dxf>
          </x14:cfRule>
          <x14:cfRule type="expression" priority="331" id="{CBFECC2D-9ACE-48A4-801C-7D26BDFE8157}">
            <xm:f>'Sprachen &amp; Rückgabewerte(5)'!$S$41=2</xm:f>
            <x14:dxf>
              <font>
                <b/>
                <i val="0"/>
                <color theme="1"/>
              </font>
            </x14:dxf>
          </x14:cfRule>
          <x14:cfRule type="expression" priority="332" id="{8801D241-6EE1-45E5-9E27-29616ABC5B5F}">
            <xm:f>'Sprachen &amp; Rückgabewerte(5)'!$S$41=1</xm:f>
            <x14:dxf>
              <font>
                <b/>
                <i val="0"/>
                <color theme="1"/>
              </font>
            </x14:dxf>
          </x14:cfRule>
          <xm:sqref>L48</xm:sqref>
        </x14:conditionalFormatting>
        <x14:conditionalFormatting xmlns:xm="http://schemas.microsoft.com/office/excel/2006/main">
          <x14:cfRule type="expression" priority="105" id="{D7746278-9BB2-4A73-B4DA-5BA06A6E7D5E}">
            <xm:f>'Sprachen &amp; Rückgabewerte(5)'!$M$71=0</xm:f>
            <x14:dxf>
              <border>
                <top style="thin">
                  <color rgb="FFFF0000"/>
                </top>
                <vertical/>
                <horizontal/>
              </border>
            </x14:dxf>
          </x14:cfRule>
          <xm:sqref>AW45:AX45</xm:sqref>
        </x14:conditionalFormatting>
        <x14:conditionalFormatting xmlns:xm="http://schemas.microsoft.com/office/excel/2006/main">
          <x14:cfRule type="expression" priority="104" id="{9E89583D-457B-4F9F-9BDA-6AE4051E0CE4}">
            <xm:f>'Sprachen &amp; Rückgabewerte(5)'!$M$71=0</xm:f>
            <x14:dxf>
              <border>
                <right style="thin">
                  <color rgb="FFFF0000"/>
                </right>
                <vertical/>
                <horizontal/>
              </border>
            </x14:dxf>
          </x14:cfRule>
          <xm:sqref>AX45:AX47 AW48:AX48 AX49</xm:sqref>
        </x14:conditionalFormatting>
        <x14:conditionalFormatting xmlns:xm="http://schemas.microsoft.com/office/excel/2006/main">
          <x14:cfRule type="expression" priority="103" id="{18E20D1C-8997-4467-853C-00D6E4528E21}">
            <xm:f>'Sprachen &amp; Rückgabewerte(5)'!$M$71=0</xm:f>
            <x14:dxf>
              <border>
                <bottom style="thin">
                  <color rgb="FFFF0000"/>
                </bottom>
                <vertical/>
                <horizontal/>
              </border>
            </x14:dxf>
          </x14:cfRule>
          <xm:sqref>AW49:AX49</xm:sqref>
        </x14:conditionalFormatting>
        <x14:conditionalFormatting xmlns:xm="http://schemas.microsoft.com/office/excel/2006/main">
          <x14:cfRule type="expression" priority="102" id="{96BE2E26-2179-4925-A5E2-1C7F56843086}">
            <xm:f>'Sprachen &amp; Rückgabewerte(5)'!$M$71=0</xm:f>
            <x14:dxf>
              <border>
                <left style="thin">
                  <color rgb="FFFF0000"/>
                </left>
                <vertical/>
                <horizontal/>
              </border>
            </x14:dxf>
          </x14:cfRule>
          <xm:sqref>AW49 AW48:AX48 AW45:AW47</xm:sqref>
        </x14:conditionalFormatting>
        <x14:conditionalFormatting xmlns:xm="http://schemas.microsoft.com/office/excel/2006/main">
          <x14:cfRule type="expression" priority="99" id="{A378170A-7068-47C1-8573-D6F299DEB8E0}">
            <xm:f>'Sprachen &amp; Rückgabewerte(5)'!$L$71=1</xm:f>
            <x14:dxf>
              <font>
                <color theme="0" tint="-0.14996795556505021"/>
              </font>
              <fill>
                <patternFill>
                  <bgColor theme="0" tint="-0.14996795556505021"/>
                </patternFill>
              </fill>
              <border>
                <top/>
                <vertical/>
                <horizontal/>
              </border>
            </x14:dxf>
          </x14:cfRule>
          <x14:cfRule type="expression" priority="101" id="{DCFB0F64-C042-44AD-A219-705B7E36346A}">
            <xm:f>'Sprachen &amp; Rückgabewerte(5)'!$M$71=0</xm:f>
            <x14:dxf>
              <border>
                <top style="thin">
                  <color rgb="FFFF0000"/>
                </top>
                <vertical/>
                <horizontal/>
              </border>
            </x14:dxf>
          </x14:cfRule>
          <xm:sqref>AU45:AV45</xm:sqref>
        </x14:conditionalFormatting>
        <x14:conditionalFormatting xmlns:xm="http://schemas.microsoft.com/office/excel/2006/main">
          <x14:cfRule type="expression" priority="100" id="{32F9D113-91FC-4FE7-AECB-86F5E5284E7E}">
            <xm:f>'Sprachen &amp; Rückgabewerte(5)'!$L$71=1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79" id="{43633A35-3FB9-4AAF-AE35-D53B2A6A003B}">
            <xm:f>'Sprachen &amp; Rückgabewerte(5)'!$I$50=FALSE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78" id="{80C92400-69F0-42A9-8C35-D1BF83035F53}">
            <xm:f>'Sprachen &amp; Rückgabewerte(5)'!$I$50=FALSE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77" id="{489BB025-C6B6-47CC-9D53-FA1568D02600}">
            <xm:f>$AX$19='Sprachen &amp; Rückgabewerte(5)'!$H$155</xm:f>
            <x14:dxf>
              <font>
                <color rgb="FFFF0000"/>
              </font>
            </x14:dxf>
          </x14:cfRule>
          <xm:sqref>AX19:BA20</xm:sqref>
        </x14:conditionalFormatting>
        <x14:conditionalFormatting xmlns:xm="http://schemas.microsoft.com/office/excel/2006/main">
          <x14:cfRule type="expression" priority="74" id="{FF400307-AEB1-4664-AB28-ED84861DAC53}">
            <xm:f>$A$9='Sprachen &amp; Rückgabewerte(5)'!$H$132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70" id="{B73C0815-E346-4EB2-9666-822ED6F187E3}">
            <xm:f>$AN$80&lt;&gt;'Sprachen &amp; Rückgabewerte(5)'!$H$85</xm:f>
            <x14:dxf>
              <border>
                <left style="thin">
                  <color auto="1"/>
                </left>
                <top style="thin">
                  <color auto="1"/>
                </top>
                <vertical/>
                <horizontal/>
              </border>
            </x14:dxf>
          </x14:cfRule>
          <xm:sqref>AW76</xm:sqref>
        </x14:conditionalFormatting>
        <x14:conditionalFormatting xmlns:xm="http://schemas.microsoft.com/office/excel/2006/main">
          <x14:cfRule type="expression" priority="69" id="{A462C45F-2067-4A40-9A4F-C61AF8E783F2}">
            <xm:f>$AN$80&lt;&gt;'Sprachen &amp; Rückgabewerte(5)'!$H$85</xm:f>
            <x14:dxf>
              <border>
                <left style="thin">
                  <color auto="1"/>
                </left>
                <vertical/>
                <horizontal/>
              </border>
            </x14:dxf>
          </x14:cfRule>
          <xm:sqref>AW77</xm:sqref>
        </x14:conditionalFormatting>
        <x14:conditionalFormatting xmlns:xm="http://schemas.microsoft.com/office/excel/2006/main">
          <x14:cfRule type="expression" priority="68" id="{E99F1830-744C-4259-A7D7-6CEBF8C6F742}">
            <xm:f>$AN$80&lt;&gt;'Sprachen &amp; Rückgabewerte(5)'!$H$85</xm:f>
            <x14:dxf>
              <border>
                <left style="thin">
                  <color auto="1"/>
                </left>
                <vertical/>
                <horizontal/>
              </border>
            </x14:dxf>
          </x14:cfRule>
          <xm:sqref>AW78</xm:sqref>
        </x14:conditionalFormatting>
        <x14:conditionalFormatting xmlns:xm="http://schemas.microsoft.com/office/excel/2006/main">
          <x14:cfRule type="expression" priority="67" id="{3CBEFDA7-A63B-48B6-BA25-B9B6A99C3CFB}">
            <xm:f>$AN$80&lt;&gt;'Sprachen &amp; Rückgabewerte(5)'!$H$85</xm:f>
            <x14:dxf>
              <border>
                <left style="thin">
                  <color auto="1"/>
                </left>
                <vertical/>
                <horizontal/>
              </border>
            </x14:dxf>
          </x14:cfRule>
          <xm:sqref>AW79</xm:sqref>
        </x14:conditionalFormatting>
        <x14:conditionalFormatting xmlns:xm="http://schemas.microsoft.com/office/excel/2006/main">
          <x14:cfRule type="expression" priority="66" id="{F1DF0CF3-77C1-45B9-A467-8C62DB59E075}">
            <xm:f>$AN$80&lt;&gt;'Sprachen &amp; Rückgabewerte(5)'!$H$85</xm:f>
            <x14:dxf>
              <border>
                <left style="thin">
                  <color auto="1"/>
                </left>
                <bottom style="thin">
                  <color auto="1"/>
                </bottom>
                <vertical/>
                <horizontal/>
              </border>
            </x14:dxf>
          </x14:cfRule>
          <xm:sqref>AW80</xm:sqref>
        </x14:conditionalFormatting>
        <x14:conditionalFormatting xmlns:xm="http://schemas.microsoft.com/office/excel/2006/main">
          <x14:cfRule type="expression" priority="65" id="{6C9AA551-9820-487C-B514-3F212EDCDA8D}">
            <xm:f>$AN$80&lt;&gt;'Sprachen &amp; Rückgabewerte(5)'!$H$86</xm:f>
            <x14:dxf>
              <border>
                <right style="thin">
                  <color auto="1"/>
                </right>
                <top style="thin">
                  <color auto="1"/>
                </top>
                <vertical/>
                <horizontal/>
              </border>
            </x14:dxf>
          </x14:cfRule>
          <xm:sqref>AX76</xm:sqref>
        </x14:conditionalFormatting>
        <x14:conditionalFormatting xmlns:xm="http://schemas.microsoft.com/office/excel/2006/main">
          <x14:cfRule type="expression" priority="64" id="{D13578DA-AB7F-4853-9F75-282FF5EE28E4}">
            <xm:f>$AN$80&lt;&gt;'Sprachen &amp; Rückgabewerte(5)'!$H$86</xm:f>
            <x14:dxf>
              <border>
                <right style="thin">
                  <color auto="1"/>
                </right>
                <vertical/>
                <horizontal/>
              </border>
            </x14:dxf>
          </x14:cfRule>
          <xm:sqref>AX77</xm:sqref>
        </x14:conditionalFormatting>
        <x14:conditionalFormatting xmlns:xm="http://schemas.microsoft.com/office/excel/2006/main">
          <x14:cfRule type="expression" priority="63" id="{444B1E43-A1DE-438F-BE30-823E7FA6C54C}">
            <xm:f>$AN$80&lt;&gt;'Sprachen &amp; Rückgabewerte(5)'!$H$86</xm:f>
            <x14:dxf>
              <border>
                <right style="thin">
                  <color auto="1"/>
                </right>
                <vertical/>
                <horizontal/>
              </border>
            </x14:dxf>
          </x14:cfRule>
          <xm:sqref>AX78</xm:sqref>
        </x14:conditionalFormatting>
        <x14:conditionalFormatting xmlns:xm="http://schemas.microsoft.com/office/excel/2006/main">
          <x14:cfRule type="expression" priority="62" id="{9A3939C9-DAED-4E64-B578-50F7FCFBCB78}">
            <xm:f>$AN$80&lt;&gt;'Sprachen &amp; Rückgabewerte(5)'!$H$86</xm:f>
            <x14:dxf>
              <border>
                <right style="thin">
                  <color auto="1"/>
                </right>
                <vertical/>
                <horizontal/>
              </border>
            </x14:dxf>
          </x14:cfRule>
          <xm:sqref>AX79</xm:sqref>
        </x14:conditionalFormatting>
        <x14:conditionalFormatting xmlns:xm="http://schemas.microsoft.com/office/excel/2006/main">
          <x14:cfRule type="expression" priority="61" id="{47C76A80-0BDD-41BB-A213-1056B5B36E3B}">
            <xm:f>$AN$80&lt;&gt;'Sprachen &amp; Rückgabewerte(5)'!$H$86</xm:f>
            <x14:dxf>
              <border>
                <right style="thin">
                  <color auto="1"/>
                </right>
                <bottom style="thin">
                  <color auto="1"/>
                </bottom>
                <vertical/>
                <horizontal/>
              </border>
            </x14:dxf>
          </x14:cfRule>
          <xm:sqref>AX80</xm:sqref>
        </x14:conditionalFormatting>
        <x14:conditionalFormatting xmlns:xm="http://schemas.microsoft.com/office/excel/2006/main">
          <x14:cfRule type="expression" priority="52" id="{85E008C0-41A0-4543-AABC-9C3B8F3D607F}">
            <xm:f>'Sprachen &amp; Rückgabewerte(5)'!$L$50=0</xm:f>
            <x14:dxf>
              <border>
                <right style="thin">
                  <color rgb="FFFF0000"/>
                </right>
                <bottom style="thin">
                  <color rgb="FFFF0000"/>
                </bottom>
                <vertical/>
                <horizontal/>
              </border>
            </x14:dxf>
          </x14:cfRule>
          <xm:sqref>Q59:AB60</xm:sqref>
        </x14:conditionalFormatting>
        <x14:conditionalFormatting xmlns:xm="http://schemas.microsoft.com/office/excel/2006/main">
          <x14:cfRule type="expression" priority="48" id="{431CDB75-1A81-440E-9DEB-BE5C57509276}">
            <xm:f>'Sprachen &amp; Rückgabewerte(5)'!$M$59=0</xm:f>
            <x14:dxf>
              <border>
                <top style="thin">
                  <color rgb="FFFF0000"/>
                </top>
                <vertical/>
                <horizontal/>
              </border>
            </x14:dxf>
          </x14:cfRule>
          <xm:sqref>M86</xm:sqref>
        </x14:conditionalFormatting>
        <x14:conditionalFormatting xmlns:xm="http://schemas.microsoft.com/office/excel/2006/main">
          <x14:cfRule type="expression" priority="47" id="{44E00993-F137-45BC-8F91-AAABBCF06759}">
            <xm:f>'Sprachen &amp; Rückgabewerte(5)'!$M$59=0</xm:f>
            <x14:dxf>
              <border>
                <bottom style="thin">
                  <color rgb="FFFF0000"/>
                </bottom>
                <vertical/>
                <horizontal/>
              </border>
            </x14:dxf>
          </x14:cfRule>
          <xm:sqref>M97</xm:sqref>
        </x14:conditionalFormatting>
        <x14:conditionalFormatting xmlns:xm="http://schemas.microsoft.com/office/excel/2006/main">
          <x14:cfRule type="expression" priority="49" id="{0D843CC7-7406-4F75-8C4C-273C2305C63B}">
            <xm:f>'Sprachen &amp; Rückgabewerte(5)'!$M$62=2</xm:f>
            <x14:dxf>
              <border>
                <left style="thin">
                  <color rgb="FFFF0000"/>
                </left>
                <vertical/>
                <horizontal/>
              </border>
            </x14:dxf>
          </x14:cfRule>
          <x14:cfRule type="expression" priority="50" id="{3D96166D-DB57-4FB3-A445-DDDFA68B6970}">
            <xm:f>'Sprachen &amp; Rückgabewerte(5)'!$M$62=3</xm:f>
            <x14:dxf>
              <border>
                <left style="thin">
                  <color rgb="FFFF0000"/>
                </left>
                <vertical/>
                <horizontal/>
              </border>
            </x14:dxf>
          </x14:cfRule>
          <x14:cfRule type="expression" priority="51" id="{4613985A-3F24-47E9-BD2A-8146C8105FCD}">
            <xm:f>'Sprachen &amp; Rückgabewerte(5)'!$M$59=0</xm:f>
            <x14:dxf>
              <border>
                <left style="thin">
                  <color rgb="FFFF0000"/>
                </left>
                <vertical/>
                <horizontal/>
              </border>
            </x14:dxf>
          </x14:cfRule>
          <xm:sqref>M86:M97</xm:sqref>
        </x14:conditionalFormatting>
        <x14:conditionalFormatting xmlns:xm="http://schemas.microsoft.com/office/excel/2006/main">
          <x14:cfRule type="expression" priority="191" id="{F7F3F88C-8961-4287-9482-2DC61F897BE1}">
            <xm:f>'Sprachen &amp; Rückgabewerte(5)'!$M$62=2</xm:f>
            <x14:dxf>
              <border>
                <bottom style="thin">
                  <color rgb="FFFF0000"/>
                </bottom>
                <vertical/>
                <horizontal/>
              </border>
            </x14:dxf>
          </x14:cfRule>
          <x14:cfRule type="expression" priority="225" id="{DD8A5194-A47B-47CC-80EB-A1363A7851C4}">
            <xm:f>'Sprachen &amp; Rückgabewerte(5)'!$M$62=3</xm:f>
            <x14:dxf>
              <border>
                <bottom style="thin">
                  <color rgb="FFFF0000"/>
                </bottom>
                <vertical/>
                <horizontal/>
              </border>
            </x14:dxf>
          </x14:cfRule>
          <xm:sqref>M85:AB85</xm:sqref>
        </x14:conditionalFormatting>
        <x14:conditionalFormatting xmlns:xm="http://schemas.microsoft.com/office/excel/2006/main">
          <x14:cfRule type="expression" priority="45" id="{E9EE0171-CA40-4D5F-A1CE-FD7DBDE4CF01}">
            <xm:f>'Sprachen &amp; Rückgabewerte(5)'!$M$62=3</xm:f>
            <x14:dxf>
              <border>
                <bottom style="thin">
                  <color rgb="FFFF0000"/>
                </bottom>
                <vertical/>
                <horizontal/>
              </border>
            </x14:dxf>
          </x14:cfRule>
          <x14:cfRule type="expression" priority="46" id="{6FE39C5B-A9AB-4BA8-8340-304E71BB4D51}">
            <xm:f>'Sprachen &amp; Rückgabewerte(5)'!$M$62=2</xm:f>
            <x14:dxf>
              <border>
                <bottom style="thin">
                  <color rgb="FFFF0000"/>
                </bottom>
                <vertical/>
                <horizontal/>
              </border>
            </x14:dxf>
          </x14:cfRule>
          <xm:sqref>L97</xm:sqref>
        </x14:conditionalFormatting>
        <x14:conditionalFormatting xmlns:xm="http://schemas.microsoft.com/office/excel/2006/main">
          <x14:cfRule type="expression" priority="44" id="{A36212EE-724B-4076-8817-B99AA562A2E8}">
            <xm:f>'Sprachen &amp; Rückgabewerte(5)'!$M$59=0</xm:f>
            <x14:dxf>
              <border>
                <top style="thin">
                  <color rgb="FFFF0000"/>
                </top>
                <vertical/>
                <horizontal/>
              </border>
            </x14:dxf>
          </x14:cfRule>
          <xm:sqref>N86:AB86</xm:sqref>
        </x14:conditionalFormatting>
        <x14:conditionalFormatting xmlns:xm="http://schemas.microsoft.com/office/excel/2006/main">
          <x14:cfRule type="expression" priority="43" id="{B4EF8F0B-EDE0-434D-B5CA-B231448F9158}">
            <xm:f>'Sprachen &amp; Rückgabewerte(5)'!$M$59=0</xm:f>
            <x14:dxf>
              <border>
                <bottom style="thin">
                  <color rgb="FFFF0000"/>
                </bottom>
                <vertical/>
                <horizontal/>
              </border>
            </x14:dxf>
          </x14:cfRule>
          <xm:sqref>N97:V97 Z97:AB97</xm:sqref>
        </x14:conditionalFormatting>
        <x14:conditionalFormatting xmlns:xm="http://schemas.microsoft.com/office/excel/2006/main">
          <x14:cfRule type="expression" priority="41" id="{E955CFFE-AE4D-4E2E-AA4E-270226164774}">
            <xm:f>'Sprachen &amp; Rückgabewerte(5)'!$I$5=FALSE</xm:f>
            <x14:dxf>
              <font>
                <color theme="0" tint="-0.14996795556505021"/>
              </font>
              <fill>
                <patternFill>
                  <bgColor theme="0" tint="-0.14996795556505021"/>
                </patternFill>
              </fill>
              <border>
                <left/>
                <right/>
                <top/>
                <bottom/>
                <vertical/>
                <horizontal/>
              </border>
            </x14:dxf>
          </x14:cfRule>
          <xm:sqref>M6:Q6</xm:sqref>
        </x14:conditionalFormatting>
        <x14:conditionalFormatting xmlns:xm="http://schemas.microsoft.com/office/excel/2006/main">
          <x14:cfRule type="expression" priority="40" id="{F2D2C16A-7CC1-4AB3-94CA-3C49EFE964DB}">
            <xm:f>'Sprachen &amp; Rückgabewerte(5)'!$U$49=FALSE</xm:f>
            <x14:dxf>
              <border>
                <top style="thin">
                  <color rgb="FFFF0000"/>
                </top>
                <vertical/>
                <horizontal/>
              </border>
            </x14:dxf>
          </x14:cfRule>
          <xm:sqref>E23:AR23</xm:sqref>
        </x14:conditionalFormatting>
        <x14:conditionalFormatting xmlns:xm="http://schemas.microsoft.com/office/excel/2006/main">
          <x14:cfRule type="expression" priority="39" id="{4F7BFACA-3FCC-4C0E-B936-1CC4428BC09D}">
            <xm:f>'Sprachen &amp; Rückgabewerte(5)'!$U$49=FALSE</xm:f>
            <x14:dxf>
              <border>
                <left style="thin">
                  <color rgb="FFFF0000"/>
                </left>
                <vertical/>
                <horizontal/>
              </border>
            </x14:dxf>
          </x14:cfRule>
          <xm:sqref>E23:H26</xm:sqref>
        </x14:conditionalFormatting>
        <x14:conditionalFormatting xmlns:xm="http://schemas.microsoft.com/office/excel/2006/main">
          <x14:cfRule type="expression" priority="37" id="{839942E0-7B03-4AB8-AEC4-499CEC5E1D3B}">
            <xm:f>'Sprachen &amp; Rückgabewerte(5)'!$U$49=FALSE</xm:f>
            <x14:dxf>
              <border>
                <right style="thin">
                  <color rgb="FFFF0000"/>
                </right>
                <vertical/>
                <horizontal/>
              </border>
            </x14:dxf>
          </x14:cfRule>
          <xm:sqref>AO23:AR26</xm:sqref>
        </x14:conditionalFormatting>
        <x14:conditionalFormatting xmlns:xm="http://schemas.microsoft.com/office/excel/2006/main">
          <x14:cfRule type="expression" priority="36" id="{EE1A1030-BF55-4DBB-8DD4-98515C19974C}">
            <xm:f>'Sprachen &amp; Rückgabewerte(5)'!$I$39=FALSE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3" id="{7F91D6F7-1D06-41E3-B4D2-560B47D421C6}">
            <xm:f>'Sprachen &amp; Rückgabewerte(5)'!$I$39=FALSE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32" id="{CCF8F4F8-DE7B-4195-A3D4-292326E75EAD}">
            <xm:f>AND('Sprachen &amp; Rückgabewerte(5)'!$C$16=1,$F$16="")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31" id="{F09077AF-EC4D-4607-9A3B-F89177779883}">
            <xm:f>AND('Sprachen &amp; Rückgabewerte(5)'!$C$17=1,$J$16="")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30" id="{7D746C12-72E3-45B5-BC28-855EF8E41586}">
            <xm:f>AND('Sprachen &amp; Rückgabewerte(5)'!$C$18=1,$N$16="")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9" id="{3634C687-0F9A-478C-BBB0-D35314A0E190}">
            <xm:f>AND('Sprachen &amp; Rückgabewerte(5)'!$C$19=1,$R$16="")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8" id="{9256D64D-5985-4721-B52A-BAECF63A8526}">
            <xm:f>AND('Sprachen &amp; Rückgabewerte(5)'!$C$20=1,$V$16="")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7" id="{A3772920-E6DD-42C3-9478-17A314081B59}">
            <xm:f>AND('Sprachen &amp; Rückgabewerte(5)'!$C$21=1,$Z$16="")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6" id="{68B69A54-752D-46DF-9CFE-CBEF2FD19649}">
            <xm:f>AND('Sprachen &amp; Rückgabewerte(5)'!$C$22=1,$AD$16="")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5" id="{1BDDBD16-E7F3-4182-90D5-C58C49F2F295}">
            <xm:f>AND('Sprachen &amp; Rückgabewerte(5)'!$C$23=1,$AH$16="")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4" id="{CBFD25CF-22CB-4B16-9E57-07D6164E7194}">
            <xm:f>AND('Sprachen &amp; Rückgabewerte(5)'!$C$24=1,$AL$16="")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3" id="{F829DB3E-6650-48D8-B5A9-0D247C580481}">
            <xm:f>AND('Sprachen &amp; Rückgabewerte(5)'!$C$25=1,$AP$16="")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22" id="{7144A1FB-C2D7-4447-BB04-631D456881B1}">
            <xm:f>'Sprachen &amp; Rückgabewerte(5)'!$I$71=FALSE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21" id="{FC153879-C080-40F0-84BB-62ACCEDDF6A1}">
            <xm:f>AND('Sprachen &amp; Rückgabewerte(5)'!$I$71=TRUE,$AP$74="",$AP$75="",$AP$76="")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6" id="{257B621C-331A-4444-A658-506C7EBCD1ED}">
            <xm:f>OR($AQ$96='Sprachen &amp; Rückgabewerte(5)'!$H$96,$AQ$96="")</xm:f>
            <x14:dxf>
              <border>
                <bottom/>
                <vertical/>
                <horizontal/>
              </border>
            </x14:dxf>
          </x14:cfRule>
          <x14:cfRule type="expression" priority="17" id="{65481B6F-03EC-47CA-AB7A-D19626745C03}">
            <xm:f>AND($AQ$96='Sprachen &amp; Rückgabewerte(5)'!$H$95,$AW$96="")</xm:f>
            <x14:dxf>
              <border>
                <bottom style="thin">
                  <color rgb="FFFF0000"/>
                </bottom>
                <vertical/>
                <horizontal/>
              </border>
            </x14:dxf>
          </x14:cfRule>
          <xm:sqref>AS96:AV96</xm:sqref>
        </x14:conditionalFormatting>
        <x14:conditionalFormatting xmlns:xm="http://schemas.microsoft.com/office/excel/2006/main">
          <x14:cfRule type="expression" priority="14" id="{00C5B3DA-CA76-470C-8D67-AF1433BBD89C}">
            <xm:f>OR($AQ$96='Sprachen &amp; Rückgabewerte(5)'!$H$96,$AQ$96="")</xm:f>
            <x14:dxf>
              <fill>
                <patternFill>
                  <bgColor theme="0" tint="-0.14996795556505021"/>
                </patternFill>
              </fill>
              <border>
                <left/>
                <right/>
                <top/>
                <bottom/>
                <vertical/>
                <horizontal/>
              </border>
            </x14:dxf>
          </x14:cfRule>
          <x14:cfRule type="expression" priority="15" id="{FC57CD16-4C05-4765-9859-F55D251593F0}">
            <xm:f>AND($AQ$96='Sprachen &amp; Rückgabewerte(5)'!$H$95,$AW$96="")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3" id="{3208716C-2BEA-4BFE-B692-0CABBB602684}">
            <xm:f>'Sprachen &amp; Rückgabewerte(5)'!$W$68&gt;0</xm:f>
            <x14:dxf>
              <border>
                <bottom style="thin">
                  <color rgb="FFFF0000"/>
                </bottom>
                <vertical/>
                <horizontal/>
              </border>
            </x14:dxf>
          </x14:cfRule>
          <xm:sqref>AD97:AT97</xm:sqref>
        </x14:conditionalFormatting>
        <x14:conditionalFormatting xmlns:xm="http://schemas.microsoft.com/office/excel/2006/main">
          <x14:cfRule type="expression" priority="12" id="{05BA9A07-5322-42E8-A84E-C7ACC8E76761}">
            <xm:f>'Sprachen &amp; Rückgabewerte(5)'!$W$68&gt;0</xm:f>
            <x14:dxf>
              <border>
                <top style="thin">
                  <color rgb="FFFF0000"/>
                </top>
                <vertical/>
                <horizontal/>
              </border>
            </x14:dxf>
          </x14:cfRule>
          <xm:sqref>AD95:AT95</xm:sqref>
        </x14:conditionalFormatting>
        <x14:conditionalFormatting xmlns:xm="http://schemas.microsoft.com/office/excel/2006/main">
          <x14:cfRule type="expression" priority="11" id="{A7B78648-F15C-4905-9464-0474E37C5F93}">
            <xm:f>'Sprachen &amp; Rückgabewerte(5)'!$W$68&gt;0</xm:f>
            <x14:dxf>
              <border>
                <left style="thin">
                  <color rgb="FFFF0000"/>
                </left>
                <vertical/>
                <horizontal/>
              </border>
            </x14:dxf>
          </x14:cfRule>
          <xm:sqref>AD95:AD97</xm:sqref>
        </x14:conditionalFormatting>
        <x14:conditionalFormatting xmlns:xm="http://schemas.microsoft.com/office/excel/2006/main">
          <x14:cfRule type="expression" priority="10" id="{7C8E4D77-7BB4-4367-9A38-16AD1BEDDF01}">
            <xm:f>'Sprachen &amp; Rückgabewerte(5)'!$W$68&gt;0</xm:f>
            <x14:dxf>
              <border>
                <right style="thin">
                  <color rgb="FFFF0000"/>
                </right>
                <vertical/>
                <horizontal/>
              </border>
            </x14:dxf>
          </x14:cfRule>
          <xm:sqref>AT95:AT97</xm:sqref>
        </x14:conditionalFormatting>
        <x14:conditionalFormatting xmlns:xm="http://schemas.microsoft.com/office/excel/2006/main">
          <x14:cfRule type="expression" priority="7" id="{447A9951-C6B2-4CE6-BA87-1FA44D85D1A9}">
            <xm:f>'Sprachen &amp; Rückgabewerte(5)'!$C$51=FALSE</xm:f>
            <x14:dxf>
              <font>
                <color theme="0" tint="-0.14996795556505021"/>
              </font>
              <fill>
                <patternFill>
                  <bgColor theme="0" tint="-0.14996795556505021"/>
                </patternFill>
              </fill>
              <border>
                <left/>
                <right/>
                <top/>
                <bottom style="thin">
                  <color auto="1"/>
                </bottom>
                <vertical/>
                <horizontal/>
              </border>
            </x14:dxf>
          </x14:cfRule>
          <x14:cfRule type="expression" priority="8" id="{AA3F8C71-635E-4973-AE69-C15F0AA3D4EA}">
            <xm:f>'Sprachen &amp; Rückgabewerte(5)'!$U$65=FALSE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V97:Y97</xm:sqref>
        </x14:conditionalFormatting>
        <x14:conditionalFormatting xmlns:xm="http://schemas.microsoft.com/office/excel/2006/main">
          <x14:cfRule type="expression" priority="4" id="{CF826B9A-EB69-41FF-B670-8E1BA91F0F51}">
            <xm:f>'Sprachen &amp; Rückgabewerte(5)'!$W$78&lt;&gt;0</xm:f>
            <x14:dxf>
              <border>
                <bottom style="thin">
                  <color rgb="FFFF0000"/>
                </bottom>
                <vertical/>
                <horizontal/>
              </border>
            </x14:dxf>
          </x14:cfRule>
          <xm:sqref>AW11:BB11</xm:sqref>
        </x14:conditionalFormatting>
        <x14:conditionalFormatting xmlns:xm="http://schemas.microsoft.com/office/excel/2006/main">
          <x14:cfRule type="expression" priority="3" id="{800B7D6C-9434-4B71-BD52-4F5F43784D9D}">
            <xm:f>'Sprachen &amp; Rückgabewerte(5)'!$W$78&lt;&gt;0</xm:f>
            <x14:dxf>
              <border>
                <top style="thin">
                  <color rgb="FFFF0000"/>
                </top>
                <vertical/>
                <horizontal/>
              </border>
            </x14:dxf>
          </x14:cfRule>
          <xm:sqref>AW6:BB6</xm:sqref>
        </x14:conditionalFormatting>
        <x14:conditionalFormatting xmlns:xm="http://schemas.microsoft.com/office/excel/2006/main">
          <x14:cfRule type="expression" priority="2" id="{AAF49BE0-1700-4968-8431-1528FFFCD784}">
            <xm:f>'Sprachen &amp; Rückgabewerte(5)'!$W$78&lt;&gt;0</xm:f>
            <x14:dxf>
              <border>
                <left style="thin">
                  <color rgb="FFFF0000"/>
                </left>
                <vertical/>
                <horizontal/>
              </border>
            </x14:dxf>
          </x14:cfRule>
          <xm:sqref>AW6:AW11</xm:sqref>
        </x14:conditionalFormatting>
        <x14:conditionalFormatting xmlns:xm="http://schemas.microsoft.com/office/excel/2006/main">
          <x14:cfRule type="expression" priority="1" id="{515BE4EE-DFED-4EED-B004-7AE5A151D95C}">
            <xm:f>'Sprachen &amp; Rückgabewerte(5)'!$W$78&lt;&gt;0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3">
        <x14:dataValidation type="list" allowBlank="1" showInputMessage="1" showErrorMessage="1" xr:uid="{DC02F385-7F4C-4E7D-8A44-1E4DE48A52A7}">
          <x14:formula1>
            <xm:f>'Sprachen &amp; Rückgabewerte(5)'!$M$86:$M$138</xm:f>
          </x14:formula1>
          <xm:sqref>AM88:AR88</xm:sqref>
        </x14:dataValidation>
        <x14:dataValidation type="list" showInputMessage="1" showErrorMessage="1" xr:uid="{6A7AB0BD-4FA9-4248-8047-23FC49849554}">
          <x14:formula1>
            <xm:f>'Sprachen &amp; Rückgabewerte(5)'!$B$70:$B$72</xm:f>
          </x14:formula1>
          <xm:sqref>H85:K85 V85:Y85 O85:R85 X72:AA72</xm:sqref>
        </x14:dataValidation>
        <x14:dataValidation type="list" allowBlank="1" showInputMessage="1" showErrorMessage="1" xr:uid="{D7B000B5-09D3-4987-BBB3-8476F13BE3E8}">
          <x14:formula1>
            <xm:f>'Sprachen &amp; Rückgabewerte(5)'!$H$103:$H$107</xm:f>
          </x14:formula1>
          <xm:sqref>G20:AP20</xm:sqref>
        </x14:dataValidation>
        <x14:dataValidation type="list" showInputMessage="1" showErrorMessage="1" xr:uid="{36623B4F-FEF1-4B20-A6F6-DA9F6656717F}">
          <x14:formula1>
            <xm:f>'Sprachen &amp; Rückgabewerte(5)'!$B$33:$B$34</xm:f>
          </x14:formula1>
          <xm:sqref>E23:AR26</xm:sqref>
        </x14:dataValidation>
        <x14:dataValidation type="list" showInputMessage="1" showErrorMessage="1" xr:uid="{E2F04565-6991-4B30-A9FB-21ACECFFC625}">
          <x14:formula1>
            <xm:f>'Sprachen &amp; Rückgabewerte(5)'!$A$11:$A$18</xm:f>
          </x14:formula1>
          <xm:sqref>AM43:AQ43</xm:sqref>
        </x14:dataValidation>
        <x14:dataValidation type="list" showInputMessage="1" showErrorMessage="1" xr:uid="{B1C69BD3-D488-4426-9BAD-6DBCDB3AE1FA}">
          <x14:formula1>
            <xm:f>'Sprachen &amp; Rückgabewerte(5)'!$A$19:$A$21</xm:f>
          </x14:formula1>
          <xm:sqref>AR43:AS43</xm:sqref>
        </x14:dataValidation>
        <x14:dataValidation type="list" allowBlank="1" showInputMessage="1" showErrorMessage="1" xr:uid="{A6AE8E9F-C386-4CC0-92E4-DFD7E037F7FD}">
          <x14:formula1>
            <xm:f>'Sprachen &amp; Rückgabewerte(5)'!$J$67:$J$69</xm:f>
          </x14:formula1>
          <xm:sqref>AN70:AS70</xm:sqref>
        </x14:dataValidation>
        <x14:dataValidation type="list" allowBlank="1" showInputMessage="1" showErrorMessage="1" xr:uid="{05BA6228-189D-485C-BA5C-96A32FC26A8C}">
          <x14:formula1>
            <xm:f>'Sprachen &amp; Rückgabewerte(5)'!$J$77:$J$79</xm:f>
          </x14:formula1>
          <xm:sqref>AN78:AP78</xm:sqref>
        </x14:dataValidation>
        <x14:dataValidation type="list" allowBlank="1" showInputMessage="1" showErrorMessage="1" xr:uid="{B2AB5434-26B0-444A-9D43-DC79689D384C}">
          <x14:formula1>
            <xm:f>'Sprachen &amp; Rückgabewerte(5)'!$J$80:$J$81</xm:f>
          </x14:formula1>
          <xm:sqref>AN79:AP79</xm:sqref>
        </x14:dataValidation>
        <x14:dataValidation type="list" allowBlank="1" showInputMessage="1" showErrorMessage="1" xr:uid="{B0306213-B7EE-4A8B-B479-B2008428F876}">
          <x14:formula1>
            <xm:f>'Sprachen &amp; Rückgabewerte(5)'!$J$84:$J$86</xm:f>
          </x14:formula1>
          <xm:sqref>AN80:AS80</xm:sqref>
        </x14:dataValidation>
        <x14:dataValidation type="list" allowBlank="1" showInputMessage="1" showErrorMessage="1" xr:uid="{DC20E17B-2593-471D-9BF8-02C3C1C67B32}">
          <x14:formula1>
            <xm:f>'Sprachen &amp; Rückgabewerte(5)'!$J$94:$J$96</xm:f>
          </x14:formula1>
          <xm:sqref>AO55:AP55</xm:sqref>
        </x14:dataValidation>
        <x14:dataValidation type="list" showInputMessage="1" showErrorMessage="1" xr:uid="{DB27781D-C7C2-4575-874B-8B4CE9B91AA3}">
          <x14:formula1>
            <xm:f>'Sprachen &amp; Rückgabewerte(5)'!$B$73:$B$75</xm:f>
          </x14:formula1>
          <xm:sqref>H96:K96</xm:sqref>
        </x14:dataValidation>
        <x14:dataValidation type="list" allowBlank="1" showInputMessage="1" showErrorMessage="1" xr:uid="{56E7D0D9-0FB2-4F0D-9C40-7340F0149BBD}">
          <x14:formula1>
            <xm:f>'Sprachen &amp; Rückgabewerte(5)'!$B$9:$B$14</xm:f>
          </x14:formula1>
          <xm:sqref>F10:G10 J10:K10 N10:O10 R10:S10 V10:W10 Z10:AA10 AD10:AE10 AH10:AI10 AL10:AM10 AP10:AQ10</xm:sqref>
        </x14:dataValidation>
        <x14:dataValidation type="list" showInputMessage="1" showErrorMessage="1" xr:uid="{CDA4ADB9-9380-4C7A-B8A5-C71140A4C66E}">
          <x14:formula1>
            <xm:f>'Sprachen &amp; Rückgabewerte(5)'!$B$67:$B$69</xm:f>
          </x14:formula1>
          <xm:sqref>F72:I72 L72:O72</xm:sqref>
        </x14:dataValidation>
        <x14:dataValidation type="list" allowBlank="1" showInputMessage="1" showErrorMessage="1" xr:uid="{293A1303-7296-4F65-8563-893486993680}">
          <x14:formula1>
            <xm:f>'Sprachen &amp; Rückgabewerte(5)'!$J$91:$J$93</xm:f>
          </x14:formula1>
          <xm:sqref>AM49:AP49</xm:sqref>
        </x14:dataValidation>
        <x14:dataValidation type="list" allowBlank="1" showInputMessage="1" showErrorMessage="1" xr:uid="{C1664CA3-E3B4-4AAC-B3BC-60093C70A618}">
          <x14:formula1>
            <xm:f>'Sprachen &amp; Rückgabewerte(5)'!$N$78:$N$80</xm:f>
          </x14:formula1>
          <xm:sqref>AE70:AL70</xm:sqref>
        </x14:dataValidation>
        <x14:dataValidation type="list" allowBlank="1" showInputMessage="1" showErrorMessage="1" xr:uid="{322983E3-19EF-4112-BEBC-B52415314648}">
          <x14:formula1>
            <xm:f>'Sprachen &amp; Rückgabewerte(5)'!$J$134:$J$136</xm:f>
          </x14:formula1>
          <xm:sqref>AX34:AY42</xm:sqref>
        </x14:dataValidation>
        <x14:dataValidation type="list" allowBlank="1" showInputMessage="1" showErrorMessage="1" xr:uid="{EE5700A8-9712-4F64-9518-0FCD4D048CD2}">
          <x14:formula1>
            <xm:f>'Sprachen &amp; Rückgabewerte(5)'!$B$81:$B$84</xm:f>
          </x14:formula1>
          <xm:sqref>T104</xm:sqref>
        </x14:dataValidation>
        <x14:dataValidation type="list" allowBlank="1" showInputMessage="1" showErrorMessage="1" xr:uid="{5835A0DA-7BA7-4B00-AC41-153A57ADEAE3}">
          <x14:formula1>
            <xm:f>'Sprachen &amp; Rückgabewerte(5)'!$J$142:$J$144</xm:f>
          </x14:formula1>
          <xm:sqref>T110</xm:sqref>
        </x14:dataValidation>
        <x14:dataValidation type="list" allowBlank="1" showInputMessage="1" showErrorMessage="1" xr:uid="{FA73764F-8842-4172-B643-7F3ABFFD71B8}">
          <x14:formula1>
            <xm:f>'Sprachen &amp; Rückgabewerte(5)'!$J$145:$J$147</xm:f>
          </x14:formula1>
          <xm:sqref>T114</xm:sqref>
        </x14:dataValidation>
        <x14:dataValidation type="list" showInputMessage="1" showErrorMessage="1" xr:uid="{D846F881-333D-4BE7-9735-C4AF6A877E3F}">
          <x14:formula1>
            <xm:f>'Sprachen &amp; Rückgabewerte(5)'!$R$41:$R$43</xm:f>
          </x14:formula1>
          <xm:sqref>AF11:AG11 AN11:AO11 X11:Y11 T11:U11 P11:Q11 L11:M11 AB11:AC11 AJ11:AK11 H11:I11</xm:sqref>
        </x14:dataValidation>
        <x14:dataValidation type="list" allowBlank="1" showInputMessage="1" showErrorMessage="1" xr:uid="{B4846909-1226-4643-ACA7-D25FD67D4BCE}">
          <x14:formula1>
            <xm:f>'Sprachen &amp; Rückgabewerte(5)'!$Q$41:$Q$51</xm:f>
          </x14:formula1>
          <xm:sqref>AP74:AP76</xm:sqref>
        </x14:dataValidation>
        <x14:dataValidation type="list" allowBlank="1" showInputMessage="1" showErrorMessage="1" xr:uid="{3FD84E7B-AEC4-4839-A153-53CD626024B9}">
          <x14:formula1>
            <xm:f>'Sprachen &amp; Rückgabewerte(5)'!$J$150:$J$153</xm:f>
          </x14:formula1>
          <xm:sqref>AW48:AX48</xm:sqref>
        </x14:dataValidation>
        <x14:dataValidation type="list" allowBlank="1" showInputMessage="1" showErrorMessage="1" xr:uid="{FADBBEFF-084D-4C9B-98C8-420BBA024DBA}">
          <x14:formula1>
            <xm:f>'Sprachen &amp; Rückgabewerte(5)'!$J$87:$J$89</xm:f>
          </x14:formula1>
          <xm:sqref>AE84:AL84</xm:sqref>
        </x14:dataValidation>
        <x14:dataValidation type="list" allowBlank="1" showInputMessage="1" showErrorMessage="1" xr:uid="{7B495340-927C-4A5A-B271-8AF7FD3829D1}">
          <x14:formula1>
            <xm:f>'Sprachen &amp; Rückgabewerte(5)'!$J$133:$J$136</xm:f>
          </x14:formula1>
          <xm:sqref>AX33:AY33</xm:sqref>
        </x14:dataValidation>
        <x14:dataValidation type="list" showInputMessage="1" showErrorMessage="1" errorTitle="SG-Typ auswählen" error="Bitte wählen Sie einen Sky-Glass Typ aus. Spezialaufbau bitte im Feld Speziell eingeben!" xr:uid="{FEDE8515-33D1-4867-9BD1-6BAF78130770}">
          <x14:formula1>
            <xm:f>'Sprachen &amp; Rückgabewerte(5)'!$AI$3:$AI$45</xm:f>
          </x14:formula1>
          <xm:sqref>AE53:AG53</xm:sqref>
        </x14:dataValidation>
        <x14:dataValidation type="list" allowBlank="1" showInputMessage="1" showErrorMessage="1" xr:uid="{CD251F2D-DA13-4B76-969D-E5EECF1EE307}">
          <x14:formula1>
            <xm:f>'Sprachen &amp; Rückgabewerte(5)'!$J$174:$J$175</xm:f>
          </x14:formula1>
          <xm:sqref>AM46:AS46</xm:sqref>
        </x14:dataValidation>
        <x14:dataValidation type="list" allowBlank="1" showInputMessage="1" showErrorMessage="1" xr:uid="{4D037D84-F9AA-42BA-B126-B846DADAF8F5}">
          <x14:formula1>
            <xm:f>'Sprachen &amp; Rückgabewerte(5)'!$J$177:$J$178</xm:f>
          </x14:formula1>
          <xm:sqref>AM47:AS47</xm:sqref>
        </x14:dataValidation>
        <x14:dataValidation type="list" allowBlank="1" showInputMessage="1" showErrorMessage="1" xr:uid="{FDE26717-FB76-4CEB-807C-42732B518D12}">
          <x14:formula1>
            <xm:f>'Sprachen &amp; Rückgabewerte(5)'!$A$28:$A$30</xm:f>
          </x14:formula1>
          <xm:sqref>F16:G17 J16:K17 N16:O17 R16:S17 V16:W17 Z16:AA17 AD16:AE17 AH16:AI17 AL16:AM17 AP16:AQ17</xm:sqref>
        </x14:dataValidation>
        <x14:dataValidation type="list" allowBlank="1" showInputMessage="1" showErrorMessage="1" xr:uid="{AF2500D4-8EE9-4106-A71E-89B6A42EA3F0}">
          <x14:formula1>
            <xm:f>'Sprachen &amp; Rückgabewerte(5)'!$H$95:$H$96</xm:f>
          </x14:formula1>
          <xm:sqref>AQ96:AR96</xm:sqref>
        </x14:dataValidation>
        <x14:dataValidation type="list" allowBlank="1" showInputMessage="1" showErrorMessage="1" xr:uid="{5AC0E733-B544-4CCA-8041-0105CD60CD9F}">
          <x14:formula1>
            <xm:f>'Sprachen &amp; Rückgabewerte(5)'!$H$191:$H$192</xm:f>
          </x14:formula1>
          <xm:sqref>V97:Y97</xm:sqref>
        </x14:dataValidation>
        <x14:dataValidation type="list" allowBlank="1" showInputMessage="1" showErrorMessage="1" xr:uid="{2E114206-0801-43F3-8A11-83A3B4F6061D}">
          <x14:formula1>
            <xm:f>'Sprachen &amp; Rückgabewerte(5)'!$H$198:$H$199</xm:f>
          </x14:formula1>
          <xm:sqref>AZ9:BA9</xm:sqref>
        </x14:dataValidation>
        <x14:dataValidation type="list" allowBlank="1" showInputMessage="1" showErrorMessage="1" xr:uid="{48995EA1-CDAC-4CDE-89B0-3E8E4243C669}">
          <x14:formula1>
            <xm:f>'Sprachen &amp; Rückgabewerte(5)'!$H$196:$H$197</xm:f>
          </x14:formula1>
          <xm:sqref>AZ10:BA10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B1:I63"/>
  <sheetViews>
    <sheetView tabSelected="1" zoomScaleNormal="100" workbookViewId="0">
      <selection activeCell="I64" sqref="I64"/>
    </sheetView>
  </sheetViews>
  <sheetFormatPr baseColWidth="10" defaultColWidth="11.42578125" defaultRowHeight="12.75" x14ac:dyDescent="0.2"/>
  <cols>
    <col min="1" max="1" width="12.42578125" style="337" customWidth="1"/>
    <col min="2" max="2" width="3.7109375" style="337" customWidth="1"/>
    <col min="3" max="3" width="67.42578125" style="338" customWidth="1"/>
    <col min="4" max="4" width="1.42578125" style="337" customWidth="1"/>
    <col min="5" max="6" width="11.42578125" style="337"/>
    <col min="7" max="7" width="10.7109375" style="337" customWidth="1"/>
    <col min="8" max="8" width="6.85546875" style="337" customWidth="1"/>
    <col min="9" max="9" width="36" style="337" customWidth="1"/>
    <col min="10" max="10" width="11.42578125" style="337"/>
    <col min="11" max="11" width="15.7109375" style="337" customWidth="1"/>
    <col min="12" max="16384" width="11.42578125" style="337"/>
  </cols>
  <sheetData>
    <row r="1" spans="2:9" ht="13.5" customHeight="1" x14ac:dyDescent="0.2"/>
    <row r="2" spans="2:9" ht="13.5" customHeight="1" x14ac:dyDescent="0.2">
      <c r="B2" s="339"/>
      <c r="C2" s="340"/>
      <c r="D2" s="340"/>
      <c r="E2" s="340"/>
      <c r="F2" s="340"/>
      <c r="G2" s="340"/>
      <c r="H2" s="340"/>
      <c r="I2" s="341"/>
    </row>
    <row r="3" spans="2:9" ht="36.75" customHeight="1" x14ac:dyDescent="0.2">
      <c r="B3" s="342"/>
      <c r="C3" s="343"/>
      <c r="D3" s="343"/>
      <c r="E3" s="343"/>
      <c r="F3" s="343"/>
      <c r="G3" s="343"/>
      <c r="H3" s="343"/>
      <c r="I3" s="344"/>
    </row>
    <row r="4" spans="2:9" ht="20.25" customHeight="1" x14ac:dyDescent="0.2">
      <c r="B4" s="427"/>
      <c r="C4" s="738" t="str">
        <f>'Sprachen &amp; Rückgabewerte'!$H$129</f>
        <v>Anleitung:</v>
      </c>
      <c r="D4" s="428"/>
      <c r="E4" s="428"/>
      <c r="F4" s="428"/>
      <c r="G4" s="428"/>
      <c r="H4" s="428"/>
      <c r="I4" s="429"/>
    </row>
    <row r="5" spans="2:9" ht="20.25" customHeight="1" x14ac:dyDescent="0.2">
      <c r="B5" s="430"/>
      <c r="C5" s="739"/>
      <c r="D5" s="431"/>
      <c r="E5" s="431"/>
      <c r="F5" s="431"/>
      <c r="G5" s="431"/>
      <c r="H5" s="431"/>
      <c r="I5" s="432"/>
    </row>
    <row r="6" spans="2:9" ht="12.75" customHeight="1" x14ac:dyDescent="0.3">
      <c r="B6" s="346"/>
      <c r="C6" s="433"/>
      <c r="D6" s="338"/>
      <c r="E6" s="338"/>
      <c r="F6" s="338"/>
      <c r="G6" s="338"/>
      <c r="H6" s="338"/>
      <c r="I6" s="345"/>
    </row>
    <row r="7" spans="2:9" ht="12.75" customHeight="1" x14ac:dyDescent="0.2">
      <c r="B7" s="434" t="str">
        <f>"1."</f>
        <v>1.</v>
      </c>
      <c r="C7" s="338" t="str">
        <f>'Sprachen &amp; Rückgabewerte'!$H$126</f>
        <v>Bestellung vollständig ausfüllen.</v>
      </c>
      <c r="D7" s="338"/>
      <c r="E7" s="338"/>
      <c r="F7" s="338"/>
      <c r="G7" s="338"/>
      <c r="H7" s="338"/>
      <c r="I7" s="345"/>
    </row>
    <row r="8" spans="2:9" ht="12.75" customHeight="1" x14ac:dyDescent="0.2">
      <c r="B8" s="434" t="str">
        <f>"2."</f>
        <v>2.</v>
      </c>
      <c r="C8" s="338" t="str">
        <f>'Sprachen &amp; Rückgabewerte'!$H$127</f>
        <v>Überprüfen ob keine roten Rahmen aufleuchten.</v>
      </c>
      <c r="D8" s="338"/>
      <c r="E8" s="338"/>
      <c r="F8" s="338"/>
      <c r="G8" s="338"/>
      <c r="H8" s="338"/>
      <c r="I8" s="345"/>
    </row>
    <row r="9" spans="2:9" ht="12.75" customHeight="1" x14ac:dyDescent="0.2">
      <c r="B9" s="434" t="str">
        <f>"3."</f>
        <v>3.</v>
      </c>
      <c r="C9" s="338" t="str">
        <f>'Sprachen &amp; Rückgabewerte'!$H$128</f>
        <v>Bestellung senden an:</v>
      </c>
      <c r="D9" s="338"/>
      <c r="E9" s="338"/>
      <c r="F9" s="338"/>
      <c r="G9" s="338"/>
      <c r="H9" s="338"/>
      <c r="I9" s="345"/>
    </row>
    <row r="10" spans="2:9" ht="12.75" customHeight="1" x14ac:dyDescent="0.2">
      <c r="B10" s="346"/>
      <c r="C10" s="238" t="s">
        <v>170</v>
      </c>
      <c r="D10" s="338"/>
      <c r="E10" s="338"/>
      <c r="F10" s="338"/>
      <c r="G10" s="338"/>
      <c r="H10" s="338"/>
      <c r="I10" s="345"/>
    </row>
    <row r="11" spans="2:9" ht="12.75" customHeight="1" x14ac:dyDescent="0.2">
      <c r="B11" s="346"/>
      <c r="C11" s="238"/>
      <c r="D11" s="338"/>
      <c r="E11" s="338"/>
      <c r="F11" s="338"/>
      <c r="G11" s="338"/>
      <c r="H11" s="338"/>
      <c r="I11" s="345"/>
    </row>
    <row r="12" spans="2:9" ht="20.25" customHeight="1" x14ac:dyDescent="0.2">
      <c r="B12" s="435"/>
      <c r="C12" s="736" t="str">
        <f>'Sprachen &amp; Rückgabewerte'!H165</f>
        <v>Hinweise:</v>
      </c>
      <c r="D12" s="436"/>
      <c r="E12" s="436"/>
      <c r="F12" s="436"/>
      <c r="G12" s="436"/>
      <c r="H12" s="436"/>
      <c r="I12" s="437"/>
    </row>
    <row r="13" spans="2:9" ht="20.25" customHeight="1" x14ac:dyDescent="0.2">
      <c r="B13" s="438"/>
      <c r="C13" s="737"/>
      <c r="D13" s="439"/>
      <c r="E13" s="439"/>
      <c r="F13" s="439"/>
      <c r="G13" s="439"/>
      <c r="H13" s="439"/>
      <c r="I13" s="440"/>
    </row>
    <row r="14" spans="2:9" x14ac:dyDescent="0.2">
      <c r="B14" s="346"/>
      <c r="G14" s="338"/>
      <c r="I14" s="345"/>
    </row>
    <row r="15" spans="2:9" x14ac:dyDescent="0.2">
      <c r="B15" s="347" t="s">
        <v>486</v>
      </c>
      <c r="C15" s="348" t="str">
        <f>'Sprachen &amp; Rückgabewerte'!H166</f>
        <v>Angabe erstöffnender Flügel</v>
      </c>
      <c r="G15" s="338"/>
      <c r="I15" s="345"/>
    </row>
    <row r="16" spans="2:9" ht="60.75" customHeight="1" x14ac:dyDescent="0.2">
      <c r="B16" s="346"/>
      <c r="C16" s="349" t="str">
        <f>'Sprachen &amp; Rückgabewerte'!H167</f>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G16" s="338"/>
      <c r="I16" s="345"/>
    </row>
    <row r="17" spans="2:9" ht="131.25" customHeight="1" x14ac:dyDescent="0.2">
      <c r="B17" s="346"/>
      <c r="G17" s="338"/>
      <c r="I17" s="345"/>
    </row>
    <row r="18" spans="2:9" ht="45" customHeight="1" x14ac:dyDescent="0.2">
      <c r="B18" s="342"/>
      <c r="C18" s="343"/>
      <c r="D18" s="343"/>
      <c r="E18" s="343"/>
      <c r="F18" s="343"/>
      <c r="G18" s="343"/>
      <c r="H18" s="343"/>
      <c r="I18" s="344"/>
    </row>
    <row r="19" spans="2:9" x14ac:dyDescent="0.2">
      <c r="B19" s="346"/>
      <c r="I19" s="345"/>
    </row>
    <row r="20" spans="2:9" x14ac:dyDescent="0.2">
      <c r="B20" s="347" t="s">
        <v>487</v>
      </c>
      <c r="C20" s="348" t="str">
        <f>'Sprachen &amp; Rückgabewerte'!H168</f>
        <v>Eingabe Ecke ≠ 90° (von 60° - 160°)</v>
      </c>
      <c r="I20" s="345"/>
    </row>
    <row r="21" spans="2:9" ht="50.25" customHeight="1" x14ac:dyDescent="0.2">
      <c r="B21" s="346"/>
      <c r="C21" s="350" t="str">
        <f>'Sprachen &amp; Rückgabewerte'!H169</f>
        <v xml:space="preserve">Um eine Ecke auszuwählen, welche grösser oder kleiner wie 90° ist, muss das dementsprechende Feld ausgewählt werden. Danach muss der gewünschte Wert angegeben werden. </v>
      </c>
      <c r="I21" s="345"/>
    </row>
    <row r="22" spans="2:9" ht="75.75" customHeight="1" x14ac:dyDescent="0.2">
      <c r="B22" s="346"/>
      <c r="I22" s="345"/>
    </row>
    <row r="23" spans="2:9" ht="45" customHeight="1" x14ac:dyDescent="0.2">
      <c r="B23" s="342"/>
      <c r="C23" s="343"/>
      <c r="D23" s="343"/>
      <c r="E23" s="343"/>
      <c r="F23" s="343"/>
      <c r="G23" s="343"/>
      <c r="H23" s="343"/>
      <c r="I23" s="344"/>
    </row>
    <row r="24" spans="2:9" x14ac:dyDescent="0.2">
      <c r="B24" s="346"/>
      <c r="I24" s="345"/>
    </row>
    <row r="25" spans="2:9" x14ac:dyDescent="0.2">
      <c r="B25" s="347" t="s">
        <v>834</v>
      </c>
      <c r="C25" s="348" t="str">
        <f>'Sprachen &amp; Rückgabewerte'!H170</f>
        <v>Breitenangabe bei Eckanlagen</v>
      </c>
      <c r="I25" s="345"/>
    </row>
    <row r="26" spans="2:9" ht="63.75" customHeight="1" x14ac:dyDescent="0.2">
      <c r="B26" s="346"/>
      <c r="C26" s="350" t="str">
        <f>'Sprachen &amp; Rückgabewerte'!H171</f>
        <v>Wird eine Eckanlage eingegeben, erscheint bei der Angabe "Breite" automatisch ein neues Eingabefeld. Die Länge der einzelnen Fronten muss hier separat angegeben werden (Rahmenaussenmass). Die verschiedenen Fronten sind von links nach rechts anzugeben:</v>
      </c>
      <c r="I26" s="345"/>
    </row>
    <row r="27" spans="2:9" ht="135" customHeight="1" x14ac:dyDescent="0.2">
      <c r="B27" s="346"/>
      <c r="I27" s="345"/>
    </row>
    <row r="28" spans="2:9" ht="45" customHeight="1" x14ac:dyDescent="0.2">
      <c r="B28" s="342"/>
      <c r="C28" s="343"/>
      <c r="D28" s="343"/>
      <c r="E28" s="343"/>
      <c r="F28" s="343"/>
      <c r="G28" s="343"/>
      <c r="H28" s="343"/>
      <c r="I28" s="344"/>
    </row>
    <row r="29" spans="2:9" x14ac:dyDescent="0.2">
      <c r="B29" s="346"/>
      <c r="I29" s="345"/>
    </row>
    <row r="30" spans="2:9" x14ac:dyDescent="0.2">
      <c r="B30" s="347" t="s">
        <v>837</v>
      </c>
      <c r="C30" s="348" t="str">
        <f>'Sprachen &amp; Rückgabewerte'!H172</f>
        <v>Rinnenlänge angeben</v>
      </c>
      <c r="I30" s="345"/>
    </row>
    <row r="31" spans="2:9" ht="76.5" customHeight="1" thickBot="1" x14ac:dyDescent="0.25">
      <c r="B31" s="346"/>
      <c r="C31" s="350" t="str">
        <f>'Sprachen &amp; Rückgabewerte'!H173</f>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31" s="345"/>
    </row>
    <row r="32" spans="2:9" x14ac:dyDescent="0.2">
      <c r="B32" s="346"/>
      <c r="E32" s="351"/>
      <c r="F32" s="352"/>
      <c r="G32" s="352"/>
      <c r="H32" s="353"/>
      <c r="I32" s="345"/>
    </row>
    <row r="33" spans="2:9" x14ac:dyDescent="0.2">
      <c r="B33" s="346"/>
      <c r="E33" s="354" t="str">
        <f>'Sprachen &amp; Rückgabewerte'!H139</f>
        <v>Wahl des Rinnensystems:</v>
      </c>
      <c r="F33" s="338"/>
      <c r="G33" s="338"/>
      <c r="H33" s="355"/>
      <c r="I33" s="345"/>
    </row>
    <row r="34" spans="2:9" x14ac:dyDescent="0.2">
      <c r="B34" s="346"/>
      <c r="E34" s="354"/>
      <c r="F34" s="338"/>
      <c r="G34" s="338"/>
      <c r="H34" s="355"/>
      <c r="I34" s="345"/>
    </row>
    <row r="35" spans="2:9" x14ac:dyDescent="0.2">
      <c r="B35" s="346"/>
      <c r="E35" s="354" t="str">
        <f>'Sprachen &amp; Rückgabewerte'!H140</f>
        <v>Einzug an der linken Anlagenseite:</v>
      </c>
      <c r="F35" s="338"/>
      <c r="G35" s="338"/>
      <c r="H35" s="355"/>
      <c r="I35" s="345"/>
    </row>
    <row r="36" spans="2:9" x14ac:dyDescent="0.2">
      <c r="B36" s="346"/>
      <c r="E36" s="354"/>
      <c r="F36" s="338"/>
      <c r="G36" s="338"/>
      <c r="H36" s="355"/>
      <c r="I36" s="345"/>
    </row>
    <row r="37" spans="2:9" x14ac:dyDescent="0.2">
      <c r="B37" s="346"/>
      <c r="E37" s="354" t="str">
        <f>'Sprachen &amp; Rückgabewerte'!H141</f>
        <v>Einzug an der rechten Anlagenseite:</v>
      </c>
      <c r="F37" s="338"/>
      <c r="G37" s="338"/>
      <c r="H37" s="355"/>
      <c r="I37" s="345"/>
    </row>
    <row r="38" spans="2:9" ht="13.5" thickBot="1" x14ac:dyDescent="0.25">
      <c r="B38" s="346"/>
      <c r="E38" s="356"/>
      <c r="F38" s="357"/>
      <c r="G38" s="357"/>
      <c r="H38" s="358"/>
      <c r="I38" s="345"/>
    </row>
    <row r="39" spans="2:9" ht="70.5" customHeight="1" x14ac:dyDescent="0.2">
      <c r="B39" s="346"/>
      <c r="I39" s="345"/>
    </row>
    <row r="40" spans="2:9" ht="42.75" customHeight="1" x14ac:dyDescent="0.2">
      <c r="B40" s="342"/>
      <c r="C40" s="343"/>
      <c r="D40" s="343"/>
      <c r="E40" s="343"/>
      <c r="F40" s="343"/>
      <c r="G40" s="343"/>
      <c r="H40" s="343"/>
      <c r="I40" s="344"/>
    </row>
    <row r="41" spans="2:9" x14ac:dyDescent="0.2">
      <c r="B41" s="339"/>
      <c r="C41" s="340"/>
      <c r="D41" s="340"/>
      <c r="E41" s="340"/>
      <c r="F41" s="340"/>
      <c r="G41" s="340"/>
      <c r="H41" s="340"/>
      <c r="I41" s="341"/>
    </row>
    <row r="42" spans="2:9" x14ac:dyDescent="0.2">
      <c r="B42" s="418" t="str">
        <f>"5."</f>
        <v>5.</v>
      </c>
      <c r="C42" s="348" t="str">
        <f>'Sprachen &amp; Rückgabewerte'!H186</f>
        <v>Bemassung Bahnhof</v>
      </c>
      <c r="D42" s="338"/>
      <c r="E42" s="338"/>
      <c r="F42" s="338"/>
      <c r="G42" s="338"/>
      <c r="H42" s="338"/>
      <c r="I42" s="345"/>
    </row>
    <row r="43" spans="2:9" ht="51" x14ac:dyDescent="0.2">
      <c r="B43" s="346"/>
      <c r="C43" s="419" t="str">
        <f>'Sprachen &amp; Rückgabewerte'!H187</f>
        <v>Die Vermassung von Bahnhofanlagen funktioniert gleich wie bei normalen Rahmen. Bitte geben Sie uns als Rahmenmass das komplette Mass von Aussenkant Rahmen an. Für die Vermassung der Labyrinthposition geben Sie bitte das Mass bis Achse Labyrinth an.</v>
      </c>
      <c r="D43" s="338"/>
      <c r="E43" s="338"/>
      <c r="F43" s="338"/>
      <c r="G43" s="338"/>
      <c r="H43" s="338"/>
      <c r="I43" s="345"/>
    </row>
    <row r="44" spans="2:9" x14ac:dyDescent="0.2">
      <c r="B44" s="346"/>
      <c r="D44" s="338"/>
      <c r="E44" s="338"/>
      <c r="F44" s="338"/>
      <c r="G44" s="338"/>
      <c r="H44" s="338"/>
      <c r="I44" s="345"/>
    </row>
    <row r="45" spans="2:9" x14ac:dyDescent="0.2">
      <c r="B45" s="346"/>
      <c r="D45" s="338"/>
      <c r="E45" s="338"/>
      <c r="F45" s="338"/>
      <c r="G45" s="338"/>
      <c r="H45" s="338"/>
      <c r="I45" s="345"/>
    </row>
    <row r="46" spans="2:9" x14ac:dyDescent="0.2">
      <c r="B46" s="346"/>
      <c r="D46" s="338"/>
      <c r="E46" s="338"/>
      <c r="F46" s="338"/>
      <c r="G46" s="338"/>
      <c r="H46" s="338"/>
      <c r="I46" s="345"/>
    </row>
    <row r="47" spans="2:9" x14ac:dyDescent="0.2">
      <c r="B47" s="346"/>
      <c r="D47" s="338"/>
      <c r="E47" s="338"/>
      <c r="F47" s="338"/>
      <c r="G47" s="338"/>
      <c r="H47" s="338"/>
      <c r="I47" s="345"/>
    </row>
    <row r="48" spans="2:9" x14ac:dyDescent="0.2">
      <c r="B48" s="346"/>
      <c r="D48" s="338"/>
      <c r="E48" s="338"/>
      <c r="F48" s="338"/>
      <c r="G48" s="338"/>
      <c r="H48" s="338"/>
      <c r="I48" s="345"/>
    </row>
    <row r="49" spans="2:9" x14ac:dyDescent="0.2">
      <c r="B49" s="346"/>
      <c r="D49" s="338"/>
      <c r="E49" s="338"/>
      <c r="F49" s="338"/>
      <c r="G49" s="338"/>
      <c r="H49" s="338"/>
      <c r="I49" s="345"/>
    </row>
    <row r="50" spans="2:9" x14ac:dyDescent="0.2">
      <c r="B50" s="346"/>
      <c r="D50" s="338"/>
      <c r="E50" s="338"/>
      <c r="F50" s="338"/>
      <c r="G50" s="338"/>
      <c r="H50" s="338"/>
      <c r="I50" s="345"/>
    </row>
    <row r="51" spans="2:9" x14ac:dyDescent="0.2">
      <c r="B51" s="346"/>
      <c r="D51" s="338"/>
      <c r="E51" s="338"/>
      <c r="F51" s="338"/>
      <c r="G51" s="338"/>
      <c r="H51" s="338"/>
      <c r="I51" s="345"/>
    </row>
    <row r="52" spans="2:9" x14ac:dyDescent="0.2">
      <c r="B52" s="346"/>
      <c r="D52" s="338"/>
      <c r="E52" s="338"/>
      <c r="F52" s="338"/>
      <c r="G52" s="338"/>
      <c r="H52" s="338"/>
      <c r="I52" s="345"/>
    </row>
    <row r="53" spans="2:9" x14ac:dyDescent="0.2">
      <c r="B53" s="346"/>
      <c r="D53" s="338"/>
      <c r="E53" s="338"/>
      <c r="F53" s="338"/>
      <c r="G53" s="338"/>
      <c r="H53" s="338"/>
      <c r="I53" s="345"/>
    </row>
    <row r="54" spans="2:9" x14ac:dyDescent="0.2">
      <c r="B54" s="346"/>
      <c r="D54" s="338"/>
      <c r="E54" s="338"/>
      <c r="F54" s="338"/>
      <c r="G54" s="338"/>
      <c r="H54" s="338"/>
      <c r="I54" s="345"/>
    </row>
    <row r="55" spans="2:9" x14ac:dyDescent="0.2">
      <c r="B55" s="346"/>
      <c r="D55" s="338"/>
      <c r="E55" s="338"/>
      <c r="F55" s="338"/>
      <c r="G55" s="338"/>
      <c r="H55" s="338"/>
      <c r="I55" s="345"/>
    </row>
    <row r="56" spans="2:9" x14ac:dyDescent="0.2">
      <c r="B56" s="346"/>
      <c r="D56" s="338"/>
      <c r="E56" s="338"/>
      <c r="F56" s="338"/>
      <c r="G56" s="338"/>
      <c r="H56" s="338"/>
      <c r="I56" s="345"/>
    </row>
    <row r="57" spans="2:9" x14ac:dyDescent="0.2">
      <c r="B57" s="346"/>
      <c r="D57" s="338"/>
      <c r="E57" s="338"/>
      <c r="F57" s="338"/>
      <c r="G57" s="338"/>
      <c r="H57" s="338"/>
      <c r="I57" s="345"/>
    </row>
    <row r="58" spans="2:9" x14ac:dyDescent="0.2">
      <c r="B58" s="346"/>
      <c r="D58" s="338"/>
      <c r="E58" s="338"/>
      <c r="F58" s="338"/>
      <c r="G58" s="338"/>
      <c r="H58" s="338"/>
      <c r="I58" s="345"/>
    </row>
    <row r="59" spans="2:9" x14ac:dyDescent="0.2">
      <c r="B59" s="346"/>
      <c r="D59" s="338"/>
      <c r="E59" s="338"/>
      <c r="F59" s="338"/>
      <c r="G59" s="338"/>
      <c r="H59" s="338"/>
      <c r="I59" s="345"/>
    </row>
    <row r="60" spans="2:9" x14ac:dyDescent="0.2">
      <c r="B60" s="346"/>
      <c r="D60" s="338"/>
      <c r="E60" s="338"/>
      <c r="F60" s="338"/>
      <c r="G60" s="338"/>
      <c r="H60" s="338"/>
      <c r="I60" s="345"/>
    </row>
    <row r="61" spans="2:9" x14ac:dyDescent="0.2">
      <c r="B61" s="346"/>
      <c r="D61" s="338"/>
      <c r="E61" s="338"/>
      <c r="F61" s="338"/>
      <c r="G61" s="338"/>
      <c r="H61" s="338"/>
      <c r="I61" s="345"/>
    </row>
    <row r="62" spans="2:9" ht="45" customHeight="1" x14ac:dyDescent="0.2">
      <c r="B62" s="342"/>
      <c r="C62" s="343"/>
      <c r="D62" s="343"/>
      <c r="E62" s="343"/>
      <c r="F62" s="343"/>
      <c r="G62" s="343"/>
      <c r="H62" s="343"/>
      <c r="I62" s="344"/>
    </row>
    <row r="63" spans="2:9" ht="45" customHeight="1" x14ac:dyDescent="0.2">
      <c r="B63" s="420"/>
      <c r="C63" s="421"/>
      <c r="D63" s="421"/>
      <c r="E63" s="421"/>
      <c r="F63" s="421"/>
      <c r="G63" s="421"/>
      <c r="H63" s="421"/>
      <c r="I63" s="422" t="str">
        <f>'Pos. 1'!AT98</f>
        <v>Version 09-07-2018</v>
      </c>
    </row>
  </sheetData>
  <sheetProtection algorithmName="SHA-512" hashValue="D2ihnQL1QpHiW2/6/9NyNFAR5EG2bPGHLQsHOScEAd5iEHr4fRATt2TH494uaT9PxtT85tQZJOKsZ+AJAiTDyQ==" saltValue="h/havEB/UX/GkDmuFSgqPw==" spinCount="100000" sheet="1" selectLockedCells="1"/>
  <mergeCells count="2">
    <mergeCell ref="C12:C13"/>
    <mergeCell ref="C4:C5"/>
  </mergeCells>
  <hyperlinks>
    <hyperlink ref="C10" r:id="rId1" xr:uid="{62DF0397-6275-432C-8FC1-72C1F08A4312}"/>
  </hyperlinks>
  <pageMargins left="0.25" right="0.25" top="0.75" bottom="0.75" header="0.3" footer="0.3"/>
  <pageSetup paperSize="9" scale="66"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pageSetUpPr fitToPage="1"/>
  </sheetPr>
  <dimension ref="A1:P88"/>
  <sheetViews>
    <sheetView zoomScale="85" zoomScaleNormal="85" workbookViewId="0">
      <selection activeCell="M3" sqref="M3"/>
    </sheetView>
  </sheetViews>
  <sheetFormatPr baseColWidth="10" defaultRowHeight="14.25" x14ac:dyDescent="0.2"/>
  <cols>
    <col min="1" max="1" width="12.42578125" style="385" customWidth="1"/>
    <col min="2" max="2" width="3.7109375" style="385" customWidth="1"/>
    <col min="3" max="11" width="11.42578125" style="385"/>
    <col min="12" max="12" width="16.28515625" style="385" customWidth="1"/>
    <col min="13" max="13" width="5.5703125" style="385" customWidth="1"/>
    <col min="14" max="14" width="8.140625" style="385" customWidth="1"/>
    <col min="15" max="16384" width="11.42578125" style="385"/>
  </cols>
  <sheetData>
    <row r="1" spans="1:14" ht="13.5" customHeight="1" x14ac:dyDescent="0.2"/>
    <row r="2" spans="1:14" ht="13.5" customHeight="1" x14ac:dyDescent="0.2">
      <c r="B2" s="386"/>
      <c r="C2" s="387"/>
      <c r="D2" s="387"/>
      <c r="E2" s="387"/>
      <c r="F2" s="387"/>
      <c r="G2" s="387"/>
      <c r="H2" s="387"/>
      <c r="I2" s="387"/>
      <c r="J2" s="387"/>
      <c r="K2" s="387"/>
      <c r="L2" s="387"/>
      <c r="M2" s="387"/>
      <c r="N2" s="388"/>
    </row>
    <row r="3" spans="1:14" ht="36.75" customHeight="1" x14ac:dyDescent="0.2">
      <c r="B3" s="389"/>
      <c r="C3" s="390"/>
      <c r="D3" s="390"/>
      <c r="E3" s="390"/>
      <c r="F3" s="390"/>
      <c r="G3" s="390"/>
      <c r="H3" s="390"/>
      <c r="I3" s="390"/>
      <c r="J3" s="390"/>
      <c r="K3" s="390"/>
      <c r="L3" s="390"/>
      <c r="M3" s="138" t="str">
        <f>'Pos. 1'!AT3</f>
        <v>Sky-Frame 3</v>
      </c>
      <c r="N3" s="391"/>
    </row>
    <row r="4" spans="1:14" ht="7.5" customHeight="1" x14ac:dyDescent="0.2">
      <c r="B4" s="386"/>
      <c r="N4" s="392"/>
    </row>
    <row r="5" spans="1:14" ht="20.25" customHeight="1" x14ac:dyDescent="0.3">
      <c r="B5" s="393"/>
      <c r="C5" s="394" t="str">
        <f>'Sprachen &amp; Rückgabewerte'!H179</f>
        <v>Übersicht:</v>
      </c>
      <c r="N5" s="392"/>
    </row>
    <row r="6" spans="1:14" ht="3" customHeight="1" x14ac:dyDescent="0.2">
      <c r="B6" s="393"/>
      <c r="N6" s="392"/>
    </row>
    <row r="7" spans="1:14" ht="3.75" customHeight="1" x14ac:dyDescent="0.2">
      <c r="B7" s="393"/>
      <c r="N7" s="391"/>
    </row>
    <row r="8" spans="1:14" ht="15" customHeight="1" x14ac:dyDescent="0.25">
      <c r="B8" s="386"/>
      <c r="C8" s="395" t="s">
        <v>903</v>
      </c>
      <c r="D8" s="387"/>
      <c r="E8" s="396" t="str">
        <f>'Pos. 1'!$AX$19</f>
        <v>Bestellformular unvollständig!</v>
      </c>
      <c r="F8" s="387"/>
      <c r="G8" s="387"/>
      <c r="H8" s="387"/>
      <c r="I8" s="387"/>
      <c r="J8" s="387"/>
      <c r="K8" s="387"/>
      <c r="L8" s="387"/>
      <c r="M8" s="387"/>
      <c r="N8" s="397" t="str">
        <f>'Pos. 1'!$BB$2</f>
        <v>0m²</v>
      </c>
    </row>
    <row r="9" spans="1:14" x14ac:dyDescent="0.2">
      <c r="B9" s="393"/>
      <c r="C9" s="398"/>
      <c r="D9" s="398"/>
      <c r="E9" s="398"/>
      <c r="F9" s="398"/>
      <c r="G9" s="398"/>
      <c r="H9" s="398"/>
      <c r="I9" s="398"/>
      <c r="J9" s="398"/>
      <c r="K9" s="398"/>
      <c r="L9" s="398"/>
      <c r="M9" s="398"/>
      <c r="N9" s="392"/>
    </row>
    <row r="10" spans="1:14" ht="12" customHeight="1" x14ac:dyDescent="0.25">
      <c r="B10" s="393"/>
      <c r="C10" s="399" t="str">
        <f>'Pos. 1'!$AH$5</f>
        <v>Pos:</v>
      </c>
      <c r="D10" s="398"/>
      <c r="E10" s="400">
        <f>'Pos. 1'!$AJ$5</f>
        <v>0</v>
      </c>
      <c r="F10" s="398"/>
      <c r="G10" s="398"/>
      <c r="H10" s="398"/>
      <c r="I10" s="398"/>
      <c r="J10" s="398"/>
      <c r="K10" s="401" t="str">
        <f>'Sprachen &amp; Rückgabewerte'!$H$134</f>
        <v>Features</v>
      </c>
      <c r="L10" s="398"/>
      <c r="M10" s="398"/>
      <c r="N10" s="392"/>
    </row>
    <row r="11" spans="1:14" ht="12" customHeight="1" x14ac:dyDescent="0.25">
      <c r="B11" s="393"/>
      <c r="C11" s="399"/>
      <c r="D11" s="398"/>
      <c r="E11" s="398"/>
      <c r="F11" s="398"/>
      <c r="G11" s="398"/>
      <c r="H11" s="398"/>
      <c r="I11" s="398"/>
      <c r="J11" s="402" t="str">
        <f>IF(K11&lt;&gt;"","-","")</f>
        <v/>
      </c>
      <c r="K11" s="398" t="str">
        <f>IF('Sprachen &amp; Rückgabewerte'!$I$16=TRUE,'Sprachen &amp; Rückgabewerte'!$H$16,"")</f>
        <v/>
      </c>
      <c r="L11" s="398"/>
      <c r="M11" s="398"/>
      <c r="N11" s="392"/>
    </row>
    <row r="12" spans="1:14" ht="12" customHeight="1" x14ac:dyDescent="0.25">
      <c r="B12" s="393"/>
      <c r="C12" s="399" t="str">
        <f>'Pos. 1'!$AH$6</f>
        <v>Stück:</v>
      </c>
      <c r="D12" s="398"/>
      <c r="E12" s="403">
        <f>'Pos. 1'!$AJ$6</f>
        <v>0</v>
      </c>
      <c r="F12" s="398"/>
      <c r="G12" s="398"/>
      <c r="H12" s="398"/>
      <c r="I12" s="398"/>
      <c r="J12" s="402" t="str">
        <f t="shared" ref="J12:J22" si="0">IF(K12&lt;&gt;"","-","")</f>
        <v/>
      </c>
      <c r="K12" s="398" t="str">
        <f>IF('Sprachen &amp; Rückgabewerte'!$I$17=TRUE,'Sprachen &amp; Rückgabewerte'!$H$17,"")</f>
        <v/>
      </c>
      <c r="L12" s="398"/>
      <c r="M12" s="398"/>
      <c r="N12" s="392"/>
    </row>
    <row r="13" spans="1:14" ht="12" customHeight="1" x14ac:dyDescent="0.25">
      <c r="B13" s="393"/>
      <c r="C13" s="399"/>
      <c r="D13" s="398"/>
      <c r="E13" s="398"/>
      <c r="F13" s="398"/>
      <c r="G13" s="398"/>
      <c r="H13" s="398"/>
      <c r="I13" s="398"/>
      <c r="J13" s="402" t="str">
        <f t="shared" si="0"/>
        <v/>
      </c>
      <c r="K13" s="398" t="str">
        <f>IF('Sprachen &amp; Rückgabewerte'!$I$18=TRUE,'Sprachen &amp; Rückgabewerte'!$H$18,"")</f>
        <v/>
      </c>
      <c r="L13" s="398"/>
      <c r="M13" s="398"/>
      <c r="N13" s="392"/>
    </row>
    <row r="14" spans="1:14" ht="12" customHeight="1" x14ac:dyDescent="0.25">
      <c r="A14" s="398"/>
      <c r="B14" s="393"/>
      <c r="C14" s="399" t="str">
        <f>'Pos. 1'!$AX$14</f>
        <v>Bemerkungen:</v>
      </c>
      <c r="D14" s="398"/>
      <c r="E14" s="540" t="str">
        <f>'Pos. 1'!$AX$15</f>
        <v>-
-
-
-</v>
      </c>
      <c r="F14" s="540"/>
      <c r="G14" s="540"/>
      <c r="H14" s="540"/>
      <c r="I14" s="540"/>
      <c r="J14" s="402" t="str">
        <f t="shared" si="0"/>
        <v/>
      </c>
      <c r="K14" s="398" t="str">
        <f>IF('Sprachen &amp; Rückgabewerte'!$I$19=TRUE,'Sprachen &amp; Rückgabewerte'!$H$19,"")</f>
        <v/>
      </c>
      <c r="L14" s="398"/>
      <c r="M14" s="398"/>
      <c r="N14" s="392"/>
    </row>
    <row r="15" spans="1:14" ht="12" customHeight="1" x14ac:dyDescent="0.2">
      <c r="A15" s="398"/>
      <c r="B15" s="393"/>
      <c r="C15" s="398"/>
      <c r="D15" s="398"/>
      <c r="E15" s="540"/>
      <c r="F15" s="540"/>
      <c r="G15" s="540"/>
      <c r="H15" s="540"/>
      <c r="I15" s="540"/>
      <c r="J15" s="402" t="str">
        <f t="shared" si="0"/>
        <v/>
      </c>
      <c r="K15" s="398" t="str">
        <f>IF('Sprachen &amp; Rückgabewerte'!$I$20=TRUE,'Sprachen &amp; Rückgabewerte'!$H$20,"")</f>
        <v/>
      </c>
      <c r="L15" s="398"/>
      <c r="M15" s="404" t="str">
        <f>IF('Pos. 1'!$AM$38&gt;0,'Pos. 1'!$AM$38,"")</f>
        <v/>
      </c>
      <c r="N15" s="392"/>
    </row>
    <row r="16" spans="1:14" ht="12" customHeight="1" x14ac:dyDescent="0.2">
      <c r="A16" s="398"/>
      <c r="B16" s="393"/>
      <c r="C16" s="398"/>
      <c r="D16" s="398"/>
      <c r="E16" s="540"/>
      <c r="F16" s="540"/>
      <c r="G16" s="540"/>
      <c r="H16" s="540"/>
      <c r="I16" s="540"/>
      <c r="J16" s="402" t="str">
        <f t="shared" si="0"/>
        <v/>
      </c>
      <c r="K16" s="404" t="str">
        <f>IF('Sprachen &amp; Rückgabewerte'!$I$22=TRUE,'Pos. 1'!$AL$39,"")</f>
        <v/>
      </c>
      <c r="L16" s="398"/>
      <c r="M16" s="398"/>
      <c r="N16" s="392"/>
    </row>
    <row r="17" spans="1:16" ht="12" customHeight="1" x14ac:dyDescent="0.2">
      <c r="A17" s="398"/>
      <c r="B17" s="393"/>
      <c r="C17" s="398"/>
      <c r="D17" s="398"/>
      <c r="E17" s="540"/>
      <c r="F17" s="540"/>
      <c r="G17" s="540"/>
      <c r="H17" s="540"/>
      <c r="I17" s="540"/>
      <c r="J17" s="402" t="str">
        <f t="shared" si="0"/>
        <v/>
      </c>
      <c r="K17" s="398" t="str">
        <f>IF('Sprachen &amp; Rückgabewerte'!$I$25=TRUE,'Sprachen &amp; Rückgabewerte'!$H$25,"")</f>
        <v/>
      </c>
      <c r="L17" s="398"/>
      <c r="M17" s="398"/>
      <c r="N17" s="392"/>
    </row>
    <row r="18" spans="1:16" ht="12" customHeight="1" x14ac:dyDescent="0.2">
      <c r="A18" s="398"/>
      <c r="B18" s="393"/>
      <c r="C18" s="398"/>
      <c r="D18" s="398"/>
      <c r="E18" s="540"/>
      <c r="F18" s="540"/>
      <c r="G18" s="540"/>
      <c r="H18" s="540"/>
      <c r="I18" s="540"/>
      <c r="J18" s="402" t="str">
        <f t="shared" si="0"/>
        <v/>
      </c>
      <c r="K18" s="398" t="str">
        <f>IF('Sprachen &amp; Rückgabewerte'!$I$26=TRUE,'Sprachen &amp; Rückgabewerte'!$H$26,"")</f>
        <v/>
      </c>
      <c r="L18" s="398"/>
      <c r="M18" s="398"/>
      <c r="N18" s="392"/>
    </row>
    <row r="19" spans="1:16" ht="12" customHeight="1" x14ac:dyDescent="0.2">
      <c r="A19" s="398"/>
      <c r="B19" s="393"/>
      <c r="C19" s="398"/>
      <c r="D19" s="398"/>
      <c r="E19" s="540"/>
      <c r="F19" s="540"/>
      <c r="G19" s="540"/>
      <c r="H19" s="540"/>
      <c r="I19" s="540"/>
      <c r="J19" s="402" t="str">
        <f t="shared" si="0"/>
        <v/>
      </c>
      <c r="K19" s="398" t="str">
        <f>IF('Sprachen &amp; Rückgabewerte'!$I$27=TRUE,'Sprachen &amp; Rückgabewerte'!$H$27,"")</f>
        <v/>
      </c>
      <c r="L19" s="398"/>
      <c r="M19" s="398"/>
      <c r="N19" s="392"/>
    </row>
    <row r="20" spans="1:16" ht="12" customHeight="1" x14ac:dyDescent="0.2">
      <c r="A20" s="398"/>
      <c r="B20" s="393"/>
      <c r="C20" s="398"/>
      <c r="D20" s="398"/>
      <c r="E20" s="540"/>
      <c r="F20" s="540"/>
      <c r="G20" s="540"/>
      <c r="H20" s="540"/>
      <c r="I20" s="540"/>
      <c r="J20" s="402" t="str">
        <f t="shared" si="0"/>
        <v/>
      </c>
      <c r="K20" s="398" t="str">
        <f>IF('Sprachen &amp; Rückgabewerte'!$I$28=TRUE,'Sprachen &amp; Rückgabewerte'!$H$28,"")</f>
        <v/>
      </c>
      <c r="L20" s="398"/>
      <c r="M20" s="398"/>
      <c r="N20" s="392"/>
    </row>
    <row r="21" spans="1:16" ht="12" customHeight="1" x14ac:dyDescent="0.2">
      <c r="B21" s="393"/>
      <c r="C21" s="398"/>
      <c r="D21" s="398"/>
      <c r="E21" s="540"/>
      <c r="F21" s="540"/>
      <c r="G21" s="540"/>
      <c r="H21" s="540"/>
      <c r="I21" s="540"/>
      <c r="J21" s="402" t="str">
        <f t="shared" si="0"/>
        <v/>
      </c>
      <c r="K21" s="398" t="str">
        <f>IF('Sprachen &amp; Rückgabewerte'!$I$29=TRUE,'Sprachen &amp; Rückgabewerte'!$H$29,"")</f>
        <v/>
      </c>
      <c r="L21" s="398"/>
      <c r="M21" s="398"/>
      <c r="N21" s="392"/>
    </row>
    <row r="22" spans="1:16" ht="15" x14ac:dyDescent="0.25">
      <c r="B22" s="393"/>
      <c r="C22" s="405"/>
      <c r="E22" s="540"/>
      <c r="F22" s="540"/>
      <c r="G22" s="540"/>
      <c r="H22" s="540"/>
      <c r="I22" s="540"/>
      <c r="J22" s="402" t="str">
        <f t="shared" si="0"/>
        <v/>
      </c>
      <c r="K22" s="398" t="str">
        <f>IF('Sprachen &amp; Rückgabewerte'!$I$125=TRUE,'Sprachen &amp; Rückgabewerte'!$H$125,"")</f>
        <v/>
      </c>
      <c r="N22" s="392"/>
    </row>
    <row r="23" spans="1:16" ht="15" x14ac:dyDescent="0.25">
      <c r="B23" s="389"/>
      <c r="C23" s="390"/>
      <c r="D23" s="390"/>
      <c r="E23" s="390"/>
      <c r="F23" s="390"/>
      <c r="G23" s="390"/>
      <c r="H23" s="390"/>
      <c r="I23" s="390"/>
      <c r="J23" s="390"/>
      <c r="K23" s="390"/>
      <c r="L23" s="390"/>
      <c r="M23" s="390"/>
      <c r="N23" s="391"/>
      <c r="P23" s="406"/>
    </row>
    <row r="24" spans="1:16" ht="15" customHeight="1" x14ac:dyDescent="0.25">
      <c r="B24" s="386"/>
      <c r="C24" s="395" t="s">
        <v>907</v>
      </c>
      <c r="D24" s="387"/>
      <c r="E24" s="396" t="str">
        <f>'Pos. 2'!$AX$19</f>
        <v>Bestellformular unvollständig!</v>
      </c>
      <c r="F24" s="387"/>
      <c r="G24" s="387"/>
      <c r="H24" s="387"/>
      <c r="I24" s="387"/>
      <c r="J24" s="387"/>
      <c r="K24" s="387"/>
      <c r="L24" s="387"/>
      <c r="M24" s="387"/>
      <c r="N24" s="397" t="str">
        <f>'Pos. 2'!$BB$2</f>
        <v>0m²</v>
      </c>
    </row>
    <row r="25" spans="1:16" ht="12" customHeight="1" x14ac:dyDescent="0.2">
      <c r="B25" s="393"/>
      <c r="C25" s="398"/>
      <c r="D25" s="398"/>
      <c r="E25" s="398"/>
      <c r="F25" s="398"/>
      <c r="G25" s="398"/>
      <c r="H25" s="398"/>
      <c r="I25" s="398"/>
      <c r="J25" s="398"/>
      <c r="K25" s="398"/>
      <c r="L25" s="398"/>
      <c r="M25" s="398"/>
      <c r="N25" s="392"/>
    </row>
    <row r="26" spans="1:16" ht="12" customHeight="1" x14ac:dyDescent="0.25">
      <c r="B26" s="393"/>
      <c r="C26" s="399" t="str">
        <f>'Pos. 2'!$AH$5</f>
        <v>Pos:</v>
      </c>
      <c r="D26" s="398"/>
      <c r="E26" s="400">
        <f>'Pos. 2'!$AJ$5</f>
        <v>0</v>
      </c>
      <c r="F26" s="398"/>
      <c r="G26" s="398"/>
      <c r="H26" s="398"/>
      <c r="I26" s="398"/>
      <c r="J26" s="398"/>
      <c r="K26" s="401" t="str">
        <f>'Sprachen &amp; Rückgabewerte(2)'!$H$134</f>
        <v>Features</v>
      </c>
      <c r="L26" s="398"/>
      <c r="M26" s="398"/>
      <c r="N26" s="392"/>
    </row>
    <row r="27" spans="1:16" ht="12" customHeight="1" x14ac:dyDescent="0.25">
      <c r="B27" s="393"/>
      <c r="C27" s="399"/>
      <c r="D27" s="398"/>
      <c r="E27" s="398"/>
      <c r="F27" s="398"/>
      <c r="G27" s="398"/>
      <c r="H27" s="398"/>
      <c r="I27" s="398"/>
      <c r="J27" s="402" t="str">
        <f>IF(K27&lt;&gt;"","-","")</f>
        <v/>
      </c>
      <c r="K27" s="398" t="str">
        <f>IF('Sprachen &amp; Rückgabewerte(2)'!$I$16=TRUE,'Sprachen &amp; Rückgabewerte(2)'!$H$16,"")</f>
        <v/>
      </c>
      <c r="L27" s="398"/>
      <c r="M27" s="398"/>
      <c r="N27" s="392"/>
    </row>
    <row r="28" spans="1:16" ht="12" customHeight="1" x14ac:dyDescent="0.25">
      <c r="A28" s="398"/>
      <c r="B28" s="393"/>
      <c r="C28" s="399" t="str">
        <f>'Pos. 2'!$AH$6</f>
        <v>Stück:</v>
      </c>
      <c r="D28" s="398"/>
      <c r="E28" s="403">
        <f>'Pos. 2'!$AJ$6</f>
        <v>0</v>
      </c>
      <c r="F28" s="398"/>
      <c r="G28" s="398"/>
      <c r="H28" s="398"/>
      <c r="I28" s="398"/>
      <c r="J28" s="402" t="str">
        <f t="shared" ref="J28:J38" si="1">IF(K28&lt;&gt;"","-","")</f>
        <v/>
      </c>
      <c r="K28" s="398" t="str">
        <f>IF('Sprachen &amp; Rückgabewerte(2)'!$I$17=TRUE,'Sprachen &amp; Rückgabewerte(2)'!$H$17,"")</f>
        <v/>
      </c>
      <c r="L28" s="398"/>
      <c r="M28" s="398"/>
      <c r="N28" s="392"/>
    </row>
    <row r="29" spans="1:16" ht="12" customHeight="1" x14ac:dyDescent="0.25">
      <c r="A29" s="398"/>
      <c r="B29" s="393"/>
      <c r="C29" s="399"/>
      <c r="D29" s="398"/>
      <c r="E29" s="398"/>
      <c r="F29" s="398"/>
      <c r="G29" s="398"/>
      <c r="H29" s="398"/>
      <c r="I29" s="398"/>
      <c r="J29" s="402" t="str">
        <f t="shared" si="1"/>
        <v/>
      </c>
      <c r="K29" s="398" t="str">
        <f>IF('Sprachen &amp; Rückgabewerte(2)'!$I$18=TRUE,'Sprachen &amp; Rückgabewerte(2)'!$H$18,"")</f>
        <v/>
      </c>
      <c r="L29" s="398"/>
      <c r="M29" s="398"/>
      <c r="N29" s="392"/>
    </row>
    <row r="30" spans="1:16" ht="12" customHeight="1" x14ac:dyDescent="0.25">
      <c r="A30" s="398"/>
      <c r="B30" s="393"/>
      <c r="C30" s="399" t="str">
        <f>'Pos. 2'!$AX$14</f>
        <v>Bemerkungen:</v>
      </c>
      <c r="D30" s="398"/>
      <c r="E30" s="540" t="str">
        <f>'Pos. 2'!$AX$15</f>
        <v>-
-
-
-</v>
      </c>
      <c r="F30" s="540"/>
      <c r="G30" s="540"/>
      <c r="H30" s="540"/>
      <c r="I30" s="540"/>
      <c r="J30" s="402" t="str">
        <f t="shared" si="1"/>
        <v/>
      </c>
      <c r="K30" s="398" t="str">
        <f>IF('Sprachen &amp; Rückgabewerte(2)'!$I$19=TRUE,'Sprachen &amp; Rückgabewerte(2)'!$H$19,"")</f>
        <v/>
      </c>
      <c r="L30" s="398"/>
      <c r="M30" s="398"/>
      <c r="N30" s="392"/>
    </row>
    <row r="31" spans="1:16" ht="12" customHeight="1" x14ac:dyDescent="0.2">
      <c r="A31" s="398"/>
      <c r="B31" s="393"/>
      <c r="C31" s="398"/>
      <c r="D31" s="398"/>
      <c r="E31" s="540"/>
      <c r="F31" s="540"/>
      <c r="G31" s="540"/>
      <c r="H31" s="540"/>
      <c r="I31" s="540"/>
      <c r="J31" s="402" t="str">
        <f t="shared" si="1"/>
        <v/>
      </c>
      <c r="K31" s="398" t="str">
        <f>IF('Sprachen &amp; Rückgabewerte(2)'!$I$20=TRUE,'Sprachen &amp; Rückgabewerte(2)'!$H$20,"")</f>
        <v/>
      </c>
      <c r="L31" s="398"/>
      <c r="M31" s="404" t="str">
        <f>IF('Pos. 2'!$AM$38&gt;0,'Pos. 2'!$AM$38,"")</f>
        <v/>
      </c>
      <c r="N31" s="392"/>
    </row>
    <row r="32" spans="1:16" ht="12" customHeight="1" x14ac:dyDescent="0.2">
      <c r="A32" s="398"/>
      <c r="B32" s="393"/>
      <c r="C32" s="398"/>
      <c r="D32" s="398"/>
      <c r="E32" s="540"/>
      <c r="F32" s="540"/>
      <c r="G32" s="540"/>
      <c r="H32" s="540"/>
      <c r="I32" s="540"/>
      <c r="J32" s="402" t="str">
        <f t="shared" si="1"/>
        <v/>
      </c>
      <c r="K32" s="404" t="str">
        <f>IF('Sprachen &amp; Rückgabewerte(2)'!$I$22=TRUE,'Pos. 2'!$AL$39,"")</f>
        <v/>
      </c>
      <c r="L32" s="398"/>
      <c r="M32" s="398"/>
      <c r="N32" s="392"/>
    </row>
    <row r="33" spans="1:14" ht="12" customHeight="1" x14ac:dyDescent="0.2">
      <c r="A33" s="398"/>
      <c r="B33" s="393"/>
      <c r="C33" s="398"/>
      <c r="D33" s="398"/>
      <c r="E33" s="540"/>
      <c r="F33" s="540"/>
      <c r="G33" s="540"/>
      <c r="H33" s="540"/>
      <c r="I33" s="540"/>
      <c r="J33" s="402" t="str">
        <f t="shared" si="1"/>
        <v/>
      </c>
      <c r="K33" s="398" t="str">
        <f>IF('Sprachen &amp; Rückgabewerte(2)'!$I$25=TRUE,'Sprachen &amp; Rückgabewerte(2)'!$H$25,"")</f>
        <v/>
      </c>
      <c r="L33" s="398"/>
      <c r="M33" s="398"/>
      <c r="N33" s="392"/>
    </row>
    <row r="34" spans="1:14" ht="12" customHeight="1" x14ac:dyDescent="0.2">
      <c r="A34" s="398"/>
      <c r="B34" s="393"/>
      <c r="C34" s="398"/>
      <c r="D34" s="398"/>
      <c r="E34" s="540"/>
      <c r="F34" s="540"/>
      <c r="G34" s="540"/>
      <c r="H34" s="540"/>
      <c r="I34" s="540"/>
      <c r="J34" s="402" t="str">
        <f t="shared" si="1"/>
        <v/>
      </c>
      <c r="K34" s="398" t="str">
        <f>IF('Sprachen &amp; Rückgabewerte(2)'!$I$26=TRUE,'Sprachen &amp; Rückgabewerte(2)'!$H$26,"")</f>
        <v/>
      </c>
      <c r="L34" s="398"/>
      <c r="M34" s="398"/>
      <c r="N34" s="392"/>
    </row>
    <row r="35" spans="1:14" ht="12" customHeight="1" x14ac:dyDescent="0.2">
      <c r="B35" s="393"/>
      <c r="C35" s="398"/>
      <c r="D35" s="398"/>
      <c r="E35" s="540"/>
      <c r="F35" s="540"/>
      <c r="G35" s="540"/>
      <c r="H35" s="540"/>
      <c r="I35" s="540"/>
      <c r="J35" s="402" t="str">
        <f t="shared" si="1"/>
        <v/>
      </c>
      <c r="K35" s="398" t="str">
        <f>IF('Sprachen &amp; Rückgabewerte(2)'!$I$27=TRUE,'Sprachen &amp; Rückgabewerte(2)'!$H$27,"")</f>
        <v/>
      </c>
      <c r="L35" s="398"/>
      <c r="M35" s="398"/>
      <c r="N35" s="392"/>
    </row>
    <row r="36" spans="1:14" ht="12" customHeight="1" x14ac:dyDescent="0.2">
      <c r="B36" s="393"/>
      <c r="C36" s="398"/>
      <c r="D36" s="398"/>
      <c r="E36" s="540"/>
      <c r="F36" s="540"/>
      <c r="G36" s="540"/>
      <c r="H36" s="540"/>
      <c r="I36" s="540"/>
      <c r="J36" s="402" t="str">
        <f t="shared" si="1"/>
        <v/>
      </c>
      <c r="K36" s="398" t="str">
        <f>IF('Sprachen &amp; Rückgabewerte(2)'!$I$28=TRUE,'Sprachen &amp; Rückgabewerte(2)'!$H$28,"")</f>
        <v/>
      </c>
      <c r="L36" s="398"/>
      <c r="M36" s="398"/>
      <c r="N36" s="392"/>
    </row>
    <row r="37" spans="1:14" ht="12" customHeight="1" x14ac:dyDescent="0.2">
      <c r="B37" s="393"/>
      <c r="C37" s="398"/>
      <c r="D37" s="398"/>
      <c r="E37" s="540"/>
      <c r="F37" s="540"/>
      <c r="G37" s="540"/>
      <c r="H37" s="540"/>
      <c r="I37" s="540"/>
      <c r="J37" s="402" t="str">
        <f t="shared" si="1"/>
        <v/>
      </c>
      <c r="K37" s="398" t="str">
        <f>IF('Sprachen &amp; Rückgabewerte(2)'!$I$29=TRUE,'Sprachen &amp; Rückgabewerte(2)'!$H$29,"")</f>
        <v/>
      </c>
      <c r="L37" s="398"/>
      <c r="M37" s="398"/>
      <c r="N37" s="392"/>
    </row>
    <row r="38" spans="1:14" ht="12" customHeight="1" x14ac:dyDescent="0.25">
      <c r="B38" s="393"/>
      <c r="C38" s="405"/>
      <c r="E38" s="540"/>
      <c r="F38" s="540"/>
      <c r="G38" s="540"/>
      <c r="H38" s="540"/>
      <c r="I38" s="540"/>
      <c r="J38" s="402" t="str">
        <f t="shared" si="1"/>
        <v/>
      </c>
      <c r="K38" s="398" t="str">
        <f>IF('Sprachen &amp; Rückgabewerte(2)'!$I$125=TRUE,'Sprachen &amp; Rückgabewerte(2)'!$H$125,"")</f>
        <v/>
      </c>
      <c r="N38" s="392"/>
    </row>
    <row r="39" spans="1:14" ht="12" customHeight="1" x14ac:dyDescent="0.2">
      <c r="B39" s="389"/>
      <c r="C39" s="390"/>
      <c r="D39" s="390"/>
      <c r="E39" s="390"/>
      <c r="F39" s="390"/>
      <c r="G39" s="390"/>
      <c r="H39" s="390"/>
      <c r="I39" s="390"/>
      <c r="J39" s="390"/>
      <c r="K39" s="390"/>
      <c r="L39" s="390"/>
      <c r="M39" s="390"/>
      <c r="N39" s="391"/>
    </row>
    <row r="40" spans="1:14" ht="15" customHeight="1" x14ac:dyDescent="0.25">
      <c r="B40" s="386"/>
      <c r="C40" s="395" t="s">
        <v>908</v>
      </c>
      <c r="D40" s="387"/>
      <c r="E40" s="396" t="str">
        <f>'Pos. 3'!$AX$19</f>
        <v>Bestellformular unvollständig!</v>
      </c>
      <c r="F40" s="387"/>
      <c r="G40" s="387"/>
      <c r="H40" s="387"/>
      <c r="I40" s="387"/>
      <c r="J40" s="387"/>
      <c r="K40" s="387"/>
      <c r="L40" s="387"/>
      <c r="M40" s="387"/>
      <c r="N40" s="397" t="str">
        <f>'Pos. 3'!$BB$2</f>
        <v>0m²</v>
      </c>
    </row>
    <row r="41" spans="1:14" ht="12" customHeight="1" x14ac:dyDescent="0.2">
      <c r="B41" s="393"/>
      <c r="C41" s="398"/>
      <c r="D41" s="398"/>
      <c r="E41" s="398"/>
      <c r="F41" s="398"/>
      <c r="G41" s="398"/>
      <c r="H41" s="398"/>
      <c r="I41" s="398"/>
      <c r="J41" s="398"/>
      <c r="K41" s="398"/>
      <c r="L41" s="398"/>
      <c r="M41" s="398"/>
      <c r="N41" s="392"/>
    </row>
    <row r="42" spans="1:14" ht="12" customHeight="1" x14ac:dyDescent="0.25">
      <c r="B42" s="393"/>
      <c r="C42" s="399" t="str">
        <f>'Pos. 3'!$AH$5</f>
        <v>Pos:</v>
      </c>
      <c r="D42" s="398"/>
      <c r="E42" s="539">
        <f>'Pos. 3'!$AJ$5</f>
        <v>0</v>
      </c>
      <c r="F42" s="398"/>
      <c r="G42" s="398"/>
      <c r="H42" s="398"/>
      <c r="I42" s="398"/>
      <c r="J42" s="398"/>
      <c r="K42" s="401" t="str">
        <f>'Sprachen &amp; Rückgabewerte(3)'!$H$134</f>
        <v>Features</v>
      </c>
      <c r="L42" s="398"/>
      <c r="M42" s="398"/>
      <c r="N42" s="392"/>
    </row>
    <row r="43" spans="1:14" ht="12" customHeight="1" x14ac:dyDescent="0.25">
      <c r="B43" s="393"/>
      <c r="C43" s="399"/>
      <c r="D43" s="398"/>
      <c r="E43" s="398"/>
      <c r="F43" s="398"/>
      <c r="G43" s="398"/>
      <c r="H43" s="398"/>
      <c r="I43" s="398"/>
      <c r="J43" s="402" t="str">
        <f>IF(K43&lt;&gt;"","-","")</f>
        <v/>
      </c>
      <c r="K43" s="398" t="str">
        <f>IF('Sprachen &amp; Rückgabewerte(3)'!$I$16=TRUE,'Sprachen &amp; Rückgabewerte(3)'!$H$16,"")</f>
        <v/>
      </c>
      <c r="L43" s="398"/>
      <c r="M43" s="398"/>
      <c r="N43" s="392"/>
    </row>
    <row r="44" spans="1:14" ht="12" customHeight="1" x14ac:dyDescent="0.25">
      <c r="B44" s="393"/>
      <c r="C44" s="399" t="str">
        <f>'Pos. 3'!$AH$6</f>
        <v>Stück:</v>
      </c>
      <c r="D44" s="398"/>
      <c r="E44" s="403">
        <f>'Pos. 3'!$AJ$6</f>
        <v>0</v>
      </c>
      <c r="F44" s="398"/>
      <c r="G44" s="398"/>
      <c r="H44" s="398"/>
      <c r="I44" s="398"/>
      <c r="J44" s="402" t="str">
        <f t="shared" ref="J44:J54" si="2">IF(K44&lt;&gt;"","-","")</f>
        <v/>
      </c>
      <c r="K44" s="398" t="str">
        <f>IF('Sprachen &amp; Rückgabewerte(3)'!$I$17=TRUE,'Sprachen &amp; Rückgabewerte(3)'!$H$17,"")</f>
        <v/>
      </c>
      <c r="L44" s="398"/>
      <c r="M44" s="398"/>
      <c r="N44" s="392"/>
    </row>
    <row r="45" spans="1:14" ht="12" customHeight="1" x14ac:dyDescent="0.25">
      <c r="B45" s="393"/>
      <c r="C45" s="399"/>
      <c r="D45" s="398"/>
      <c r="E45" s="398"/>
      <c r="F45" s="398"/>
      <c r="G45" s="398"/>
      <c r="H45" s="398"/>
      <c r="I45" s="398"/>
      <c r="J45" s="402" t="str">
        <f t="shared" si="2"/>
        <v/>
      </c>
      <c r="K45" s="398" t="str">
        <f>IF('Sprachen &amp; Rückgabewerte(3)'!$I$18=TRUE,'Sprachen &amp; Rückgabewerte(3)'!$H$18,"")</f>
        <v/>
      </c>
      <c r="L45" s="398"/>
      <c r="M45" s="398"/>
      <c r="N45" s="392"/>
    </row>
    <row r="46" spans="1:14" ht="12" customHeight="1" x14ac:dyDescent="0.25">
      <c r="B46" s="393"/>
      <c r="C46" s="399" t="str">
        <f>'Pos. 3'!$AX$14</f>
        <v>Bemerkungen:</v>
      </c>
      <c r="D46" s="398"/>
      <c r="E46" s="540" t="str">
        <f>'Pos. 3'!$AX$15</f>
        <v>-
-
-
-</v>
      </c>
      <c r="F46" s="540"/>
      <c r="G46" s="540"/>
      <c r="H46" s="540"/>
      <c r="I46" s="540"/>
      <c r="J46" s="402" t="str">
        <f t="shared" si="2"/>
        <v/>
      </c>
      <c r="K46" s="398" t="str">
        <f>IF('Sprachen &amp; Rückgabewerte(3)'!$I$19=TRUE,'Sprachen &amp; Rückgabewerte(3)'!$H$19,"")</f>
        <v/>
      </c>
      <c r="L46" s="398"/>
      <c r="M46" s="398"/>
      <c r="N46" s="392"/>
    </row>
    <row r="47" spans="1:14" ht="12" customHeight="1" x14ac:dyDescent="0.2">
      <c r="B47" s="393"/>
      <c r="C47" s="398"/>
      <c r="D47" s="398"/>
      <c r="E47" s="540"/>
      <c r="F47" s="540"/>
      <c r="G47" s="540"/>
      <c r="H47" s="540"/>
      <c r="I47" s="540"/>
      <c r="J47" s="402" t="str">
        <f t="shared" si="2"/>
        <v/>
      </c>
      <c r="K47" s="398" t="str">
        <f>IF('Sprachen &amp; Rückgabewerte(3)'!$I$20=TRUE,'Sprachen &amp; Rückgabewerte(3)'!$H$20,"")</f>
        <v/>
      </c>
      <c r="L47" s="398"/>
      <c r="M47" s="404" t="str">
        <f>IF('Pos. 3'!$AM$38&gt;0,'Pos. 3'!$AM$38,"")</f>
        <v/>
      </c>
      <c r="N47" s="392"/>
    </row>
    <row r="48" spans="1:14" ht="12" customHeight="1" x14ac:dyDescent="0.2">
      <c r="B48" s="393"/>
      <c r="C48" s="398"/>
      <c r="D48" s="398"/>
      <c r="E48" s="540"/>
      <c r="F48" s="540"/>
      <c r="G48" s="540"/>
      <c r="H48" s="540"/>
      <c r="I48" s="540"/>
      <c r="J48" s="402" t="str">
        <f t="shared" si="2"/>
        <v/>
      </c>
      <c r="K48" s="404" t="str">
        <f>IF('Sprachen &amp; Rückgabewerte(3)'!$I$22=TRUE,'Pos. 3'!$AL$39,"")</f>
        <v/>
      </c>
      <c r="L48" s="398"/>
      <c r="M48" s="398"/>
      <c r="N48" s="392"/>
    </row>
    <row r="49" spans="2:14" ht="12" customHeight="1" x14ac:dyDescent="0.2">
      <c r="B49" s="393"/>
      <c r="C49" s="398"/>
      <c r="D49" s="398"/>
      <c r="E49" s="540"/>
      <c r="F49" s="540"/>
      <c r="G49" s="540"/>
      <c r="H49" s="540"/>
      <c r="I49" s="540"/>
      <c r="J49" s="402" t="str">
        <f t="shared" si="2"/>
        <v/>
      </c>
      <c r="K49" s="398" t="str">
        <f>IF('Sprachen &amp; Rückgabewerte(3)'!$I$25=TRUE,'Sprachen &amp; Rückgabewerte(3)'!$H$25,"")</f>
        <v/>
      </c>
      <c r="L49" s="398"/>
      <c r="M49" s="398"/>
      <c r="N49" s="392"/>
    </row>
    <row r="50" spans="2:14" ht="12" customHeight="1" x14ac:dyDescent="0.2">
      <c r="B50" s="393"/>
      <c r="C50" s="398"/>
      <c r="D50" s="398"/>
      <c r="E50" s="540"/>
      <c r="F50" s="540"/>
      <c r="G50" s="540"/>
      <c r="H50" s="540"/>
      <c r="I50" s="540"/>
      <c r="J50" s="402" t="str">
        <f t="shared" si="2"/>
        <v/>
      </c>
      <c r="K50" s="398" t="str">
        <f>IF('Sprachen &amp; Rückgabewerte(3)'!$I$26=TRUE,'Sprachen &amp; Rückgabewerte(3)'!$H$26,"")</f>
        <v/>
      </c>
      <c r="L50" s="398"/>
      <c r="M50" s="398"/>
      <c r="N50" s="392"/>
    </row>
    <row r="51" spans="2:14" ht="12" customHeight="1" x14ac:dyDescent="0.2">
      <c r="B51" s="393"/>
      <c r="C51" s="398"/>
      <c r="D51" s="398"/>
      <c r="E51" s="540"/>
      <c r="F51" s="540"/>
      <c r="G51" s="540"/>
      <c r="H51" s="540"/>
      <c r="I51" s="540"/>
      <c r="J51" s="402" t="str">
        <f t="shared" si="2"/>
        <v/>
      </c>
      <c r="K51" s="398" t="str">
        <f>IF('Sprachen &amp; Rückgabewerte(3)'!$I$27=TRUE,'Sprachen &amp; Rückgabewerte(3)'!$H$27,"")</f>
        <v/>
      </c>
      <c r="L51" s="398"/>
      <c r="M51" s="398"/>
      <c r="N51" s="392"/>
    </row>
    <row r="52" spans="2:14" ht="12" customHeight="1" x14ac:dyDescent="0.2">
      <c r="B52" s="393"/>
      <c r="C52" s="398"/>
      <c r="D52" s="398"/>
      <c r="E52" s="540"/>
      <c r="F52" s="540"/>
      <c r="G52" s="540"/>
      <c r="H52" s="540"/>
      <c r="I52" s="540"/>
      <c r="J52" s="402" t="str">
        <f t="shared" si="2"/>
        <v/>
      </c>
      <c r="K52" s="398" t="str">
        <f>IF('Sprachen &amp; Rückgabewerte(3)'!$I$28=TRUE,'Sprachen &amp; Rückgabewerte(3)'!$H$28,"")</f>
        <v/>
      </c>
      <c r="L52" s="398"/>
      <c r="M52" s="398"/>
      <c r="N52" s="392"/>
    </row>
    <row r="53" spans="2:14" ht="12" customHeight="1" x14ac:dyDescent="0.2">
      <c r="B53" s="393"/>
      <c r="C53" s="398"/>
      <c r="D53" s="398"/>
      <c r="E53" s="540"/>
      <c r="F53" s="540"/>
      <c r="G53" s="540"/>
      <c r="H53" s="540"/>
      <c r="I53" s="540"/>
      <c r="J53" s="402" t="str">
        <f t="shared" si="2"/>
        <v/>
      </c>
      <c r="K53" s="398" t="str">
        <f>IF('Sprachen &amp; Rückgabewerte(3)'!$I$29=TRUE,'Sprachen &amp; Rückgabewerte(3)'!$H$29,"")</f>
        <v/>
      </c>
      <c r="L53" s="398"/>
      <c r="M53" s="398"/>
      <c r="N53" s="392"/>
    </row>
    <row r="54" spans="2:14" ht="12" customHeight="1" x14ac:dyDescent="0.25">
      <c r="B54" s="393"/>
      <c r="C54" s="405"/>
      <c r="E54" s="540"/>
      <c r="F54" s="540"/>
      <c r="G54" s="540"/>
      <c r="H54" s="540"/>
      <c r="I54" s="540"/>
      <c r="J54" s="402" t="str">
        <f t="shared" si="2"/>
        <v/>
      </c>
      <c r="K54" s="398" t="str">
        <f>IF('Sprachen &amp; Rückgabewerte(3)'!$I$125=TRUE,'Sprachen &amp; Rückgabewerte(3)'!$H$125,"")</f>
        <v/>
      </c>
      <c r="N54" s="392"/>
    </row>
    <row r="55" spans="2:14" ht="12" customHeight="1" x14ac:dyDescent="0.2">
      <c r="B55" s="389"/>
      <c r="C55" s="390"/>
      <c r="D55" s="390"/>
      <c r="E55" s="390"/>
      <c r="F55" s="390"/>
      <c r="G55" s="390"/>
      <c r="H55" s="390"/>
      <c r="I55" s="390"/>
      <c r="J55" s="390"/>
      <c r="K55" s="390"/>
      <c r="L55" s="390"/>
      <c r="M55" s="390"/>
      <c r="N55" s="391"/>
    </row>
    <row r="56" spans="2:14" ht="15" customHeight="1" x14ac:dyDescent="0.25">
      <c r="B56" s="386"/>
      <c r="C56" s="395" t="s">
        <v>909</v>
      </c>
      <c r="D56" s="387"/>
      <c r="E56" s="396" t="str">
        <f>'Pos. 4'!$AX$19</f>
        <v>Bestellformular unvollständig!</v>
      </c>
      <c r="F56" s="387"/>
      <c r="G56" s="387"/>
      <c r="H56" s="387"/>
      <c r="I56" s="387"/>
      <c r="J56" s="387"/>
      <c r="K56" s="387"/>
      <c r="L56" s="387"/>
      <c r="M56" s="387"/>
      <c r="N56" s="397" t="str">
        <f>'Pos. 4'!$BB$2</f>
        <v>0m²</v>
      </c>
    </row>
    <row r="57" spans="2:14" ht="12" customHeight="1" x14ac:dyDescent="0.2">
      <c r="B57" s="393"/>
      <c r="C57" s="398"/>
      <c r="D57" s="398"/>
      <c r="E57" s="398"/>
      <c r="F57" s="398"/>
      <c r="G57" s="398"/>
      <c r="H57" s="398"/>
      <c r="I57" s="398"/>
      <c r="J57" s="398"/>
      <c r="K57" s="398"/>
      <c r="L57" s="398"/>
      <c r="M57" s="398"/>
      <c r="N57" s="392"/>
    </row>
    <row r="58" spans="2:14" ht="12" customHeight="1" x14ac:dyDescent="0.25">
      <c r="B58" s="393"/>
      <c r="C58" s="399" t="str">
        <f>'Pos. 4'!$AH$5</f>
        <v>Pos:</v>
      </c>
      <c r="D58" s="398"/>
      <c r="E58" s="539">
        <f>'Pos. 4'!$AJ$5</f>
        <v>0</v>
      </c>
      <c r="F58" s="398"/>
      <c r="G58" s="398"/>
      <c r="H58" s="398"/>
      <c r="I58" s="398"/>
      <c r="J58" s="398"/>
      <c r="K58" s="401" t="str">
        <f>'Sprachen &amp; Rückgabewerte(4)'!$H$134</f>
        <v>Features</v>
      </c>
      <c r="L58" s="398"/>
      <c r="M58" s="398"/>
      <c r="N58" s="392"/>
    </row>
    <row r="59" spans="2:14" ht="12" customHeight="1" x14ac:dyDescent="0.25">
      <c r="B59" s="393"/>
      <c r="C59" s="399"/>
      <c r="D59" s="398"/>
      <c r="E59" s="398"/>
      <c r="F59" s="398"/>
      <c r="G59" s="398"/>
      <c r="H59" s="398"/>
      <c r="I59" s="398"/>
      <c r="J59" s="402" t="str">
        <f>IF(K59&lt;&gt;"","-","")</f>
        <v/>
      </c>
      <c r="K59" s="398" t="str">
        <f>IF('Sprachen &amp; Rückgabewerte(4)'!$I$16=TRUE,'Sprachen &amp; Rückgabewerte(4)'!$H$16,"")</f>
        <v/>
      </c>
      <c r="L59" s="398"/>
      <c r="M59" s="398"/>
      <c r="N59" s="392"/>
    </row>
    <row r="60" spans="2:14" ht="12" customHeight="1" x14ac:dyDescent="0.25">
      <c r="B60" s="393"/>
      <c r="C60" s="399" t="str">
        <f>'Pos. 4'!$AH$6</f>
        <v>Stück:</v>
      </c>
      <c r="D60" s="398"/>
      <c r="E60" s="403">
        <f>'Pos. 4'!$AJ$6</f>
        <v>0</v>
      </c>
      <c r="F60" s="398"/>
      <c r="G60" s="398"/>
      <c r="H60" s="398"/>
      <c r="I60" s="398"/>
      <c r="J60" s="402" t="str">
        <f t="shared" ref="J60:J70" si="3">IF(K60&lt;&gt;"","-","")</f>
        <v/>
      </c>
      <c r="K60" s="398" t="str">
        <f>IF('Sprachen &amp; Rückgabewerte(4)'!$I$17=TRUE,'Sprachen &amp; Rückgabewerte(4)'!$H$17,"")</f>
        <v/>
      </c>
      <c r="L60" s="398"/>
      <c r="M60" s="398"/>
      <c r="N60" s="392"/>
    </row>
    <row r="61" spans="2:14" ht="12" customHeight="1" x14ac:dyDescent="0.25">
      <c r="B61" s="393"/>
      <c r="C61" s="399"/>
      <c r="D61" s="398"/>
      <c r="E61" s="398"/>
      <c r="F61" s="398"/>
      <c r="G61" s="398"/>
      <c r="H61" s="398"/>
      <c r="I61" s="398"/>
      <c r="J61" s="402" t="str">
        <f t="shared" si="3"/>
        <v/>
      </c>
      <c r="K61" s="398" t="str">
        <f>IF('Sprachen &amp; Rückgabewerte(4)'!$I$18=TRUE,'Sprachen &amp; Rückgabewerte(4)'!$H$18,"")</f>
        <v/>
      </c>
      <c r="L61" s="398"/>
      <c r="M61" s="398"/>
      <c r="N61" s="392"/>
    </row>
    <row r="62" spans="2:14" ht="12" customHeight="1" x14ac:dyDescent="0.25">
      <c r="B62" s="393"/>
      <c r="C62" s="399" t="str">
        <f>'Pos. 4'!$AX$14</f>
        <v>Bemerkungen:</v>
      </c>
      <c r="D62" s="398"/>
      <c r="E62" s="540" t="str">
        <f>'Pos. 4'!$AX$15</f>
        <v>-
-
-
-</v>
      </c>
      <c r="F62" s="540"/>
      <c r="G62" s="540"/>
      <c r="H62" s="540"/>
      <c r="I62" s="540"/>
      <c r="J62" s="402" t="str">
        <f t="shared" si="3"/>
        <v/>
      </c>
      <c r="K62" s="398" t="str">
        <f>IF('Sprachen &amp; Rückgabewerte(4)'!$I$19=TRUE,'Sprachen &amp; Rückgabewerte(4)'!$H$19,"")</f>
        <v/>
      </c>
      <c r="L62" s="398"/>
      <c r="M62" s="398"/>
      <c r="N62" s="392"/>
    </row>
    <row r="63" spans="2:14" ht="12" customHeight="1" x14ac:dyDescent="0.2">
      <c r="B63" s="393"/>
      <c r="C63" s="398"/>
      <c r="D63" s="398"/>
      <c r="E63" s="540"/>
      <c r="F63" s="540"/>
      <c r="G63" s="540"/>
      <c r="H63" s="540"/>
      <c r="I63" s="540"/>
      <c r="J63" s="402" t="str">
        <f t="shared" si="3"/>
        <v/>
      </c>
      <c r="K63" s="398" t="str">
        <f>IF('Sprachen &amp; Rückgabewerte(4)'!$I$20=TRUE,'Sprachen &amp; Rückgabewerte(4)'!$H$20,"")</f>
        <v/>
      </c>
      <c r="L63" s="398"/>
      <c r="M63" s="404" t="str">
        <f>IF('Pos. 4'!$AM$38&gt;0,'Pos. 4'!$AM$38,"")</f>
        <v/>
      </c>
      <c r="N63" s="392"/>
    </row>
    <row r="64" spans="2:14" ht="12" customHeight="1" x14ac:dyDescent="0.2">
      <c r="B64" s="393"/>
      <c r="C64" s="398"/>
      <c r="D64" s="398"/>
      <c r="E64" s="540"/>
      <c r="F64" s="540"/>
      <c r="G64" s="540"/>
      <c r="H64" s="540"/>
      <c r="I64" s="540"/>
      <c r="J64" s="402" t="str">
        <f t="shared" si="3"/>
        <v/>
      </c>
      <c r="K64" s="404" t="str">
        <f>IF('Sprachen &amp; Rückgabewerte(4)'!$I$22=TRUE,'Pos. 4'!$AL$39,"")</f>
        <v/>
      </c>
      <c r="L64" s="398"/>
      <c r="M64" s="398"/>
      <c r="N64" s="392"/>
    </row>
    <row r="65" spans="2:14" ht="12" customHeight="1" x14ac:dyDescent="0.2">
      <c r="B65" s="393"/>
      <c r="C65" s="398"/>
      <c r="D65" s="398"/>
      <c r="E65" s="540"/>
      <c r="F65" s="540"/>
      <c r="G65" s="540"/>
      <c r="H65" s="540"/>
      <c r="I65" s="540"/>
      <c r="J65" s="402" t="str">
        <f t="shared" si="3"/>
        <v/>
      </c>
      <c r="K65" s="398" t="str">
        <f>IF('Sprachen &amp; Rückgabewerte(4)'!$I$25=TRUE,'Sprachen &amp; Rückgabewerte(4)'!$H$25,"")</f>
        <v/>
      </c>
      <c r="L65" s="398"/>
      <c r="M65" s="398"/>
      <c r="N65" s="392"/>
    </row>
    <row r="66" spans="2:14" ht="12" customHeight="1" x14ac:dyDescent="0.2">
      <c r="B66" s="393"/>
      <c r="C66" s="398"/>
      <c r="D66" s="398"/>
      <c r="E66" s="540"/>
      <c r="F66" s="540"/>
      <c r="G66" s="540"/>
      <c r="H66" s="540"/>
      <c r="I66" s="540"/>
      <c r="J66" s="402" t="str">
        <f t="shared" si="3"/>
        <v/>
      </c>
      <c r="K66" s="398" t="str">
        <f>IF('Sprachen &amp; Rückgabewerte(4)'!$I$26=TRUE,'Sprachen &amp; Rückgabewerte(4)'!$H$26,"")</f>
        <v/>
      </c>
      <c r="L66" s="398"/>
      <c r="M66" s="398"/>
      <c r="N66" s="392"/>
    </row>
    <row r="67" spans="2:14" ht="12" customHeight="1" x14ac:dyDescent="0.2">
      <c r="B67" s="393"/>
      <c r="C67" s="398"/>
      <c r="D67" s="398"/>
      <c r="E67" s="540"/>
      <c r="F67" s="540"/>
      <c r="G67" s="540"/>
      <c r="H67" s="540"/>
      <c r="I67" s="540"/>
      <c r="J67" s="402" t="str">
        <f t="shared" si="3"/>
        <v/>
      </c>
      <c r="K67" s="398" t="str">
        <f>IF('Sprachen &amp; Rückgabewerte(4)'!$I$27=TRUE,'Sprachen &amp; Rückgabewerte(4)'!$H$27,"")</f>
        <v/>
      </c>
      <c r="L67" s="398"/>
      <c r="M67" s="398"/>
      <c r="N67" s="392"/>
    </row>
    <row r="68" spans="2:14" ht="12" customHeight="1" x14ac:dyDescent="0.2">
      <c r="B68" s="393"/>
      <c r="C68" s="398"/>
      <c r="D68" s="398"/>
      <c r="E68" s="540"/>
      <c r="F68" s="540"/>
      <c r="G68" s="540"/>
      <c r="H68" s="540"/>
      <c r="I68" s="540"/>
      <c r="J68" s="402" t="str">
        <f t="shared" si="3"/>
        <v/>
      </c>
      <c r="K68" s="398" t="str">
        <f>IF('Sprachen &amp; Rückgabewerte(4)'!$I$28=TRUE,'Sprachen &amp; Rückgabewerte(4)'!$H$28,"")</f>
        <v/>
      </c>
      <c r="L68" s="398"/>
      <c r="M68" s="398"/>
      <c r="N68" s="392"/>
    </row>
    <row r="69" spans="2:14" ht="12" customHeight="1" x14ac:dyDescent="0.2">
      <c r="B69" s="393"/>
      <c r="C69" s="398"/>
      <c r="D69" s="398"/>
      <c r="E69" s="540"/>
      <c r="F69" s="540"/>
      <c r="G69" s="540"/>
      <c r="H69" s="540"/>
      <c r="I69" s="540"/>
      <c r="J69" s="402" t="str">
        <f t="shared" si="3"/>
        <v/>
      </c>
      <c r="K69" s="398" t="str">
        <f>IF('Sprachen &amp; Rückgabewerte(4)'!$I$29=TRUE,'Sprachen &amp; Rückgabewerte(4)'!$H$29,"")</f>
        <v/>
      </c>
      <c r="L69" s="398"/>
      <c r="M69" s="398"/>
      <c r="N69" s="392"/>
    </row>
    <row r="70" spans="2:14" ht="12" customHeight="1" x14ac:dyDescent="0.25">
      <c r="B70" s="393"/>
      <c r="C70" s="405"/>
      <c r="E70" s="540"/>
      <c r="F70" s="540"/>
      <c r="G70" s="540"/>
      <c r="H70" s="540"/>
      <c r="I70" s="540"/>
      <c r="J70" s="402" t="str">
        <f t="shared" si="3"/>
        <v/>
      </c>
      <c r="K70" s="398" t="str">
        <f>IF('Sprachen &amp; Rückgabewerte(4)'!$I$125=TRUE,'Sprachen &amp; Rückgabewerte(4)'!$H$125,"")</f>
        <v/>
      </c>
      <c r="N70" s="392"/>
    </row>
    <row r="71" spans="2:14" ht="12" customHeight="1" x14ac:dyDescent="0.2">
      <c r="B71" s="389"/>
      <c r="C71" s="390"/>
      <c r="D71" s="390"/>
      <c r="E71" s="390"/>
      <c r="F71" s="390"/>
      <c r="G71" s="390"/>
      <c r="H71" s="390"/>
      <c r="I71" s="390"/>
      <c r="J71" s="390"/>
      <c r="K71" s="390"/>
      <c r="L71" s="390"/>
      <c r="M71" s="390"/>
      <c r="N71" s="391"/>
    </row>
    <row r="72" spans="2:14" ht="15" customHeight="1" x14ac:dyDescent="0.25">
      <c r="B72" s="386"/>
      <c r="C72" s="395" t="s">
        <v>910</v>
      </c>
      <c r="D72" s="387"/>
      <c r="E72" s="396" t="str">
        <f>'Pos. 5'!$AX$19</f>
        <v>Bestellformular unvollständig!</v>
      </c>
      <c r="F72" s="387"/>
      <c r="G72" s="387"/>
      <c r="H72" s="387"/>
      <c r="I72" s="387"/>
      <c r="J72" s="387"/>
      <c r="K72" s="387"/>
      <c r="L72" s="387"/>
      <c r="M72" s="387"/>
      <c r="N72" s="397" t="str">
        <f>'Pos. 5'!$BB$2</f>
        <v>0m²</v>
      </c>
    </row>
    <row r="73" spans="2:14" ht="12" customHeight="1" x14ac:dyDescent="0.2">
      <c r="B73" s="393"/>
      <c r="C73" s="398"/>
      <c r="D73" s="398"/>
      <c r="E73" s="398"/>
      <c r="F73" s="398"/>
      <c r="G73" s="398"/>
      <c r="H73" s="398"/>
      <c r="I73" s="398"/>
      <c r="J73" s="398"/>
      <c r="K73" s="398"/>
      <c r="L73" s="398"/>
      <c r="M73" s="398"/>
      <c r="N73" s="392"/>
    </row>
    <row r="74" spans="2:14" ht="12" customHeight="1" x14ac:dyDescent="0.25">
      <c r="B74" s="393"/>
      <c r="C74" s="399" t="str">
        <f>'Pos. 5'!$AH$5</f>
        <v>Pos:</v>
      </c>
      <c r="D74" s="398"/>
      <c r="E74" s="539">
        <f>'Pos. 5'!$AJ$5</f>
        <v>0</v>
      </c>
      <c r="F74" s="398"/>
      <c r="G74" s="398"/>
      <c r="H74" s="398"/>
      <c r="I74" s="398"/>
      <c r="J74" s="398"/>
      <c r="K74" s="401" t="str">
        <f>'Sprachen &amp; Rückgabewerte(5)'!$H$134</f>
        <v>Features</v>
      </c>
      <c r="L74" s="398"/>
      <c r="M74" s="398"/>
      <c r="N74" s="392"/>
    </row>
    <row r="75" spans="2:14" ht="12" customHeight="1" x14ac:dyDescent="0.25">
      <c r="B75" s="393"/>
      <c r="C75" s="399"/>
      <c r="D75" s="398"/>
      <c r="E75" s="398"/>
      <c r="F75" s="398"/>
      <c r="G75" s="398"/>
      <c r="H75" s="398"/>
      <c r="I75" s="398"/>
      <c r="J75" s="402" t="str">
        <f>IF(K75&lt;&gt;"","-","")</f>
        <v/>
      </c>
      <c r="K75" s="398" t="str">
        <f>IF('Sprachen &amp; Rückgabewerte(5)'!$I$16=TRUE,'Sprachen &amp; Rückgabewerte(5)'!$H$16,"")</f>
        <v/>
      </c>
      <c r="L75" s="398"/>
      <c r="M75" s="398"/>
      <c r="N75" s="392"/>
    </row>
    <row r="76" spans="2:14" ht="12" customHeight="1" x14ac:dyDescent="0.25">
      <c r="B76" s="393"/>
      <c r="C76" s="399" t="str">
        <f>'Pos. 5'!$AH$6</f>
        <v>Stück:</v>
      </c>
      <c r="D76" s="398"/>
      <c r="E76" s="403">
        <f>'Pos. 5'!$AJ$6</f>
        <v>0</v>
      </c>
      <c r="F76" s="398"/>
      <c r="G76" s="398"/>
      <c r="H76" s="398"/>
      <c r="I76" s="398"/>
      <c r="J76" s="402" t="str">
        <f t="shared" ref="J76:J86" si="4">IF(K76&lt;&gt;"","-","")</f>
        <v/>
      </c>
      <c r="K76" s="398" t="str">
        <f>IF('Sprachen &amp; Rückgabewerte(5)'!$I$17=TRUE,'Sprachen &amp; Rückgabewerte(5)'!$H$17,"")</f>
        <v/>
      </c>
      <c r="L76" s="398"/>
      <c r="M76" s="398"/>
      <c r="N76" s="392"/>
    </row>
    <row r="77" spans="2:14" ht="12" customHeight="1" x14ac:dyDescent="0.25">
      <c r="B77" s="393"/>
      <c r="C77" s="399"/>
      <c r="D77" s="398"/>
      <c r="E77" s="398"/>
      <c r="F77" s="398"/>
      <c r="G77" s="398"/>
      <c r="H77" s="398"/>
      <c r="I77" s="398"/>
      <c r="J77" s="402" t="str">
        <f t="shared" si="4"/>
        <v/>
      </c>
      <c r="K77" s="398" t="str">
        <f>IF('Sprachen &amp; Rückgabewerte(5)'!$I$18=TRUE,'Sprachen &amp; Rückgabewerte(5)'!$H$18,"")</f>
        <v/>
      </c>
      <c r="L77" s="398"/>
      <c r="M77" s="398"/>
      <c r="N77" s="392"/>
    </row>
    <row r="78" spans="2:14" ht="12" customHeight="1" x14ac:dyDescent="0.25">
      <c r="B78" s="393"/>
      <c r="C78" s="399" t="str">
        <f>'Pos. 5'!$AX$14</f>
        <v>Bemerkungen:</v>
      </c>
      <c r="D78" s="398"/>
      <c r="E78" s="540" t="str">
        <f>'Pos. 5'!$AX$15</f>
        <v>-
-
-
-</v>
      </c>
      <c r="F78" s="540"/>
      <c r="G78" s="540"/>
      <c r="H78" s="540"/>
      <c r="I78" s="540"/>
      <c r="J78" s="402" t="str">
        <f t="shared" si="4"/>
        <v/>
      </c>
      <c r="K78" s="398" t="str">
        <f>IF('Sprachen &amp; Rückgabewerte(5)'!$I$19=TRUE,'Sprachen &amp; Rückgabewerte(5)'!$H$19,"")</f>
        <v/>
      </c>
      <c r="L78" s="398"/>
      <c r="M78" s="398"/>
      <c r="N78" s="392"/>
    </row>
    <row r="79" spans="2:14" ht="12" customHeight="1" x14ac:dyDescent="0.2">
      <c r="B79" s="393"/>
      <c r="C79" s="398"/>
      <c r="D79" s="398"/>
      <c r="E79" s="540"/>
      <c r="F79" s="540"/>
      <c r="G79" s="540"/>
      <c r="H79" s="540"/>
      <c r="I79" s="540"/>
      <c r="J79" s="402" t="str">
        <f t="shared" si="4"/>
        <v/>
      </c>
      <c r="K79" s="398" t="str">
        <f>IF('Sprachen &amp; Rückgabewerte(5)'!$I$20=TRUE,'Sprachen &amp; Rückgabewerte(5)'!$H$20,"")</f>
        <v/>
      </c>
      <c r="L79" s="398"/>
      <c r="M79" s="404" t="str">
        <f>IF('Pos. 5'!$AM$38&gt;0,'Pos. 5'!$AM$38,"")</f>
        <v/>
      </c>
      <c r="N79" s="392"/>
    </row>
    <row r="80" spans="2:14" ht="12" customHeight="1" x14ac:dyDescent="0.2">
      <c r="B80" s="393"/>
      <c r="C80" s="398"/>
      <c r="D80" s="398"/>
      <c r="E80" s="540"/>
      <c r="F80" s="540"/>
      <c r="G80" s="540"/>
      <c r="H80" s="540"/>
      <c r="I80" s="540"/>
      <c r="J80" s="402" t="str">
        <f t="shared" si="4"/>
        <v/>
      </c>
      <c r="K80" s="404" t="str">
        <f>IF('Sprachen &amp; Rückgabewerte(5)'!$I$22=TRUE,'Pos. 5'!$AL$39,"")</f>
        <v/>
      </c>
      <c r="L80" s="398"/>
      <c r="M80" s="398"/>
      <c r="N80" s="392"/>
    </row>
    <row r="81" spans="2:14" ht="12" customHeight="1" x14ac:dyDescent="0.2">
      <c r="B81" s="393"/>
      <c r="C81" s="398"/>
      <c r="D81" s="398"/>
      <c r="E81" s="540"/>
      <c r="F81" s="540"/>
      <c r="G81" s="540"/>
      <c r="H81" s="540"/>
      <c r="I81" s="540"/>
      <c r="J81" s="402" t="str">
        <f t="shared" si="4"/>
        <v/>
      </c>
      <c r="K81" s="398" t="str">
        <f>IF('Sprachen &amp; Rückgabewerte(5)'!$I$25=TRUE,'Sprachen &amp; Rückgabewerte(5)'!$H$25,"")</f>
        <v/>
      </c>
      <c r="L81" s="398"/>
      <c r="M81" s="398"/>
      <c r="N81" s="392"/>
    </row>
    <row r="82" spans="2:14" ht="12" customHeight="1" x14ac:dyDescent="0.2">
      <c r="B82" s="393"/>
      <c r="C82" s="398"/>
      <c r="D82" s="398"/>
      <c r="E82" s="540"/>
      <c r="F82" s="540"/>
      <c r="G82" s="540"/>
      <c r="H82" s="540"/>
      <c r="I82" s="540"/>
      <c r="J82" s="402" t="str">
        <f t="shared" si="4"/>
        <v/>
      </c>
      <c r="K82" s="398" t="str">
        <f>IF('Sprachen &amp; Rückgabewerte(5)'!$I$26=TRUE,'Sprachen &amp; Rückgabewerte(5)'!$H$26,"")</f>
        <v/>
      </c>
      <c r="L82" s="398"/>
      <c r="M82" s="398"/>
      <c r="N82" s="392"/>
    </row>
    <row r="83" spans="2:14" ht="12" customHeight="1" x14ac:dyDescent="0.2">
      <c r="B83" s="393"/>
      <c r="C83" s="398"/>
      <c r="D83" s="398"/>
      <c r="E83" s="540"/>
      <c r="F83" s="540"/>
      <c r="G83" s="540"/>
      <c r="H83" s="540"/>
      <c r="I83" s="540"/>
      <c r="J83" s="402" t="str">
        <f t="shared" si="4"/>
        <v/>
      </c>
      <c r="K83" s="398" t="str">
        <f>IF('Sprachen &amp; Rückgabewerte(5)'!$I$27=TRUE,'Sprachen &amp; Rückgabewerte(5)'!$H$27,"")</f>
        <v/>
      </c>
      <c r="L83" s="398"/>
      <c r="M83" s="398"/>
      <c r="N83" s="392"/>
    </row>
    <row r="84" spans="2:14" ht="12" customHeight="1" x14ac:dyDescent="0.2">
      <c r="B84" s="393"/>
      <c r="C84" s="398"/>
      <c r="D84" s="398"/>
      <c r="E84" s="540"/>
      <c r="F84" s="540"/>
      <c r="G84" s="540"/>
      <c r="H84" s="540"/>
      <c r="I84" s="540"/>
      <c r="J84" s="402" t="str">
        <f t="shared" si="4"/>
        <v/>
      </c>
      <c r="K84" s="398" t="str">
        <f>IF('Sprachen &amp; Rückgabewerte(5)'!$I$28=TRUE,'Sprachen &amp; Rückgabewerte(5)'!$H$28,"")</f>
        <v/>
      </c>
      <c r="L84" s="398"/>
      <c r="M84" s="398"/>
      <c r="N84" s="392"/>
    </row>
    <row r="85" spans="2:14" ht="12" customHeight="1" x14ac:dyDescent="0.2">
      <c r="B85" s="393"/>
      <c r="C85" s="398"/>
      <c r="D85" s="398"/>
      <c r="E85" s="540"/>
      <c r="F85" s="540"/>
      <c r="G85" s="540"/>
      <c r="H85" s="540"/>
      <c r="I85" s="540"/>
      <c r="J85" s="402" t="str">
        <f t="shared" si="4"/>
        <v/>
      </c>
      <c r="K85" s="398" t="str">
        <f>IF('Sprachen &amp; Rückgabewerte(5)'!$I$29=TRUE,'Sprachen &amp; Rückgabewerte(5)'!$H$29,"")</f>
        <v/>
      </c>
      <c r="L85" s="398"/>
      <c r="M85" s="398"/>
      <c r="N85" s="392"/>
    </row>
    <row r="86" spans="2:14" ht="12" customHeight="1" x14ac:dyDescent="0.25">
      <c r="B86" s="393"/>
      <c r="C86" s="405"/>
      <c r="E86" s="540"/>
      <c r="F86" s="540"/>
      <c r="G86" s="540"/>
      <c r="H86" s="540"/>
      <c r="I86" s="540"/>
      <c r="J86" s="402" t="str">
        <f t="shared" si="4"/>
        <v/>
      </c>
      <c r="K86" s="398" t="str">
        <f>IF('Sprachen &amp; Rückgabewerte(5)'!$I$125=TRUE,'Sprachen &amp; Rückgabewerte(5)'!$H$125,"")</f>
        <v/>
      </c>
      <c r="N86" s="392"/>
    </row>
    <row r="87" spans="2:14" ht="12" customHeight="1" x14ac:dyDescent="0.2">
      <c r="B87" s="389"/>
      <c r="C87" s="390"/>
      <c r="D87" s="390"/>
      <c r="E87" s="390"/>
      <c r="F87" s="390"/>
      <c r="G87" s="390"/>
      <c r="H87" s="390"/>
      <c r="I87" s="390"/>
      <c r="J87" s="390"/>
      <c r="K87" s="390"/>
      <c r="L87" s="390"/>
      <c r="M87" s="390"/>
      <c r="N87" s="391"/>
    </row>
    <row r="88" spans="2:14" x14ac:dyDescent="0.2">
      <c r="N88" s="207" t="str">
        <f>'Pos. 1'!AT98</f>
        <v>Version 09-07-2018</v>
      </c>
    </row>
  </sheetData>
  <sheetProtection algorithmName="SHA-512" hashValue="eYmjKh5HbqDcSccdKhJxZieHZIRJPXZMgqboEy1Cw8lFx3xvJ/ndAPTzlgmhwmxcRxLg4F1dQBZKLuT92YX6aQ==" saltValue="iQcWEJKJ8lAWBdvqe0V+6g==" spinCount="100000" sheet="1" selectLockedCells="1" selectUnlockedCells="1"/>
  <mergeCells count="5">
    <mergeCell ref="E62:I70"/>
    <mergeCell ref="E78:I86"/>
    <mergeCell ref="E14:I22"/>
    <mergeCell ref="E30:I38"/>
    <mergeCell ref="E46:I54"/>
  </mergeCells>
  <pageMargins left="0.39370078740157483" right="0.31496062992125984" top="0.59055118110236227" bottom="0.39370078740157483" header="0.31496062992125984" footer="0.31496062992125984"/>
  <pageSetup paperSize="9" scale="7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erechnungen"/>
  <dimension ref="A1:AN209"/>
  <sheetViews>
    <sheetView showGridLines="0" topLeftCell="A113" zoomScale="70" zoomScaleNormal="70" workbookViewId="0">
      <selection activeCell="G120" sqref="G120"/>
    </sheetView>
  </sheetViews>
  <sheetFormatPr baseColWidth="10" defaultColWidth="11.42578125" defaultRowHeight="12.75" x14ac:dyDescent="0.2"/>
  <cols>
    <col min="1" max="1" width="19.140625" style="1" customWidth="1"/>
    <col min="2" max="2" width="16.7109375" style="1" customWidth="1"/>
    <col min="3" max="3" width="11.42578125" style="1" customWidth="1"/>
    <col min="4" max="7" width="40.7109375" style="1" customWidth="1"/>
    <col min="8" max="8" width="34.28515625" style="1" customWidth="1"/>
    <col min="9" max="9" width="30.42578125" style="1" customWidth="1"/>
    <col min="10" max="10" width="25.7109375" style="1" customWidth="1"/>
    <col min="11" max="11" width="15.5703125" style="1" customWidth="1"/>
    <col min="12" max="12" width="13.42578125" style="1" customWidth="1"/>
    <col min="13" max="13" width="16.140625" style="1" customWidth="1"/>
    <col min="14" max="17" width="11.42578125" style="1"/>
    <col min="18" max="18" width="12.5703125" style="1" customWidth="1"/>
    <col min="19" max="19" width="10.140625" style="1" customWidth="1"/>
    <col min="20" max="20" width="10.28515625" style="1" customWidth="1"/>
    <col min="21" max="21" width="21.5703125" style="1" customWidth="1"/>
    <col min="22" max="22" width="11.42578125" style="1"/>
    <col min="23" max="23" width="11.42578125" style="1" customWidth="1"/>
    <col min="24" max="26" width="11.42578125" style="1"/>
    <col min="27" max="27" width="12.28515625" style="1" customWidth="1"/>
    <col min="28" max="28" width="11.42578125" style="1"/>
    <col min="29" max="29" width="13.7109375" style="1" customWidth="1"/>
    <col min="30" max="30" width="13.5703125" style="1" customWidth="1"/>
    <col min="31" max="31" width="11.5703125" style="1" customWidth="1"/>
    <col min="32" max="33" width="11.42578125" style="1"/>
    <col min="34" max="34" width="23.7109375" style="1" customWidth="1"/>
    <col min="35" max="37" width="11.42578125" style="1"/>
    <col min="38" max="38" width="14.42578125" style="1" customWidth="1"/>
    <col min="39" max="39" width="11.42578125" style="1"/>
    <col min="40" max="40" width="13.5703125" style="1" customWidth="1"/>
    <col min="41" max="16384" width="11.42578125" style="1"/>
  </cols>
  <sheetData>
    <row r="1" spans="1:40" ht="13.5" thickBot="1" x14ac:dyDescent="0.25">
      <c r="H1" s="46" t="s">
        <v>211</v>
      </c>
      <c r="Y1" s="1" t="s">
        <v>178</v>
      </c>
      <c r="Z1" s="1" t="s">
        <v>179</v>
      </c>
      <c r="AA1" s="1" t="s">
        <v>180</v>
      </c>
      <c r="AE1" s="1" t="s">
        <v>582</v>
      </c>
      <c r="AF1" s="1" t="s">
        <v>583</v>
      </c>
      <c r="AG1" s="1" t="s">
        <v>584</v>
      </c>
      <c r="AJ1" s="3" t="str">
        <f>IF($I$125=TRUE,AE1,Y1)</f>
        <v>Ug=</v>
      </c>
      <c r="AK1" s="51" t="str">
        <f>IF($I$125=TRUE,AF1,Z1)</f>
        <v>Lt=</v>
      </c>
      <c r="AL1" s="51" t="str">
        <f>IF($I$125=TRUE,AG1,AA1)</f>
        <v>g=</v>
      </c>
    </row>
    <row r="2" spans="1:40" x14ac:dyDescent="0.2">
      <c r="B2" s="29" t="s">
        <v>175</v>
      </c>
      <c r="C2" s="30" t="s">
        <v>91</v>
      </c>
      <c r="D2" s="16" t="s">
        <v>419</v>
      </c>
      <c r="E2" s="17" t="s">
        <v>420</v>
      </c>
      <c r="F2" s="17" t="s">
        <v>421</v>
      </c>
      <c r="G2" s="18" t="s">
        <v>422</v>
      </c>
      <c r="H2" s="31" t="str">
        <f>IF($B$3=$A$3,D2,IF($B$3=$A$4,E2,IF($B$3=$A$5,F2,IF($B$3=$A$6,G2,""))))</f>
        <v>Sprache:</v>
      </c>
      <c r="I2" s="46" t="s">
        <v>191</v>
      </c>
      <c r="X2" s="34" t="s">
        <v>585</v>
      </c>
      <c r="Y2" s="50"/>
      <c r="Z2" s="50"/>
      <c r="AA2" s="50"/>
      <c r="AB2" s="50"/>
      <c r="AC2" s="39"/>
      <c r="AD2" s="34" t="s">
        <v>586</v>
      </c>
      <c r="AE2" s="50"/>
      <c r="AF2" s="50"/>
      <c r="AG2" s="50"/>
      <c r="AH2" s="39"/>
      <c r="AI2" s="34" t="s">
        <v>587</v>
      </c>
      <c r="AJ2" s="50"/>
      <c r="AK2" s="50"/>
      <c r="AL2" s="50"/>
      <c r="AM2" s="50"/>
      <c r="AN2" s="39"/>
    </row>
    <row r="3" spans="1:40" x14ac:dyDescent="0.2">
      <c r="A3" s="1">
        <v>1</v>
      </c>
      <c r="B3" s="26">
        <v>1</v>
      </c>
      <c r="C3" s="25" t="s">
        <v>92</v>
      </c>
      <c r="D3" s="19" t="s">
        <v>92</v>
      </c>
      <c r="E3" s="20" t="s">
        <v>93</v>
      </c>
      <c r="F3" s="20" t="s">
        <v>94</v>
      </c>
      <c r="G3" s="21" t="s">
        <v>95</v>
      </c>
      <c r="H3" s="31" t="str">
        <f>IF($B$3=$A$3,D3,IF($B$3=$A$4,E3,IF($B$3=$A$5,F3,IF($B$3=$A$6,G3,""))))</f>
        <v>DEUTSCH</v>
      </c>
      <c r="I3" s="41"/>
      <c r="X3" s="317" t="s">
        <v>719</v>
      </c>
      <c r="Y3" s="51">
        <v>0.5</v>
      </c>
      <c r="Z3" s="51">
        <v>73</v>
      </c>
      <c r="AA3" s="51">
        <v>54</v>
      </c>
      <c r="AB3" s="318" t="s">
        <v>740</v>
      </c>
      <c r="AC3" s="45"/>
      <c r="AD3" s="317" t="s">
        <v>719</v>
      </c>
      <c r="AE3" s="202">
        <v>0.23</v>
      </c>
      <c r="AF3" s="51">
        <v>0.41</v>
      </c>
      <c r="AG3" s="51">
        <v>0.59</v>
      </c>
      <c r="AH3" s="325" t="s">
        <v>754</v>
      </c>
      <c r="AI3" s="23" t="str">
        <f t="shared" ref="AI3:AM25" si="0">IF($I$125=TRUE,AD3,X3)</f>
        <v>SG-31</v>
      </c>
      <c r="AJ3" s="3">
        <f t="shared" si="0"/>
        <v>0.5</v>
      </c>
      <c r="AK3" s="51">
        <f t="shared" si="0"/>
        <v>73</v>
      </c>
      <c r="AL3" s="51">
        <f t="shared" si="0"/>
        <v>54</v>
      </c>
      <c r="AM3" s="51" t="str">
        <f t="shared" si="0"/>
        <v>E6/18/E6/E6</v>
      </c>
      <c r="AN3" s="45"/>
    </row>
    <row r="4" spans="1:40" x14ac:dyDescent="0.2">
      <c r="A4" s="1">
        <v>2</v>
      </c>
      <c r="B4" s="27"/>
      <c r="C4" s="22" t="s">
        <v>93</v>
      </c>
      <c r="D4" s="23" t="s">
        <v>96</v>
      </c>
      <c r="E4" s="14" t="s">
        <v>97</v>
      </c>
      <c r="F4" s="14" t="s">
        <v>98</v>
      </c>
      <c r="G4" s="15" t="s">
        <v>99</v>
      </c>
      <c r="H4" s="31" t="str">
        <f>IF($B$3=$A$3,D4,IF($B$3=$A$4,E4,IF($B$3=$A$5,F4,IF($B$3=$A$6,G4,""))))</f>
        <v>BESTELLUNG</v>
      </c>
      <c r="I4" s="41"/>
      <c r="X4" s="273" t="s">
        <v>720</v>
      </c>
      <c r="Y4" s="3">
        <v>0.6</v>
      </c>
      <c r="Z4" s="3">
        <v>72</v>
      </c>
      <c r="AA4" s="3">
        <v>53</v>
      </c>
      <c r="AB4" s="309" t="s">
        <v>741</v>
      </c>
      <c r="AC4" s="4"/>
      <c r="AD4" s="273" t="s">
        <v>720</v>
      </c>
      <c r="AE4" s="3">
        <v>0.23</v>
      </c>
      <c r="AF4" s="3">
        <v>0.4</v>
      </c>
      <c r="AG4" s="3">
        <v>0.57999999999999996</v>
      </c>
      <c r="AH4" s="310" t="s">
        <v>755</v>
      </c>
      <c r="AI4" s="2" t="str">
        <f t="shared" si="0"/>
        <v>SG-32</v>
      </c>
      <c r="AJ4" s="3">
        <f t="shared" si="0"/>
        <v>0.6</v>
      </c>
      <c r="AK4" s="3">
        <f t="shared" si="0"/>
        <v>72</v>
      </c>
      <c r="AL4" s="3">
        <f t="shared" si="0"/>
        <v>53</v>
      </c>
      <c r="AM4" s="3" t="str">
        <f t="shared" si="0"/>
        <v>E8/16/E8/14/E8</v>
      </c>
      <c r="AN4" s="4"/>
    </row>
    <row r="5" spans="1:40" x14ac:dyDescent="0.2">
      <c r="A5" s="1">
        <v>3</v>
      </c>
      <c r="B5" s="27"/>
      <c r="C5" s="22" t="s">
        <v>94</v>
      </c>
      <c r="D5" s="2" t="s">
        <v>0</v>
      </c>
      <c r="E5" s="3" t="s">
        <v>1</v>
      </c>
      <c r="F5" s="3" t="s">
        <v>101</v>
      </c>
      <c r="G5" s="4" t="s">
        <v>100</v>
      </c>
      <c r="H5" s="31" t="str">
        <f>IF($B$3=$A$3,D5,IF($B$3=$A$4,E5,IF($B$3=$A$5,F5,IF($B$3=$A$6,G5,""))))</f>
        <v>Gemäss Zeichnung Nr.:</v>
      </c>
      <c r="I5" s="41" t="b">
        <v>0</v>
      </c>
      <c r="X5" s="273" t="s">
        <v>721</v>
      </c>
      <c r="Y5" s="3">
        <v>0.6</v>
      </c>
      <c r="Z5" s="3">
        <v>73</v>
      </c>
      <c r="AA5" s="309" t="s">
        <v>823</v>
      </c>
      <c r="AB5" s="3" t="s">
        <v>742</v>
      </c>
      <c r="AC5" s="4"/>
      <c r="AD5" s="273" t="s">
        <v>721</v>
      </c>
      <c r="AE5" s="3">
        <v>0.23</v>
      </c>
      <c r="AF5" s="3">
        <v>0.41</v>
      </c>
      <c r="AG5" s="3">
        <v>0.57999999999999996</v>
      </c>
      <c r="AH5" s="310" t="s">
        <v>756</v>
      </c>
      <c r="AI5" s="2" t="str">
        <f t="shared" si="0"/>
        <v>SG-33</v>
      </c>
      <c r="AJ5" s="3">
        <f t="shared" si="0"/>
        <v>0.6</v>
      </c>
      <c r="AK5" s="3">
        <f t="shared" si="0"/>
        <v>73</v>
      </c>
      <c r="AL5" s="3" t="str">
        <f t="shared" si="0"/>
        <v>54/52</v>
      </c>
      <c r="AM5" s="3" t="str">
        <f t="shared" si="0"/>
        <v>V-W8-2/16/E6/16/E6</v>
      </c>
      <c r="AN5" s="4"/>
    </row>
    <row r="6" spans="1:40" ht="13.5" thickBot="1" x14ac:dyDescent="0.25">
      <c r="A6" s="1">
        <v>4</v>
      </c>
      <c r="B6" s="28"/>
      <c r="C6" s="24" t="s">
        <v>95</v>
      </c>
      <c r="D6" s="2" t="s">
        <v>102</v>
      </c>
      <c r="E6" s="3" t="s">
        <v>103</v>
      </c>
      <c r="F6" s="3" t="s">
        <v>104</v>
      </c>
      <c r="G6" s="4" t="s">
        <v>344</v>
      </c>
      <c r="H6" s="31" t="str">
        <f>IF($B$3=$A$3,D6,IF($B$3=$A$4,E6,IF($B$3=$A$5,F6,IF($B$3=$A$6,G6,""))))</f>
        <v>Gemäss Skizze: (Ansicht von Aussen)</v>
      </c>
      <c r="I6" s="41" t="b">
        <v>0</v>
      </c>
      <c r="X6" s="273" t="s">
        <v>723</v>
      </c>
      <c r="Y6" s="3">
        <v>0.6</v>
      </c>
      <c r="Z6" s="3">
        <v>72</v>
      </c>
      <c r="AA6" s="309" t="s">
        <v>824</v>
      </c>
      <c r="AB6" s="309" t="s">
        <v>743</v>
      </c>
      <c r="AC6" s="4"/>
      <c r="AD6" s="273" t="s">
        <v>723</v>
      </c>
      <c r="AE6" s="3">
        <v>0.23</v>
      </c>
      <c r="AF6" s="3">
        <v>0.4</v>
      </c>
      <c r="AG6" s="3">
        <v>0.56999999999999995</v>
      </c>
      <c r="AH6" s="310" t="s">
        <v>757</v>
      </c>
      <c r="AI6" s="2" t="str">
        <f t="shared" si="0"/>
        <v>SG-34</v>
      </c>
      <c r="AJ6" s="3">
        <f t="shared" si="0"/>
        <v>0.6</v>
      </c>
      <c r="AK6" s="3">
        <f t="shared" si="0"/>
        <v>72</v>
      </c>
      <c r="AL6" s="3" t="str">
        <f t="shared" si="0"/>
        <v>52/53</v>
      </c>
      <c r="AM6" s="3" t="str">
        <f t="shared" si="0"/>
        <v>V-W8-2/14/E8/14/E8</v>
      </c>
      <c r="AN6" s="4"/>
    </row>
    <row r="7" spans="1:40" ht="13.5" thickBot="1" x14ac:dyDescent="0.25">
      <c r="D7" s="2" t="s">
        <v>473</v>
      </c>
      <c r="E7" s="3" t="s">
        <v>474</v>
      </c>
      <c r="F7" s="3" t="s">
        <v>475</v>
      </c>
      <c r="G7" s="4" t="s">
        <v>476</v>
      </c>
      <c r="H7" s="31" t="str">
        <f t="shared" ref="H7:H71" si="1">IF($B$3=$A$3,D7,IF($B$3=$A$4,E7,IF($B$3=$A$5,F7,IF($B$3=$A$6,G7,""))))</f>
        <v xml:space="preserve">Objekt: </v>
      </c>
      <c r="I7" s="41"/>
      <c r="X7" s="273" t="s">
        <v>724</v>
      </c>
      <c r="Y7" s="3">
        <v>0.6</v>
      </c>
      <c r="Z7" s="3">
        <v>71</v>
      </c>
      <c r="AA7" s="3">
        <v>51</v>
      </c>
      <c r="AB7" s="309" t="s">
        <v>744</v>
      </c>
      <c r="AC7" s="4"/>
      <c r="AD7" s="273" t="s">
        <v>724</v>
      </c>
      <c r="AE7" s="3">
        <v>0.22</v>
      </c>
      <c r="AF7" s="3">
        <v>0.37</v>
      </c>
      <c r="AG7" s="3">
        <v>0.56999999999999995</v>
      </c>
      <c r="AH7" s="310" t="s">
        <v>758</v>
      </c>
      <c r="AI7" s="2" t="str">
        <f t="shared" si="0"/>
        <v>SG-35</v>
      </c>
      <c r="AJ7" s="3">
        <f t="shared" si="0"/>
        <v>0.6</v>
      </c>
      <c r="AK7" s="3">
        <f t="shared" si="0"/>
        <v>71</v>
      </c>
      <c r="AL7" s="3">
        <f t="shared" si="0"/>
        <v>51</v>
      </c>
      <c r="AM7" s="3" t="str">
        <f t="shared" si="0"/>
        <v xml:space="preserve">E6/14/V-T12-2/14/E6 </v>
      </c>
      <c r="AN7" s="4"/>
    </row>
    <row r="8" spans="1:40" x14ac:dyDescent="0.2">
      <c r="B8" s="16" t="s">
        <v>183</v>
      </c>
      <c r="C8" s="18" t="s">
        <v>187</v>
      </c>
      <c r="D8" s="2" t="s">
        <v>181</v>
      </c>
      <c r="E8" s="3" t="s">
        <v>182</v>
      </c>
      <c r="F8" s="3" t="s">
        <v>105</v>
      </c>
      <c r="G8" s="4" t="s">
        <v>106</v>
      </c>
      <c r="H8" s="31" t="str">
        <f t="shared" si="1"/>
        <v>Bestelldatum:</v>
      </c>
      <c r="I8" s="41"/>
      <c r="X8" s="273" t="s">
        <v>725</v>
      </c>
      <c r="Y8" s="3">
        <v>0.6</v>
      </c>
      <c r="Z8" s="3">
        <v>72</v>
      </c>
      <c r="AA8" s="3">
        <v>51</v>
      </c>
      <c r="AB8" s="309" t="s">
        <v>745</v>
      </c>
      <c r="AC8" s="4"/>
      <c r="AD8" s="273" t="s">
        <v>725</v>
      </c>
      <c r="AE8" s="3">
        <v>0.23</v>
      </c>
      <c r="AF8" s="3">
        <v>0.37</v>
      </c>
      <c r="AG8" s="3">
        <v>0.56999999999999995</v>
      </c>
      <c r="AH8" s="310" t="s">
        <v>759</v>
      </c>
      <c r="AI8" s="2" t="str">
        <f t="shared" si="0"/>
        <v>SG-36</v>
      </c>
      <c r="AJ8" s="3">
        <f t="shared" si="0"/>
        <v>0.6</v>
      </c>
      <c r="AK8" s="3">
        <f t="shared" si="0"/>
        <v>72</v>
      </c>
      <c r="AL8" s="3">
        <f t="shared" si="0"/>
        <v>51</v>
      </c>
      <c r="AM8" s="3" t="str">
        <f t="shared" si="0"/>
        <v>E8/14/V-W8-2/14/E8</v>
      </c>
      <c r="AN8" s="4"/>
    </row>
    <row r="9" spans="1:40" ht="13.5" thickBot="1" x14ac:dyDescent="0.25">
      <c r="B9" s="317" t="s">
        <v>868</v>
      </c>
      <c r="C9" s="363" t="s">
        <v>869</v>
      </c>
      <c r="D9" s="2" t="s">
        <v>2</v>
      </c>
      <c r="E9" s="3" t="s">
        <v>3</v>
      </c>
      <c r="F9" s="3" t="s">
        <v>4</v>
      </c>
      <c r="G9" s="4" t="s">
        <v>107</v>
      </c>
      <c r="H9" s="31" t="str">
        <f t="shared" si="1"/>
        <v>Projekt-Nr.:</v>
      </c>
      <c r="I9" s="41"/>
      <c r="X9" s="273" t="s">
        <v>726</v>
      </c>
      <c r="Y9" s="3">
        <v>0.5</v>
      </c>
      <c r="Z9" s="3">
        <v>71</v>
      </c>
      <c r="AA9" s="309" t="s">
        <v>825</v>
      </c>
      <c r="AB9" s="309" t="s">
        <v>746</v>
      </c>
      <c r="AC9" s="4"/>
      <c r="AD9" s="273" t="s">
        <v>726</v>
      </c>
      <c r="AE9" s="3">
        <v>0.22</v>
      </c>
      <c r="AF9" s="3">
        <v>0.39</v>
      </c>
      <c r="AG9" s="3">
        <v>0.56999999999999995</v>
      </c>
      <c r="AH9" s="310" t="s">
        <v>760</v>
      </c>
      <c r="AI9" s="2" t="str">
        <f t="shared" si="0"/>
        <v>SG-37</v>
      </c>
      <c r="AJ9" s="3">
        <f t="shared" si="0"/>
        <v>0.5</v>
      </c>
      <c r="AK9" s="3">
        <f t="shared" si="0"/>
        <v>71</v>
      </c>
      <c r="AL9" s="3" t="str">
        <f t="shared" si="0"/>
        <v>52/49</v>
      </c>
      <c r="AM9" s="3" t="str">
        <f t="shared" si="0"/>
        <v xml:space="preserve">V-W8-P/12/E6/12/V-T12-P </v>
      </c>
      <c r="AN9" s="4"/>
    </row>
    <row r="10" spans="1:40" x14ac:dyDescent="0.2">
      <c r="A10" s="57" t="s">
        <v>44</v>
      </c>
      <c r="B10" s="13" t="s">
        <v>184</v>
      </c>
      <c r="C10" s="36" t="s">
        <v>188</v>
      </c>
      <c r="D10" s="2" t="s">
        <v>5</v>
      </c>
      <c r="E10" s="3" t="s">
        <v>6</v>
      </c>
      <c r="F10" s="3" t="s">
        <v>7</v>
      </c>
      <c r="G10" s="4" t="s">
        <v>319</v>
      </c>
      <c r="H10" s="31" t="str">
        <f t="shared" si="1"/>
        <v>2-gleisig</v>
      </c>
      <c r="I10" s="43" t="b">
        <v>0</v>
      </c>
      <c r="X10" s="2">
        <v>0</v>
      </c>
      <c r="Y10" s="52"/>
      <c r="Z10" s="3"/>
      <c r="AA10" s="3"/>
      <c r="AB10" s="3"/>
      <c r="AC10" s="4"/>
      <c r="AD10" s="2">
        <v>0</v>
      </c>
      <c r="AE10" s="3">
        <v>0</v>
      </c>
      <c r="AF10" s="3">
        <v>0</v>
      </c>
      <c r="AG10" s="3">
        <v>0</v>
      </c>
      <c r="AH10" s="4" t="str">
        <f>$H$54</f>
        <v>Glastyp wählen</v>
      </c>
      <c r="AI10" s="2">
        <f t="shared" si="0"/>
        <v>0</v>
      </c>
      <c r="AJ10" s="3">
        <f t="shared" si="0"/>
        <v>0</v>
      </c>
      <c r="AK10" s="3">
        <f t="shared" si="0"/>
        <v>0</v>
      </c>
      <c r="AL10" s="3">
        <f t="shared" si="0"/>
        <v>0</v>
      </c>
      <c r="AM10" s="3">
        <f t="shared" si="0"/>
        <v>0</v>
      </c>
      <c r="AN10" s="4"/>
    </row>
    <row r="11" spans="1:40" x14ac:dyDescent="0.2">
      <c r="A11" s="87"/>
      <c r="B11" s="42" t="s">
        <v>185</v>
      </c>
      <c r="C11" s="37" t="s">
        <v>189</v>
      </c>
      <c r="D11" s="2" t="s">
        <v>8</v>
      </c>
      <c r="E11" s="3" t="s">
        <v>9</v>
      </c>
      <c r="F11" s="309" t="s">
        <v>816</v>
      </c>
      <c r="G11" s="4" t="s">
        <v>320</v>
      </c>
      <c r="H11" s="31" t="str">
        <f t="shared" si="1"/>
        <v>3-gleisig</v>
      </c>
      <c r="I11" s="43" t="b">
        <v>0</v>
      </c>
      <c r="X11" s="273" t="s">
        <v>727</v>
      </c>
      <c r="Y11" s="3">
        <v>0.5</v>
      </c>
      <c r="Z11" s="3">
        <v>64</v>
      </c>
      <c r="AA11" s="3">
        <v>45</v>
      </c>
      <c r="AB11" s="318" t="s">
        <v>740</v>
      </c>
      <c r="AC11" s="4"/>
      <c r="AD11" s="273" t="s">
        <v>727</v>
      </c>
      <c r="AE11" s="3">
        <v>0.23</v>
      </c>
      <c r="AF11" s="3">
        <v>0.35</v>
      </c>
      <c r="AG11" s="3">
        <v>0.52</v>
      </c>
      <c r="AH11" s="310" t="s">
        <v>761</v>
      </c>
      <c r="AI11" s="2" t="str">
        <f t="shared" si="0"/>
        <v>SG-41</v>
      </c>
      <c r="AJ11" s="3">
        <f t="shared" si="0"/>
        <v>0.5</v>
      </c>
      <c r="AK11" s="3">
        <f t="shared" si="0"/>
        <v>64</v>
      </c>
      <c r="AL11" s="3">
        <f t="shared" si="0"/>
        <v>45</v>
      </c>
      <c r="AM11" s="3" t="str">
        <f t="shared" si="0"/>
        <v>E6/18/E6/E6</v>
      </c>
      <c r="AN11" s="4"/>
    </row>
    <row r="12" spans="1:40" x14ac:dyDescent="0.2">
      <c r="A12" s="31" t="s">
        <v>177</v>
      </c>
      <c r="B12" s="42" t="s">
        <v>186</v>
      </c>
      <c r="C12" s="37" t="s">
        <v>190</v>
      </c>
      <c r="D12" s="2" t="s">
        <v>10</v>
      </c>
      <c r="E12" s="3" t="s">
        <v>11</v>
      </c>
      <c r="F12" s="309" t="s">
        <v>817</v>
      </c>
      <c r="G12" s="4" t="s">
        <v>321</v>
      </c>
      <c r="H12" s="31" t="str">
        <f t="shared" si="1"/>
        <v>4-gleisig</v>
      </c>
      <c r="I12" s="43" t="b">
        <f>IF(AND(I11=TRUE,'Pos. 1'!AT5=1),TRUE,FALSE)</f>
        <v>0</v>
      </c>
      <c r="X12" s="273" t="s">
        <v>728</v>
      </c>
      <c r="Y12" s="3">
        <v>0.6</v>
      </c>
      <c r="Z12" s="3">
        <v>63</v>
      </c>
      <c r="AA12" s="3">
        <v>45</v>
      </c>
      <c r="AB12" s="309" t="s">
        <v>741</v>
      </c>
      <c r="AC12" s="4"/>
      <c r="AD12" s="273" t="s">
        <v>728</v>
      </c>
      <c r="AE12" s="3">
        <v>0.23</v>
      </c>
      <c r="AF12" s="3">
        <v>0.34</v>
      </c>
      <c r="AG12" s="3">
        <v>0.51</v>
      </c>
      <c r="AH12" s="310" t="s">
        <v>763</v>
      </c>
      <c r="AI12" s="2" t="str">
        <f t="shared" si="0"/>
        <v>SG-42</v>
      </c>
      <c r="AJ12" s="3">
        <f t="shared" si="0"/>
        <v>0.6</v>
      </c>
      <c r="AK12" s="3">
        <f t="shared" si="0"/>
        <v>63</v>
      </c>
      <c r="AL12" s="3">
        <f t="shared" si="0"/>
        <v>45</v>
      </c>
      <c r="AM12" s="3" t="str">
        <f t="shared" si="0"/>
        <v>E8/16/E8/14/E8</v>
      </c>
      <c r="AN12" s="4"/>
    </row>
    <row r="13" spans="1:40" x14ac:dyDescent="0.2">
      <c r="A13" s="31" t="s">
        <v>222</v>
      </c>
      <c r="B13" s="105" t="s">
        <v>416</v>
      </c>
      <c r="C13" s="106" t="s">
        <v>415</v>
      </c>
      <c r="D13" s="2" t="s">
        <v>12</v>
      </c>
      <c r="E13" s="3" t="s">
        <v>13</v>
      </c>
      <c r="F13" s="3" t="s">
        <v>14</v>
      </c>
      <c r="G13" s="4" t="s">
        <v>108</v>
      </c>
      <c r="H13" s="31" t="str">
        <f t="shared" si="1"/>
        <v>Teilung Achsmasse</v>
      </c>
      <c r="I13" s="41" t="b">
        <v>0</v>
      </c>
      <c r="X13" s="273" t="s">
        <v>729</v>
      </c>
      <c r="Y13" s="3">
        <v>0.5</v>
      </c>
      <c r="Z13" s="3">
        <v>64</v>
      </c>
      <c r="AA13" s="309" t="s">
        <v>828</v>
      </c>
      <c r="AB13" s="3" t="s">
        <v>742</v>
      </c>
      <c r="AC13" s="4"/>
      <c r="AD13" s="273" t="s">
        <v>729</v>
      </c>
      <c r="AE13" s="3">
        <v>0.22</v>
      </c>
      <c r="AF13" s="3">
        <v>0.35</v>
      </c>
      <c r="AG13" s="3">
        <v>0.51</v>
      </c>
      <c r="AH13" s="310" t="s">
        <v>762</v>
      </c>
      <c r="AI13" s="2" t="str">
        <f t="shared" si="0"/>
        <v>SG-43</v>
      </c>
      <c r="AJ13" s="3">
        <f t="shared" si="0"/>
        <v>0.5</v>
      </c>
      <c r="AK13" s="3">
        <f t="shared" si="0"/>
        <v>64</v>
      </c>
      <c r="AL13" s="3" t="str">
        <f t="shared" si="0"/>
        <v>44/46</v>
      </c>
      <c r="AM13" s="3" t="str">
        <f t="shared" si="0"/>
        <v>V-W8-2/16/E6/16/E6</v>
      </c>
      <c r="AN13" s="4"/>
    </row>
    <row r="14" spans="1:40" ht="13.5" thickBot="1" x14ac:dyDescent="0.25">
      <c r="A14" s="31" t="s">
        <v>221</v>
      </c>
      <c r="B14" s="102" t="s">
        <v>417</v>
      </c>
      <c r="C14" s="38" t="s">
        <v>414</v>
      </c>
      <c r="D14" s="2" t="s">
        <v>110</v>
      </c>
      <c r="E14" s="3" t="s">
        <v>109</v>
      </c>
      <c r="F14" s="5" t="s">
        <v>15</v>
      </c>
      <c r="G14" s="59" t="s">
        <v>345</v>
      </c>
      <c r="H14" s="31" t="str">
        <f t="shared" si="1"/>
        <v>alle Gläser gleiche Breite (Empfehlung)</v>
      </c>
      <c r="I14" s="41" t="b">
        <v>0</v>
      </c>
      <c r="X14" s="273" t="s">
        <v>722</v>
      </c>
      <c r="Y14" s="3">
        <v>0.6</v>
      </c>
      <c r="Z14" s="3">
        <v>64</v>
      </c>
      <c r="AA14" s="309" t="s">
        <v>827</v>
      </c>
      <c r="AB14" s="309" t="s">
        <v>743</v>
      </c>
      <c r="AC14" s="4"/>
      <c r="AD14" s="273" t="s">
        <v>722</v>
      </c>
      <c r="AE14" s="3">
        <v>0.23</v>
      </c>
      <c r="AF14" s="3">
        <v>0.34</v>
      </c>
      <c r="AG14" s="3">
        <v>0.5</v>
      </c>
      <c r="AH14" s="310" t="s">
        <v>764</v>
      </c>
      <c r="AI14" s="2" t="str">
        <f t="shared" si="0"/>
        <v>SG-44</v>
      </c>
      <c r="AJ14" s="3">
        <f t="shared" si="0"/>
        <v>0.6</v>
      </c>
      <c r="AK14" s="3">
        <f t="shared" si="0"/>
        <v>64</v>
      </c>
      <c r="AL14" s="3" t="str">
        <f t="shared" si="0"/>
        <v>43/45</v>
      </c>
      <c r="AM14" s="3" t="str">
        <f t="shared" si="0"/>
        <v>V-W8-2/14/E8/14/E8</v>
      </c>
      <c r="AN14" s="4"/>
    </row>
    <row r="15" spans="1:40" x14ac:dyDescent="0.2">
      <c r="A15" s="31" t="s">
        <v>223</v>
      </c>
      <c r="B15" s="85" t="s">
        <v>194</v>
      </c>
      <c r="C15" s="35"/>
      <c r="D15" s="2" t="s">
        <v>16</v>
      </c>
      <c r="E15" s="3" t="s">
        <v>16</v>
      </c>
      <c r="F15" s="3" t="s">
        <v>16</v>
      </c>
      <c r="G15" s="4" t="s">
        <v>16</v>
      </c>
      <c r="H15" s="31" t="str">
        <f t="shared" si="1"/>
        <v>Standard</v>
      </c>
      <c r="I15" s="41" t="b">
        <v>0</v>
      </c>
      <c r="X15" s="273" t="s">
        <v>730</v>
      </c>
      <c r="Y15" s="3">
        <v>0.6</v>
      </c>
      <c r="Z15" s="3">
        <v>63</v>
      </c>
      <c r="AA15" s="3">
        <v>43</v>
      </c>
      <c r="AB15" s="3" t="s">
        <v>744</v>
      </c>
      <c r="AC15" s="4"/>
      <c r="AD15" s="273" t="s">
        <v>730</v>
      </c>
      <c r="AE15" s="3">
        <v>0.22</v>
      </c>
      <c r="AF15" s="3">
        <v>0.31</v>
      </c>
      <c r="AG15" s="3">
        <v>0.5</v>
      </c>
      <c r="AH15" s="310" t="s">
        <v>765</v>
      </c>
      <c r="AI15" s="2" t="str">
        <f t="shared" si="0"/>
        <v>SG-45</v>
      </c>
      <c r="AJ15" s="3">
        <f t="shared" si="0"/>
        <v>0.6</v>
      </c>
      <c r="AK15" s="3">
        <f t="shared" si="0"/>
        <v>63</v>
      </c>
      <c r="AL15" s="3">
        <f t="shared" si="0"/>
        <v>43</v>
      </c>
      <c r="AM15" s="3" t="str">
        <f t="shared" si="0"/>
        <v xml:space="preserve">E6/14/V-T12-2/14/E6 </v>
      </c>
      <c r="AN15" s="4"/>
    </row>
    <row r="16" spans="1:40" x14ac:dyDescent="0.2">
      <c r="A16" s="31" t="s">
        <v>224</v>
      </c>
      <c r="B16" s="86" t="s">
        <v>195</v>
      </c>
      <c r="C16" s="36">
        <f>IF(AND($I$20=TRUE,OR('Pos. 1'!$F$10='Sprachen &amp; Rückgabewerte'!$B$10,'Pos. 1'!$F$10='Sprachen &amp; Rückgabewerte'!$B$11)),1,0)</f>
        <v>0</v>
      </c>
      <c r="D16" s="2" t="s">
        <v>17</v>
      </c>
      <c r="E16" s="3" t="s">
        <v>18</v>
      </c>
      <c r="F16" s="3" t="s">
        <v>19</v>
      </c>
      <c r="G16" s="4" t="s">
        <v>322</v>
      </c>
      <c r="H16" s="31" t="str">
        <f t="shared" si="1"/>
        <v>Einbruchschutz RC2</v>
      </c>
      <c r="I16" s="41" t="b">
        <v>0</v>
      </c>
      <c r="X16" s="273" t="s">
        <v>731</v>
      </c>
      <c r="Y16" s="3">
        <v>0.6</v>
      </c>
      <c r="Z16" s="3">
        <v>61</v>
      </c>
      <c r="AA16" s="3">
        <v>43</v>
      </c>
      <c r="AB16" s="309" t="s">
        <v>745</v>
      </c>
      <c r="AC16" s="4"/>
      <c r="AD16" s="273" t="s">
        <v>731</v>
      </c>
      <c r="AE16" s="3">
        <v>0.23</v>
      </c>
      <c r="AF16" s="3">
        <v>0.31</v>
      </c>
      <c r="AG16" s="3">
        <v>0.5</v>
      </c>
      <c r="AH16" s="310" t="s">
        <v>766</v>
      </c>
      <c r="AI16" s="2" t="str">
        <f t="shared" si="0"/>
        <v>SG-46</v>
      </c>
      <c r="AJ16" s="3">
        <f t="shared" si="0"/>
        <v>0.6</v>
      </c>
      <c r="AK16" s="3">
        <f t="shared" si="0"/>
        <v>61</v>
      </c>
      <c r="AL16" s="3">
        <f t="shared" si="0"/>
        <v>43</v>
      </c>
      <c r="AM16" s="3" t="str">
        <f t="shared" si="0"/>
        <v>E8/14/V-W8-2/14/E8</v>
      </c>
      <c r="AN16" s="4"/>
    </row>
    <row r="17" spans="1:40" x14ac:dyDescent="0.2">
      <c r="A17" s="31" t="s">
        <v>225</v>
      </c>
      <c r="B17" s="42" t="s">
        <v>196</v>
      </c>
      <c r="C17" s="37">
        <f>IF(AND($I$20=TRUE,OR('Pos. 1'!$J$10='Sprachen &amp; Rückgabewerte'!$B$10,'Pos. 1'!$J$10='Sprachen &amp; Rückgabewerte'!$B$11)),1,0)</f>
        <v>0</v>
      </c>
      <c r="D17" s="2" t="s">
        <v>313</v>
      </c>
      <c r="E17" s="3" t="s">
        <v>20</v>
      </c>
      <c r="F17" s="3" t="s">
        <v>21</v>
      </c>
      <c r="G17" s="4" t="s">
        <v>122</v>
      </c>
      <c r="H17" s="31" t="str">
        <f t="shared" si="1"/>
        <v>Positionsüberwachung (P)</v>
      </c>
      <c r="I17" s="41" t="b">
        <v>0</v>
      </c>
      <c r="X17" s="273" t="s">
        <v>732</v>
      </c>
      <c r="Y17" s="3">
        <v>0.5</v>
      </c>
      <c r="Z17" s="3">
        <v>63</v>
      </c>
      <c r="AA17" s="309" t="s">
        <v>826</v>
      </c>
      <c r="AB17" s="309" t="s">
        <v>747</v>
      </c>
      <c r="AC17" s="4"/>
      <c r="AD17" s="273" t="s">
        <v>732</v>
      </c>
      <c r="AE17" s="3">
        <v>0.22</v>
      </c>
      <c r="AF17" s="3">
        <v>0.34</v>
      </c>
      <c r="AG17" s="3">
        <v>0.5</v>
      </c>
      <c r="AH17" s="310" t="s">
        <v>767</v>
      </c>
      <c r="AI17" s="2" t="str">
        <f t="shared" si="0"/>
        <v>SG-47</v>
      </c>
      <c r="AJ17" s="3">
        <f t="shared" si="0"/>
        <v>0.5</v>
      </c>
      <c r="AK17" s="3">
        <f t="shared" si="0"/>
        <v>63</v>
      </c>
      <c r="AL17" s="3" t="str">
        <f t="shared" si="0"/>
        <v>44/41</v>
      </c>
      <c r="AM17" s="3" t="str">
        <f t="shared" si="0"/>
        <v xml:space="preserve">V-W-8P/12/E6/12/V-T12-P </v>
      </c>
      <c r="AN17" s="4"/>
    </row>
    <row r="18" spans="1:40" x14ac:dyDescent="0.2">
      <c r="A18" s="31" t="s">
        <v>226</v>
      </c>
      <c r="B18" s="42" t="s">
        <v>197</v>
      </c>
      <c r="C18" s="37">
        <f>IF(AND($I$20=TRUE,OR('Pos. 1'!$N$10='Sprachen &amp; Rückgabewerte'!$B$10,'Pos. 1'!$N$10='Sprachen &amp; Rückgabewerte'!$B$11)),1,0)</f>
        <v>0</v>
      </c>
      <c r="D18" s="2" t="s">
        <v>314</v>
      </c>
      <c r="E18" s="3" t="s">
        <v>22</v>
      </c>
      <c r="F18" s="3" t="s">
        <v>315</v>
      </c>
      <c r="G18" s="4" t="s">
        <v>123</v>
      </c>
      <c r="H18" s="31" t="str">
        <f t="shared" si="1"/>
        <v xml:space="preserve">Riegelüberwachung (R) </v>
      </c>
      <c r="I18" s="41" t="b">
        <v>0</v>
      </c>
      <c r="X18" s="2">
        <v>0</v>
      </c>
      <c r="Y18" s="3"/>
      <c r="Z18" s="3"/>
      <c r="AA18" s="3"/>
      <c r="AB18" s="3"/>
      <c r="AC18" s="4"/>
      <c r="AD18" s="2">
        <v>0</v>
      </c>
      <c r="AE18" s="3">
        <v>0</v>
      </c>
      <c r="AF18" s="3">
        <v>0</v>
      </c>
      <c r="AG18" s="3">
        <v>0</v>
      </c>
      <c r="AH18" s="4" t="str">
        <f>$H$54</f>
        <v>Glastyp wählen</v>
      </c>
      <c r="AI18" s="2">
        <f t="shared" si="0"/>
        <v>0</v>
      </c>
      <c r="AJ18" s="3">
        <f t="shared" si="0"/>
        <v>0</v>
      </c>
      <c r="AK18" s="3">
        <f t="shared" si="0"/>
        <v>0</v>
      </c>
      <c r="AL18" s="3">
        <f t="shared" si="0"/>
        <v>0</v>
      </c>
      <c r="AM18" s="3">
        <f t="shared" si="0"/>
        <v>0</v>
      </c>
      <c r="AN18" s="4"/>
    </row>
    <row r="19" spans="1:40" x14ac:dyDescent="0.2">
      <c r="A19" s="31"/>
      <c r="B19" s="42" t="s">
        <v>198</v>
      </c>
      <c r="C19" s="37">
        <f>IF(AND($I$20=TRUE,OR('Pos. 1'!$R$10='Sprachen &amp; Rückgabewerte'!$B$10,'Pos. 1'!$R$10='Sprachen &amp; Rückgabewerte'!$B$11)),1,0)</f>
        <v>0</v>
      </c>
      <c r="D19" s="2" t="s">
        <v>316</v>
      </c>
      <c r="E19" s="3" t="s">
        <v>23</v>
      </c>
      <c r="F19" s="3" t="s">
        <v>24</v>
      </c>
      <c r="G19" s="4" t="s">
        <v>121</v>
      </c>
      <c r="H19" s="31" t="str">
        <f t="shared" si="1"/>
        <v>Glasbruchüberwachung (G)</v>
      </c>
      <c r="I19" s="41" t="b">
        <v>0</v>
      </c>
      <c r="X19" s="273" t="s">
        <v>733</v>
      </c>
      <c r="Y19" s="3">
        <v>0.5</v>
      </c>
      <c r="Z19" s="3">
        <v>55</v>
      </c>
      <c r="AA19" s="3">
        <v>33</v>
      </c>
      <c r="AB19" s="318" t="s">
        <v>740</v>
      </c>
      <c r="AC19" s="4"/>
      <c r="AD19" s="273" t="s">
        <v>733</v>
      </c>
      <c r="AE19" s="3">
        <v>0.23</v>
      </c>
      <c r="AF19" s="3">
        <v>0.28999999999999998</v>
      </c>
      <c r="AG19" s="3">
        <v>0.46</v>
      </c>
      <c r="AH19" s="310" t="s">
        <v>768</v>
      </c>
      <c r="AI19" s="2" t="str">
        <f t="shared" si="0"/>
        <v>SG-51</v>
      </c>
      <c r="AJ19" s="3">
        <f t="shared" si="0"/>
        <v>0.5</v>
      </c>
      <c r="AK19" s="3">
        <f t="shared" si="0"/>
        <v>55</v>
      </c>
      <c r="AL19" s="3">
        <f t="shared" si="0"/>
        <v>33</v>
      </c>
      <c r="AM19" s="3" t="str">
        <f t="shared" si="0"/>
        <v>E6/18/E6/E6</v>
      </c>
      <c r="AN19" s="4"/>
    </row>
    <row r="20" spans="1:40" x14ac:dyDescent="0.2">
      <c r="A20" s="31" t="s">
        <v>227</v>
      </c>
      <c r="B20" s="42" t="s">
        <v>199</v>
      </c>
      <c r="C20" s="37">
        <f>IF(AND($I$20=TRUE,OR('Pos. 1'!$V$10='Sprachen &amp; Rückgabewerte'!$B$10,'Pos. 1'!$V$10='Sprachen &amp; Rückgabewerte'!$B$11)),1,0)</f>
        <v>0</v>
      </c>
      <c r="D20" s="2" t="s">
        <v>25</v>
      </c>
      <c r="E20" s="3" t="s">
        <v>192</v>
      </c>
      <c r="F20" s="3" t="s">
        <v>26</v>
      </c>
      <c r="G20" s="4" t="s">
        <v>124</v>
      </c>
      <c r="H20" s="31" t="str">
        <f t="shared" si="1"/>
        <v>Elektrischer Antrieb, Anzahl</v>
      </c>
      <c r="I20" s="41" t="b">
        <v>0</v>
      </c>
      <c r="X20" s="273" t="s">
        <v>734</v>
      </c>
      <c r="Y20" s="3">
        <v>0.6</v>
      </c>
      <c r="Z20" s="3">
        <v>54</v>
      </c>
      <c r="AA20" s="3">
        <v>33</v>
      </c>
      <c r="AB20" s="309" t="s">
        <v>741</v>
      </c>
      <c r="AC20" s="4"/>
      <c r="AD20" s="273" t="s">
        <v>734</v>
      </c>
      <c r="AE20" s="3">
        <v>0.23</v>
      </c>
      <c r="AF20" s="3">
        <v>0.28000000000000003</v>
      </c>
      <c r="AG20" s="3">
        <v>0.46</v>
      </c>
      <c r="AH20" s="310" t="s">
        <v>769</v>
      </c>
      <c r="AI20" s="2" t="str">
        <f t="shared" si="0"/>
        <v>SG-52</v>
      </c>
      <c r="AJ20" s="3">
        <f t="shared" si="0"/>
        <v>0.6</v>
      </c>
      <c r="AK20" s="3">
        <f t="shared" si="0"/>
        <v>54</v>
      </c>
      <c r="AL20" s="3">
        <f t="shared" si="0"/>
        <v>33</v>
      </c>
      <c r="AM20" s="3" t="str">
        <f t="shared" si="0"/>
        <v>E8/16/E8/14/E8</v>
      </c>
      <c r="AN20" s="4"/>
    </row>
    <row r="21" spans="1:40" x14ac:dyDescent="0.2">
      <c r="A21" s="31" t="s">
        <v>228</v>
      </c>
      <c r="B21" s="42" t="s">
        <v>200</v>
      </c>
      <c r="C21" s="37">
        <f>IF(AND($I$20=TRUE,OR('Pos. 1'!$Z$10='Sprachen &amp; Rückgabewerte'!$B$10,'Pos. 1'!$Z$10='Sprachen &amp; Rückgabewerte'!$B$11)),1,0)</f>
        <v>0</v>
      </c>
      <c r="D21" s="2" t="s">
        <v>27</v>
      </c>
      <c r="E21" s="309" t="s">
        <v>692</v>
      </c>
      <c r="F21" s="3" t="s">
        <v>28</v>
      </c>
      <c r="G21" s="4" t="s">
        <v>125</v>
      </c>
      <c r="H21" s="31" t="str">
        <f t="shared" si="1"/>
        <v>Stk.</v>
      </c>
      <c r="I21" s="41"/>
      <c r="X21" s="273" t="s">
        <v>735</v>
      </c>
      <c r="Y21" s="3">
        <v>0.5</v>
      </c>
      <c r="Z21" s="3">
        <v>55</v>
      </c>
      <c r="AA21" s="309" t="s">
        <v>831</v>
      </c>
      <c r="AB21" s="3" t="s">
        <v>742</v>
      </c>
      <c r="AC21" s="4"/>
      <c r="AD21" s="273" t="s">
        <v>735</v>
      </c>
      <c r="AE21" s="3">
        <v>0.23</v>
      </c>
      <c r="AF21" s="3">
        <v>0.28999999999999998</v>
      </c>
      <c r="AG21" s="3">
        <v>0.45</v>
      </c>
      <c r="AH21" s="310" t="s">
        <v>770</v>
      </c>
      <c r="AI21" s="2" t="str">
        <f t="shared" si="0"/>
        <v>SG-53</v>
      </c>
      <c r="AJ21" s="3">
        <f t="shared" si="0"/>
        <v>0.5</v>
      </c>
      <c r="AK21" s="3">
        <f t="shared" si="0"/>
        <v>55</v>
      </c>
      <c r="AL21" s="3" t="str">
        <f t="shared" si="0"/>
        <v>32/34</v>
      </c>
      <c r="AM21" s="3" t="str">
        <f t="shared" si="0"/>
        <v>V-W8-2/16/E6/16/E6</v>
      </c>
      <c r="AN21" s="4"/>
    </row>
    <row r="22" spans="1:40" x14ac:dyDescent="0.2">
      <c r="A22" s="31"/>
      <c r="B22" s="42" t="s">
        <v>201</v>
      </c>
      <c r="C22" s="37">
        <f>IF(AND($I$20=TRUE,OR('Pos. 1'!$AD$10='Sprachen &amp; Rückgabewerte'!$B$10,'Pos. 1'!$AD$10='Sprachen &amp; Rückgabewerte'!$B$11)),1,0)</f>
        <v>0</v>
      </c>
      <c r="D22" s="2" t="s">
        <v>29</v>
      </c>
      <c r="E22" s="3" t="s">
        <v>312</v>
      </c>
      <c r="F22" s="3" t="s">
        <v>311</v>
      </c>
      <c r="G22" s="4" t="s">
        <v>468</v>
      </c>
      <c r="H22" s="31" t="str">
        <f t="shared" si="1"/>
        <v>geforderte Klassen:</v>
      </c>
      <c r="I22" s="41" t="b">
        <v>0</v>
      </c>
      <c r="X22" s="273" t="s">
        <v>736</v>
      </c>
      <c r="Y22" s="3">
        <v>0.6</v>
      </c>
      <c r="Z22" s="3">
        <v>54</v>
      </c>
      <c r="AA22" s="309" t="s">
        <v>830</v>
      </c>
      <c r="AB22" s="309" t="s">
        <v>743</v>
      </c>
      <c r="AC22" s="4"/>
      <c r="AD22" s="273" t="s">
        <v>736</v>
      </c>
      <c r="AE22" s="3">
        <v>0.23</v>
      </c>
      <c r="AF22" s="3">
        <v>0.28000000000000003</v>
      </c>
      <c r="AG22" s="3">
        <v>0.45</v>
      </c>
      <c r="AH22" s="310" t="s">
        <v>771</v>
      </c>
      <c r="AI22" s="2" t="str">
        <f t="shared" si="0"/>
        <v>SG-54</v>
      </c>
      <c r="AJ22" s="3">
        <f t="shared" si="0"/>
        <v>0.6</v>
      </c>
      <c r="AK22" s="3">
        <f t="shared" si="0"/>
        <v>54</v>
      </c>
      <c r="AL22" s="3" t="str">
        <f t="shared" si="0"/>
        <v>31/33</v>
      </c>
      <c r="AM22" s="3" t="str">
        <f t="shared" si="0"/>
        <v>V-W8-2/14/E8/14/E8</v>
      </c>
      <c r="AN22" s="4"/>
    </row>
    <row r="23" spans="1:40" x14ac:dyDescent="0.2">
      <c r="A23" s="55">
        <v>1</v>
      </c>
      <c r="B23" s="42" t="s">
        <v>202</v>
      </c>
      <c r="C23" s="37">
        <f>IF(AND($I$20=TRUE,OR('Pos. 1'!$AH$10='Sprachen &amp; Rückgabewerte'!$B$10,'Pos. 1'!$AH$10='Sprachen &amp; Rückgabewerte'!$B$11)),1,0)</f>
        <v>0</v>
      </c>
      <c r="D23" s="6" t="s">
        <v>118</v>
      </c>
      <c r="E23" s="7" t="s">
        <v>119</v>
      </c>
      <c r="F23" s="7" t="s">
        <v>120</v>
      </c>
      <c r="G23" s="8" t="s">
        <v>323</v>
      </c>
      <c r="H23" s="31" t="str">
        <f t="shared" si="1"/>
        <v>(Schlagregen, Luftdurchlässigkeit)</v>
      </c>
      <c r="I23" s="41"/>
      <c r="X23" s="273" t="s">
        <v>737</v>
      </c>
      <c r="Y23" s="3">
        <v>0.6</v>
      </c>
      <c r="Z23" s="3">
        <v>53</v>
      </c>
      <c r="AA23" s="3">
        <v>25</v>
      </c>
      <c r="AB23" s="3" t="s">
        <v>744</v>
      </c>
      <c r="AC23" s="4"/>
      <c r="AD23" s="273" t="s">
        <v>737</v>
      </c>
      <c r="AE23" s="3">
        <v>0.22</v>
      </c>
      <c r="AF23" s="3">
        <v>0.23</v>
      </c>
      <c r="AG23" s="3">
        <v>0.45</v>
      </c>
      <c r="AH23" s="310" t="s">
        <v>772</v>
      </c>
      <c r="AI23" s="2" t="str">
        <f t="shared" si="0"/>
        <v>SG-55</v>
      </c>
      <c r="AJ23" s="3">
        <f t="shared" si="0"/>
        <v>0.6</v>
      </c>
      <c r="AK23" s="3">
        <f t="shared" si="0"/>
        <v>53</v>
      </c>
      <c r="AL23" s="3">
        <f t="shared" si="0"/>
        <v>25</v>
      </c>
      <c r="AM23" s="3" t="str">
        <f t="shared" si="0"/>
        <v xml:space="preserve">E6/14/V-T12-2/14/E6 </v>
      </c>
      <c r="AN23" s="4"/>
    </row>
    <row r="24" spans="1:40" ht="13.5" thickBot="1" x14ac:dyDescent="0.25">
      <c r="A24" s="56">
        <v>2</v>
      </c>
      <c r="B24" s="42" t="s">
        <v>203</v>
      </c>
      <c r="C24" s="37">
        <f>IF(AND($I$20=TRUE,OR('Pos. 1'!$AL$10='Sprachen &amp; Rückgabewerte'!$B$10,'Pos. 1'!$AL$10='Sprachen &amp; Rückgabewerte'!$B$11)),1,0)</f>
        <v>0</v>
      </c>
      <c r="D24" s="2" t="s">
        <v>111</v>
      </c>
      <c r="E24" s="3" t="s">
        <v>112</v>
      </c>
      <c r="F24" s="3" t="s">
        <v>113</v>
      </c>
      <c r="G24" s="4" t="s">
        <v>114</v>
      </c>
      <c r="H24" s="31" t="str">
        <f t="shared" si="1"/>
        <v>Speziell:</v>
      </c>
      <c r="I24" s="41"/>
      <c r="X24" s="273" t="s">
        <v>738</v>
      </c>
      <c r="Y24" s="3">
        <v>0.6</v>
      </c>
      <c r="Z24" s="3">
        <v>54</v>
      </c>
      <c r="AA24" s="3">
        <v>26</v>
      </c>
      <c r="AB24" s="309" t="s">
        <v>745</v>
      </c>
      <c r="AC24" s="4"/>
      <c r="AD24" s="273" t="s">
        <v>738</v>
      </c>
      <c r="AE24" s="3">
        <v>0.23</v>
      </c>
      <c r="AF24" s="3">
        <v>0.23</v>
      </c>
      <c r="AG24" s="3">
        <v>0.45</v>
      </c>
      <c r="AH24" s="310" t="s">
        <v>773</v>
      </c>
      <c r="AI24" s="2" t="str">
        <f t="shared" si="0"/>
        <v>SG-56</v>
      </c>
      <c r="AJ24" s="3">
        <f t="shared" si="0"/>
        <v>0.6</v>
      </c>
      <c r="AK24" s="3">
        <f t="shared" si="0"/>
        <v>54</v>
      </c>
      <c r="AL24" s="3">
        <f t="shared" si="0"/>
        <v>26</v>
      </c>
      <c r="AM24" s="3" t="str">
        <f t="shared" si="0"/>
        <v>E8/14/V-W8-2/14/E8</v>
      </c>
      <c r="AN24" s="4"/>
    </row>
    <row r="25" spans="1:40" ht="13.5" thickBot="1" x14ac:dyDescent="0.25">
      <c r="B25" s="32" t="s">
        <v>204</v>
      </c>
      <c r="C25" s="38">
        <f>IF(AND($I$20=TRUE,OR('Pos. 1'!$AP$10='Sprachen &amp; Rückgabewerte'!$B$10,'Pos. 1'!$AP$10='Sprachen &amp; Rückgabewerte'!$B$11)),1,0)</f>
        <v>0</v>
      </c>
      <c r="D25" s="2" t="s">
        <v>30</v>
      </c>
      <c r="E25" s="309" t="s">
        <v>30</v>
      </c>
      <c r="F25" s="3" t="s">
        <v>30</v>
      </c>
      <c r="G25" s="4" t="s">
        <v>30</v>
      </c>
      <c r="H25" s="31" t="str">
        <f t="shared" si="1"/>
        <v>Pool</v>
      </c>
      <c r="I25" s="41" t="b">
        <v>0</v>
      </c>
      <c r="X25" s="273" t="s">
        <v>739</v>
      </c>
      <c r="Y25" s="3">
        <v>0.5</v>
      </c>
      <c r="Z25" s="3">
        <v>53</v>
      </c>
      <c r="AA25" s="309" t="s">
        <v>829</v>
      </c>
      <c r="AB25" s="309" t="s">
        <v>747</v>
      </c>
      <c r="AC25" s="4"/>
      <c r="AD25" s="273" t="s">
        <v>739</v>
      </c>
      <c r="AE25" s="3">
        <v>0.22</v>
      </c>
      <c r="AF25" s="3">
        <v>0.28000000000000003</v>
      </c>
      <c r="AG25" s="3">
        <v>0.45</v>
      </c>
      <c r="AH25" s="310" t="s">
        <v>774</v>
      </c>
      <c r="AI25" s="226" t="str">
        <f t="shared" si="0"/>
        <v>SG-57</v>
      </c>
      <c r="AJ25" s="227">
        <f t="shared" si="0"/>
        <v>0.5</v>
      </c>
      <c r="AK25" s="227">
        <f t="shared" si="0"/>
        <v>53</v>
      </c>
      <c r="AL25" s="227" t="str">
        <f t="shared" si="0"/>
        <v>32/31</v>
      </c>
      <c r="AM25" s="227" t="str">
        <f t="shared" si="0"/>
        <v xml:space="preserve">V-W-8P/12/E6/12/V-T12-P </v>
      </c>
      <c r="AN25" s="228"/>
    </row>
    <row r="26" spans="1:40" ht="13.5" thickBot="1" x14ac:dyDescent="0.25">
      <c r="D26" s="2" t="s">
        <v>115</v>
      </c>
      <c r="E26" s="309" t="s">
        <v>707</v>
      </c>
      <c r="F26" s="309" t="s">
        <v>708</v>
      </c>
      <c r="G26" s="4" t="s">
        <v>324</v>
      </c>
      <c r="H26" s="31" t="str">
        <f t="shared" si="1"/>
        <v>Schallschutz</v>
      </c>
      <c r="I26" s="41" t="b">
        <v>0</v>
      </c>
      <c r="X26" s="2">
        <v>0</v>
      </c>
      <c r="Y26" s="3">
        <v>0</v>
      </c>
      <c r="Z26" s="3">
        <v>0</v>
      </c>
      <c r="AA26" s="3">
        <v>0</v>
      </c>
      <c r="AB26" s="3" t="str">
        <f>$H$54</f>
        <v>Glastyp wählen</v>
      </c>
      <c r="AC26" s="4"/>
      <c r="AD26" s="222">
        <v>0</v>
      </c>
      <c r="AE26" s="223">
        <v>0</v>
      </c>
      <c r="AF26" s="223">
        <v>0</v>
      </c>
      <c r="AG26" s="223">
        <v>0</v>
      </c>
      <c r="AH26" s="4" t="str">
        <f>$H$54</f>
        <v>Glastyp wählen</v>
      </c>
      <c r="AI26" s="2">
        <f t="shared" ref="AI26:AI35" si="2">IF($I$125=TRUE,AD26,X26)</f>
        <v>0</v>
      </c>
      <c r="AJ26" s="3">
        <f t="shared" ref="AJ26:AJ35" si="3">IF($I$125=TRUE,AE26,Y26)</f>
        <v>0</v>
      </c>
      <c r="AK26" s="3">
        <f t="shared" ref="AK26:AK35" si="4">IF($I$125=TRUE,AF26,Z26)</f>
        <v>0</v>
      </c>
      <c r="AL26" s="3">
        <f t="shared" ref="AL26:AL35" si="5">IF($I$125=TRUE,AG26,AA26)</f>
        <v>0</v>
      </c>
      <c r="AM26" s="3" t="str">
        <f t="shared" ref="AM26:AM35" si="6">IF($I$125=TRUE,AH26,AB26)</f>
        <v>Glastyp wählen</v>
      </c>
      <c r="AN26" s="4"/>
    </row>
    <row r="27" spans="1:40" x14ac:dyDescent="0.2">
      <c r="A27" s="57" t="s">
        <v>885</v>
      </c>
      <c r="B27" s="34" t="s">
        <v>205</v>
      </c>
      <c r="C27" s="39"/>
      <c r="D27" s="2" t="s">
        <v>116</v>
      </c>
      <c r="E27" s="3" t="s">
        <v>116</v>
      </c>
      <c r="F27" s="3" t="s">
        <v>116</v>
      </c>
      <c r="G27" s="4" t="s">
        <v>116</v>
      </c>
      <c r="H27" s="31" t="str">
        <f t="shared" si="1"/>
        <v>MINERGIE Modul</v>
      </c>
      <c r="I27" s="41" t="b">
        <v>0</v>
      </c>
      <c r="X27" s="273" t="s">
        <v>789</v>
      </c>
      <c r="Y27" s="3">
        <v>1.1000000000000001</v>
      </c>
      <c r="Z27" s="3">
        <v>79</v>
      </c>
      <c r="AA27" s="3">
        <v>61</v>
      </c>
      <c r="AB27" s="309" t="s">
        <v>805</v>
      </c>
      <c r="AC27" s="4"/>
      <c r="AD27" s="326" t="s">
        <v>775</v>
      </c>
      <c r="AE27" s="223">
        <v>0.23</v>
      </c>
      <c r="AF27" s="223">
        <v>0.26</v>
      </c>
      <c r="AG27" s="223">
        <v>0.38</v>
      </c>
      <c r="AH27" s="310" t="s">
        <v>776</v>
      </c>
      <c r="AI27" s="2" t="str">
        <f t="shared" si="2"/>
        <v>SG-61</v>
      </c>
      <c r="AJ27" s="3">
        <f t="shared" si="3"/>
        <v>1.1000000000000001</v>
      </c>
      <c r="AK27" s="3">
        <f t="shared" si="4"/>
        <v>79</v>
      </c>
      <c r="AL27" s="3">
        <f t="shared" si="5"/>
        <v>61</v>
      </c>
      <c r="AM27" s="3" t="str">
        <f t="shared" si="6"/>
        <v>E10/18/E10</v>
      </c>
      <c r="AN27" s="4"/>
    </row>
    <row r="28" spans="1:40" x14ac:dyDescent="0.2">
      <c r="A28" s="367"/>
      <c r="B28" s="23" t="s">
        <v>206</v>
      </c>
      <c r="C28" s="40" t="str">
        <f>IF($I$17=TRUE,"P","")</f>
        <v/>
      </c>
      <c r="D28" s="2" t="s">
        <v>117</v>
      </c>
      <c r="E28" s="3" t="s">
        <v>117</v>
      </c>
      <c r="F28" s="3" t="s">
        <v>117</v>
      </c>
      <c r="G28" s="4" t="s">
        <v>117</v>
      </c>
      <c r="H28" s="31" t="str">
        <f t="shared" si="1"/>
        <v>MINERGIE-P Modul</v>
      </c>
      <c r="I28" s="41" t="b">
        <v>0</v>
      </c>
      <c r="X28" s="273" t="s">
        <v>791</v>
      </c>
      <c r="Y28" s="3">
        <v>1.1000000000000001</v>
      </c>
      <c r="Z28" s="3">
        <v>77</v>
      </c>
      <c r="AA28" s="3">
        <v>61</v>
      </c>
      <c r="AB28" s="309" t="s">
        <v>806</v>
      </c>
      <c r="AC28" s="4"/>
      <c r="AD28" s="326" t="s">
        <v>777</v>
      </c>
      <c r="AE28" s="223">
        <v>0.23</v>
      </c>
      <c r="AF28" s="223">
        <v>0.26</v>
      </c>
      <c r="AG28" s="223">
        <v>0.37</v>
      </c>
      <c r="AH28" s="310" t="s">
        <v>778</v>
      </c>
      <c r="AI28" s="2" t="str">
        <f t="shared" si="2"/>
        <v>SG-62</v>
      </c>
      <c r="AJ28" s="3">
        <f t="shared" si="3"/>
        <v>1.1000000000000001</v>
      </c>
      <c r="AK28" s="3">
        <f t="shared" si="4"/>
        <v>77</v>
      </c>
      <c r="AL28" s="3">
        <f t="shared" si="5"/>
        <v>61</v>
      </c>
      <c r="AM28" s="3" t="str">
        <f t="shared" si="6"/>
        <v>E10/14/V-W16-2</v>
      </c>
      <c r="AN28" s="4"/>
    </row>
    <row r="29" spans="1:40" x14ac:dyDescent="0.2">
      <c r="A29" s="368" t="s">
        <v>886</v>
      </c>
      <c r="B29" s="2" t="s">
        <v>207</v>
      </c>
      <c r="C29" s="37" t="str">
        <f>IF($I$18=TRUE,"R","")</f>
        <v/>
      </c>
      <c r="D29" s="273" t="s">
        <v>709</v>
      </c>
      <c r="E29" s="309" t="s">
        <v>709</v>
      </c>
      <c r="F29" s="309" t="s">
        <v>709</v>
      </c>
      <c r="G29" s="310" t="s">
        <v>709</v>
      </c>
      <c r="H29" s="31" t="str">
        <f t="shared" si="1"/>
        <v>Sky-Frame Gun</v>
      </c>
      <c r="I29" s="41" t="b">
        <v>0</v>
      </c>
      <c r="X29" s="273" t="s">
        <v>793</v>
      </c>
      <c r="Y29" s="3">
        <v>1</v>
      </c>
      <c r="Z29" s="3">
        <v>69</v>
      </c>
      <c r="AA29" s="3">
        <v>50</v>
      </c>
      <c r="AB29" s="309" t="s">
        <v>805</v>
      </c>
      <c r="AC29" s="4"/>
      <c r="AD29" s="326" t="s">
        <v>779</v>
      </c>
      <c r="AE29" s="223">
        <v>0.23</v>
      </c>
      <c r="AF29" s="223">
        <v>0.26</v>
      </c>
      <c r="AG29" s="223">
        <v>0.37</v>
      </c>
      <c r="AH29" s="310" t="s">
        <v>780</v>
      </c>
      <c r="AI29" s="2" t="str">
        <f t="shared" si="2"/>
        <v>SG-63</v>
      </c>
      <c r="AJ29" s="3">
        <f t="shared" si="3"/>
        <v>1</v>
      </c>
      <c r="AK29" s="3">
        <f t="shared" si="4"/>
        <v>69</v>
      </c>
      <c r="AL29" s="3">
        <f t="shared" si="5"/>
        <v>50</v>
      </c>
      <c r="AM29" s="3" t="str">
        <f t="shared" si="6"/>
        <v>E10/18/E10</v>
      </c>
      <c r="AN29" s="4"/>
    </row>
    <row r="30" spans="1:40" ht="13.5" thickBot="1" x14ac:dyDescent="0.25">
      <c r="A30" s="369" t="s">
        <v>887</v>
      </c>
      <c r="B30" s="32" t="s">
        <v>208</v>
      </c>
      <c r="C30" s="38" t="str">
        <f>IF($I$19=TRUE,"G","")</f>
        <v/>
      </c>
      <c r="D30" s="2" t="s">
        <v>31</v>
      </c>
      <c r="E30" s="3" t="s">
        <v>32</v>
      </c>
      <c r="F30" s="3" t="s">
        <v>33</v>
      </c>
      <c r="G30" s="4" t="s">
        <v>622</v>
      </c>
      <c r="H30" s="31" t="str">
        <f t="shared" si="1"/>
        <v>nach rechts</v>
      </c>
      <c r="I30" s="41" t="b">
        <v>0</v>
      </c>
      <c r="X30" s="273" t="s">
        <v>795</v>
      </c>
      <c r="Y30" s="3">
        <v>1</v>
      </c>
      <c r="Z30" s="3">
        <v>67</v>
      </c>
      <c r="AA30" s="3">
        <v>49</v>
      </c>
      <c r="AB30" s="309" t="s">
        <v>806</v>
      </c>
      <c r="AC30" s="4"/>
      <c r="AD30" s="273" t="s">
        <v>781</v>
      </c>
      <c r="AE30" s="3">
        <v>0.23</v>
      </c>
      <c r="AF30" s="3">
        <v>0.26</v>
      </c>
      <c r="AG30" s="3">
        <v>0.36</v>
      </c>
      <c r="AH30" s="310" t="s">
        <v>782</v>
      </c>
      <c r="AI30" s="2" t="str">
        <f t="shared" si="2"/>
        <v>SG-64</v>
      </c>
      <c r="AJ30" s="3">
        <f t="shared" si="3"/>
        <v>1</v>
      </c>
      <c r="AK30" s="3">
        <f t="shared" si="4"/>
        <v>67</v>
      </c>
      <c r="AL30" s="3">
        <f t="shared" si="5"/>
        <v>49</v>
      </c>
      <c r="AM30" s="3" t="str">
        <f t="shared" si="6"/>
        <v>E10/14/V-W16-2</v>
      </c>
      <c r="AN30" s="4"/>
    </row>
    <row r="31" spans="1:40" ht="13.5" thickBot="1" x14ac:dyDescent="0.25">
      <c r="B31" s="33"/>
      <c r="C31" s="44"/>
      <c r="D31" s="42" t="s">
        <v>34</v>
      </c>
      <c r="E31" s="3" t="s">
        <v>35</v>
      </c>
      <c r="F31" s="3" t="s">
        <v>36</v>
      </c>
      <c r="G31" s="4" t="s">
        <v>623</v>
      </c>
      <c r="H31" s="31" t="str">
        <f t="shared" si="1"/>
        <v>nach links</v>
      </c>
      <c r="I31" s="41" t="b">
        <v>0</v>
      </c>
      <c r="X31" s="273" t="s">
        <v>807</v>
      </c>
      <c r="Y31" s="3">
        <v>1</v>
      </c>
      <c r="Z31" s="3">
        <v>70</v>
      </c>
      <c r="AA31" s="3">
        <v>55</v>
      </c>
      <c r="AB31" s="309" t="s">
        <v>808</v>
      </c>
      <c r="AC31" s="4"/>
      <c r="AD31" s="326" t="s">
        <v>783</v>
      </c>
      <c r="AE31" s="223">
        <v>0.22</v>
      </c>
      <c r="AF31" s="223">
        <v>0.19</v>
      </c>
      <c r="AG31" s="223">
        <v>0.37</v>
      </c>
      <c r="AH31" s="310" t="s">
        <v>784</v>
      </c>
      <c r="AI31" s="2" t="str">
        <f t="shared" si="2"/>
        <v>SG-65</v>
      </c>
      <c r="AJ31" s="3">
        <f t="shared" si="3"/>
        <v>1</v>
      </c>
      <c r="AK31" s="3">
        <f t="shared" si="4"/>
        <v>70</v>
      </c>
      <c r="AL31" s="3">
        <f t="shared" si="5"/>
        <v>55</v>
      </c>
      <c r="AM31" s="3" t="str">
        <f t="shared" si="6"/>
        <v>GUN-BR4-12-NS</v>
      </c>
      <c r="AN31" s="4"/>
    </row>
    <row r="32" spans="1:40" x14ac:dyDescent="0.2">
      <c r="B32" s="34" t="s">
        <v>214</v>
      </c>
      <c r="C32" s="34"/>
      <c r="D32" s="42" t="s">
        <v>37</v>
      </c>
      <c r="E32" s="3" t="s">
        <v>38</v>
      </c>
      <c r="F32" s="3" t="s">
        <v>39</v>
      </c>
      <c r="G32" s="4" t="s">
        <v>126</v>
      </c>
      <c r="H32" s="31" t="str">
        <f t="shared" si="1"/>
        <v>Breite =</v>
      </c>
      <c r="I32" s="41"/>
      <c r="X32" s="2">
        <v>0</v>
      </c>
      <c r="Y32" s="3">
        <v>0</v>
      </c>
      <c r="Z32" s="3">
        <v>0</v>
      </c>
      <c r="AA32" s="3">
        <v>0</v>
      </c>
      <c r="AB32" s="3" t="str">
        <f>$H$54</f>
        <v>Glastyp wählen</v>
      </c>
      <c r="AC32" s="4"/>
      <c r="AD32" s="326" t="s">
        <v>785</v>
      </c>
      <c r="AE32" s="223">
        <v>0.23</v>
      </c>
      <c r="AF32" s="223">
        <v>0.19</v>
      </c>
      <c r="AG32" s="223">
        <v>0.37</v>
      </c>
      <c r="AH32" s="310" t="s">
        <v>786</v>
      </c>
      <c r="AI32" s="2">
        <f t="shared" si="2"/>
        <v>0</v>
      </c>
      <c r="AJ32" s="3">
        <f t="shared" si="3"/>
        <v>0</v>
      </c>
      <c r="AK32" s="3">
        <f t="shared" si="4"/>
        <v>0</v>
      </c>
      <c r="AL32" s="3">
        <f t="shared" si="5"/>
        <v>0</v>
      </c>
      <c r="AM32" s="3" t="str">
        <f t="shared" si="6"/>
        <v>Glastyp wählen</v>
      </c>
      <c r="AN32" s="4"/>
    </row>
    <row r="33" spans="1:40" x14ac:dyDescent="0.2">
      <c r="B33" s="23"/>
      <c r="C33" s="45"/>
      <c r="D33" s="2" t="s">
        <v>129</v>
      </c>
      <c r="E33" s="3" t="s">
        <v>128</v>
      </c>
      <c r="F33" s="3" t="s">
        <v>40</v>
      </c>
      <c r="G33" s="4" t="s">
        <v>127</v>
      </c>
      <c r="H33" s="31" t="str">
        <f t="shared" si="1"/>
        <v>Griffhöhe:</v>
      </c>
      <c r="I33" s="41"/>
      <c r="X33" s="2">
        <v>0</v>
      </c>
      <c r="Y33" s="3">
        <v>0</v>
      </c>
      <c r="Z33" s="3">
        <v>0</v>
      </c>
      <c r="AA33" s="3">
        <v>0</v>
      </c>
      <c r="AB33" s="3" t="str">
        <f t="shared" ref="AB33:AB45" si="7">$H$54</f>
        <v>Glastyp wählen</v>
      </c>
      <c r="AC33" s="4"/>
      <c r="AD33" s="326" t="s">
        <v>787</v>
      </c>
      <c r="AE33" s="223">
        <v>0.22</v>
      </c>
      <c r="AF33" s="223">
        <v>0.25</v>
      </c>
      <c r="AG33" s="223">
        <v>0.36</v>
      </c>
      <c r="AH33" s="310" t="s">
        <v>788</v>
      </c>
      <c r="AI33" s="2">
        <f t="shared" si="2"/>
        <v>0</v>
      </c>
      <c r="AJ33" s="3">
        <f t="shared" si="3"/>
        <v>0</v>
      </c>
      <c r="AK33" s="3">
        <f t="shared" si="4"/>
        <v>0</v>
      </c>
      <c r="AL33" s="3">
        <f t="shared" si="5"/>
        <v>0</v>
      </c>
      <c r="AM33" s="3" t="str">
        <f t="shared" si="6"/>
        <v>Glastyp wählen</v>
      </c>
      <c r="AN33" s="4"/>
    </row>
    <row r="34" spans="1:40" ht="13.5" thickBot="1" x14ac:dyDescent="0.25">
      <c r="B34" s="48" t="s">
        <v>215</v>
      </c>
      <c r="C34" s="47"/>
      <c r="D34" s="2" t="s">
        <v>41</v>
      </c>
      <c r="E34" s="3" t="s">
        <v>42</v>
      </c>
      <c r="F34" s="3" t="s">
        <v>43</v>
      </c>
      <c r="G34" s="4" t="s">
        <v>130</v>
      </c>
      <c r="H34" s="31" t="str">
        <f t="shared" si="1"/>
        <v xml:space="preserve">Höhe = </v>
      </c>
      <c r="I34" s="41"/>
      <c r="X34" s="2">
        <v>0</v>
      </c>
      <c r="Y34" s="3">
        <v>0</v>
      </c>
      <c r="Z34" s="3">
        <v>0</v>
      </c>
      <c r="AA34" s="3">
        <v>0</v>
      </c>
      <c r="AB34" s="3" t="str">
        <f>$H$54</f>
        <v>Glastyp wählen</v>
      </c>
      <c r="AC34" s="221"/>
      <c r="AD34" s="2">
        <v>0</v>
      </c>
      <c r="AE34" s="3">
        <v>0</v>
      </c>
      <c r="AF34" s="3">
        <v>0</v>
      </c>
      <c r="AG34" s="3">
        <v>0</v>
      </c>
      <c r="AH34" s="4" t="str">
        <f>$H$54</f>
        <v>Glastyp wählen</v>
      </c>
      <c r="AI34" s="2">
        <f t="shared" si="2"/>
        <v>0</v>
      </c>
      <c r="AJ34" s="3">
        <f t="shared" si="3"/>
        <v>0</v>
      </c>
      <c r="AK34" s="3">
        <f t="shared" si="4"/>
        <v>0</v>
      </c>
      <c r="AL34" s="3">
        <f t="shared" si="5"/>
        <v>0</v>
      </c>
      <c r="AM34" s="3" t="str">
        <f t="shared" si="6"/>
        <v>Glastyp wählen</v>
      </c>
      <c r="AN34" s="4"/>
    </row>
    <row r="35" spans="1:40" ht="13.5" thickBot="1" x14ac:dyDescent="0.25">
      <c r="D35" s="2" t="s">
        <v>44</v>
      </c>
      <c r="E35" s="3" t="s">
        <v>45</v>
      </c>
      <c r="F35" s="3" t="s">
        <v>45</v>
      </c>
      <c r="G35" s="4" t="s">
        <v>131</v>
      </c>
      <c r="H35" s="31" t="str">
        <f t="shared" si="1"/>
        <v>Oberfläche:</v>
      </c>
      <c r="I35" s="41"/>
      <c r="X35" s="2">
        <v>0</v>
      </c>
      <c r="Y35" s="3">
        <v>0</v>
      </c>
      <c r="Z35" s="3">
        <v>0</v>
      </c>
      <c r="AA35" s="3">
        <v>0</v>
      </c>
      <c r="AB35" s="3" t="str">
        <f t="shared" si="7"/>
        <v>Glastyp wählen</v>
      </c>
      <c r="AC35" s="4"/>
      <c r="AD35" s="326" t="s">
        <v>789</v>
      </c>
      <c r="AE35" s="223">
        <v>0.35</v>
      </c>
      <c r="AF35" s="223">
        <v>0.47</v>
      </c>
      <c r="AG35" s="223">
        <v>0.65</v>
      </c>
      <c r="AH35" s="310" t="s">
        <v>790</v>
      </c>
      <c r="AI35" s="2">
        <f t="shared" si="2"/>
        <v>0</v>
      </c>
      <c r="AJ35" s="3">
        <f t="shared" si="3"/>
        <v>0</v>
      </c>
      <c r="AK35" s="3">
        <f t="shared" si="4"/>
        <v>0</v>
      </c>
      <c r="AL35" s="3">
        <f t="shared" si="5"/>
        <v>0</v>
      </c>
      <c r="AM35" s="3" t="str">
        <f t="shared" si="6"/>
        <v>Glastyp wählen</v>
      </c>
      <c r="AN35" s="4"/>
    </row>
    <row r="36" spans="1:40" x14ac:dyDescent="0.2">
      <c r="B36" s="34" t="s">
        <v>216</v>
      </c>
      <c r="C36" s="34"/>
      <c r="D36" s="2" t="s">
        <v>46</v>
      </c>
      <c r="E36" s="3" t="s">
        <v>47</v>
      </c>
      <c r="F36" s="3" t="s">
        <v>133</v>
      </c>
      <c r="G36" s="4" t="s">
        <v>132</v>
      </c>
      <c r="H36" s="31" t="str">
        <f t="shared" si="1"/>
        <v>eloxiert (Qualanod):</v>
      </c>
      <c r="I36" s="41" t="b">
        <v>0</v>
      </c>
      <c r="X36" s="2">
        <v>0</v>
      </c>
      <c r="Y36" s="3">
        <v>0</v>
      </c>
      <c r="Z36" s="3">
        <v>0</v>
      </c>
      <c r="AA36" s="3">
        <v>0</v>
      </c>
      <c r="AB36" s="3" t="str">
        <f t="shared" si="7"/>
        <v>Glastyp wählen</v>
      </c>
      <c r="AC36" s="4"/>
      <c r="AD36" s="326" t="s">
        <v>791</v>
      </c>
      <c r="AE36" s="223">
        <v>0.34</v>
      </c>
      <c r="AF36" s="223">
        <v>0.47</v>
      </c>
      <c r="AG36" s="223">
        <v>0.63</v>
      </c>
      <c r="AH36" s="310" t="s">
        <v>792</v>
      </c>
      <c r="AI36" s="2">
        <f t="shared" ref="AI36:AI45" si="8">IF($I$125=TRUE,AD36,X36)</f>
        <v>0</v>
      </c>
      <c r="AJ36" s="3">
        <f t="shared" ref="AJ36:AJ45" si="9">IF($I$125=TRUE,AE36,Y36)</f>
        <v>0</v>
      </c>
      <c r="AK36" s="3">
        <f t="shared" ref="AK36:AK45" si="10">IF($I$125=TRUE,AF36,Z36)</f>
        <v>0</v>
      </c>
      <c r="AL36" s="3">
        <f t="shared" ref="AL36:AL45" si="11">IF($I$125=TRUE,AG36,AA36)</f>
        <v>0</v>
      </c>
      <c r="AM36" s="3" t="str">
        <f t="shared" ref="AM36:AM45" si="12">IF($I$125=TRUE,AH36,AB36)</f>
        <v>Glastyp wählen</v>
      </c>
      <c r="AN36" s="4"/>
    </row>
    <row r="37" spans="1:40" x14ac:dyDescent="0.2">
      <c r="B37" s="23" t="s">
        <v>218</v>
      </c>
      <c r="C37" s="45" t="b">
        <v>1</v>
      </c>
      <c r="D37" s="2" t="s">
        <v>48</v>
      </c>
      <c r="E37" s="3" t="s">
        <v>134</v>
      </c>
      <c r="F37" s="3" t="s">
        <v>134</v>
      </c>
      <c r="G37" s="4" t="s">
        <v>134</v>
      </c>
      <c r="H37" s="31" t="str">
        <f t="shared" si="1"/>
        <v>20 my (Standard)</v>
      </c>
      <c r="I37" s="41"/>
      <c r="X37" s="2">
        <v>0</v>
      </c>
      <c r="Y37" s="3">
        <v>0</v>
      </c>
      <c r="Z37" s="3">
        <v>0</v>
      </c>
      <c r="AA37" s="3">
        <v>0</v>
      </c>
      <c r="AB37" s="3" t="str">
        <f t="shared" si="7"/>
        <v>Glastyp wählen</v>
      </c>
      <c r="AC37" s="4"/>
      <c r="AD37" s="326" t="s">
        <v>793</v>
      </c>
      <c r="AE37" s="223">
        <v>0.34</v>
      </c>
      <c r="AF37" s="223">
        <v>0.4</v>
      </c>
      <c r="AG37" s="223">
        <v>0.56999999999999995</v>
      </c>
      <c r="AH37" s="310" t="s">
        <v>794</v>
      </c>
      <c r="AI37" s="2">
        <f t="shared" si="8"/>
        <v>0</v>
      </c>
      <c r="AJ37" s="3">
        <f t="shared" si="9"/>
        <v>0</v>
      </c>
      <c r="AK37" s="3">
        <f t="shared" si="10"/>
        <v>0</v>
      </c>
      <c r="AL37" s="3">
        <f t="shared" si="11"/>
        <v>0</v>
      </c>
      <c r="AM37" s="3" t="str">
        <f t="shared" si="12"/>
        <v>Glastyp wählen</v>
      </c>
      <c r="AN37" s="4"/>
    </row>
    <row r="38" spans="1:40" x14ac:dyDescent="0.2">
      <c r="B38" s="2" t="s">
        <v>217</v>
      </c>
      <c r="C38" s="4" t="b">
        <v>1</v>
      </c>
      <c r="D38" s="2" t="s">
        <v>49</v>
      </c>
      <c r="E38" s="3" t="s">
        <v>50</v>
      </c>
      <c r="F38" s="3" t="s">
        <v>51</v>
      </c>
      <c r="G38" s="4" t="s">
        <v>325</v>
      </c>
      <c r="H38" s="31" t="str">
        <f t="shared" si="1"/>
        <v>25 my (Pool/Meer)</v>
      </c>
      <c r="I38" s="41"/>
      <c r="X38" s="2">
        <v>0</v>
      </c>
      <c r="Y38" s="3">
        <v>0</v>
      </c>
      <c r="Z38" s="3">
        <v>0</v>
      </c>
      <c r="AA38" s="3">
        <v>0</v>
      </c>
      <c r="AB38" s="3" t="str">
        <f t="shared" si="7"/>
        <v>Glastyp wählen</v>
      </c>
      <c r="AC38" s="4"/>
      <c r="AD38" s="326" t="s">
        <v>795</v>
      </c>
      <c r="AE38" s="223">
        <v>0.33</v>
      </c>
      <c r="AF38" s="223">
        <v>0.39</v>
      </c>
      <c r="AG38" s="223">
        <v>0.55000000000000004</v>
      </c>
      <c r="AH38" s="310" t="s">
        <v>796</v>
      </c>
      <c r="AI38" s="2">
        <f t="shared" si="8"/>
        <v>0</v>
      </c>
      <c r="AJ38" s="3">
        <f t="shared" si="9"/>
        <v>0</v>
      </c>
      <c r="AK38" s="3">
        <f t="shared" si="10"/>
        <v>0</v>
      </c>
      <c r="AL38" s="3">
        <f t="shared" si="11"/>
        <v>0</v>
      </c>
      <c r="AM38" s="3" t="str">
        <f t="shared" si="12"/>
        <v>Glastyp wählen</v>
      </c>
      <c r="AN38" s="4"/>
    </row>
    <row r="39" spans="1:40" ht="13.5" thickBot="1" x14ac:dyDescent="0.25">
      <c r="B39" s="2" t="s">
        <v>219</v>
      </c>
      <c r="C39" s="4" t="b">
        <v>0</v>
      </c>
      <c r="D39" s="2" t="s">
        <v>350</v>
      </c>
      <c r="E39" s="3" t="s">
        <v>351</v>
      </c>
      <c r="F39" s="3" t="s">
        <v>352</v>
      </c>
      <c r="G39" s="4" t="s">
        <v>353</v>
      </c>
      <c r="H39" s="31" t="str">
        <f t="shared" si="1"/>
        <v>pulverbeschichtet:</v>
      </c>
      <c r="I39" s="41" t="b">
        <v>0</v>
      </c>
      <c r="X39" s="2">
        <v>0</v>
      </c>
      <c r="Y39" s="3">
        <v>0</v>
      </c>
      <c r="Z39" s="3">
        <v>0</v>
      </c>
      <c r="AA39" s="3">
        <v>0</v>
      </c>
      <c r="AB39" s="3" t="str">
        <f t="shared" si="7"/>
        <v>Glastyp wählen</v>
      </c>
      <c r="AC39" s="4"/>
      <c r="AD39" s="326" t="s">
        <v>798</v>
      </c>
      <c r="AE39" s="223">
        <v>0.34</v>
      </c>
      <c r="AF39" s="223">
        <v>0.26</v>
      </c>
      <c r="AG39" s="223">
        <v>0.51</v>
      </c>
      <c r="AH39" s="310" t="s">
        <v>799</v>
      </c>
      <c r="AI39" s="2">
        <f t="shared" si="8"/>
        <v>0</v>
      </c>
      <c r="AJ39" s="3">
        <f t="shared" si="9"/>
        <v>0</v>
      </c>
      <c r="AK39" s="3">
        <f t="shared" si="10"/>
        <v>0</v>
      </c>
      <c r="AL39" s="3">
        <f t="shared" si="11"/>
        <v>0</v>
      </c>
      <c r="AM39" s="3" t="str">
        <f t="shared" si="12"/>
        <v>Glastyp wählen</v>
      </c>
      <c r="AN39" s="4"/>
    </row>
    <row r="40" spans="1:40" x14ac:dyDescent="0.2">
      <c r="A40" s="274" t="s">
        <v>684</v>
      </c>
      <c r="B40" s="2" t="s">
        <v>220</v>
      </c>
      <c r="C40" s="4" t="b">
        <v>0</v>
      </c>
      <c r="D40" s="273" t="s">
        <v>881</v>
      </c>
      <c r="E40" s="309" t="s">
        <v>882</v>
      </c>
      <c r="F40" s="309" t="s">
        <v>883</v>
      </c>
      <c r="G40" s="310" t="s">
        <v>884</v>
      </c>
      <c r="H40" s="31" t="str">
        <f t="shared" si="1"/>
        <v>Vorbehandlung:</v>
      </c>
      <c r="I40" s="41"/>
      <c r="K40" s="57" t="s">
        <v>430</v>
      </c>
      <c r="L40" s="50"/>
      <c r="M40" s="39"/>
      <c r="N40" s="541" t="s">
        <v>580</v>
      </c>
      <c r="O40" s="542"/>
      <c r="P40" s="543"/>
      <c r="Q40" s="57" t="s">
        <v>288</v>
      </c>
      <c r="R40" s="57" t="s">
        <v>488</v>
      </c>
      <c r="S40" s="57" t="s">
        <v>492</v>
      </c>
      <c r="U40" s="34" t="s">
        <v>682</v>
      </c>
      <c r="V40" s="35"/>
      <c r="X40" s="2">
        <v>0</v>
      </c>
      <c r="Y40" s="3">
        <v>0</v>
      </c>
      <c r="Z40" s="3">
        <v>0</v>
      </c>
      <c r="AA40" s="3">
        <v>0</v>
      </c>
      <c r="AB40" s="3" t="str">
        <f t="shared" si="7"/>
        <v>Glastyp wählen</v>
      </c>
      <c r="AC40" s="4"/>
      <c r="AD40" s="326" t="s">
        <v>800</v>
      </c>
      <c r="AE40" s="223">
        <v>0.33</v>
      </c>
      <c r="AF40" s="223">
        <v>0.26</v>
      </c>
      <c r="AG40" s="223">
        <v>0.5</v>
      </c>
      <c r="AH40" s="310" t="s">
        <v>801</v>
      </c>
      <c r="AI40" s="2">
        <f t="shared" si="8"/>
        <v>0</v>
      </c>
      <c r="AJ40" s="3">
        <f t="shared" si="9"/>
        <v>0</v>
      </c>
      <c r="AK40" s="3">
        <f t="shared" si="10"/>
        <v>0</v>
      </c>
      <c r="AL40" s="3">
        <f t="shared" si="11"/>
        <v>0</v>
      </c>
      <c r="AM40" s="3" t="str">
        <f t="shared" si="12"/>
        <v>Glastyp wählen</v>
      </c>
      <c r="AN40" s="4"/>
    </row>
    <row r="41" spans="1:40" x14ac:dyDescent="0.2">
      <c r="A41" s="87" t="b">
        <f>IF(C41=FALSE,TRUE,(IF(AND(C41=TRUE,'Pos. 1'!F72=""),FALSE,TRUE)))</f>
        <v>1</v>
      </c>
      <c r="B41" s="273" t="s">
        <v>710</v>
      </c>
      <c r="C41" s="4" t="b">
        <v>0</v>
      </c>
      <c r="D41" s="2" t="s">
        <v>52</v>
      </c>
      <c r="E41" s="3" t="s">
        <v>53</v>
      </c>
      <c r="F41" s="3" t="s">
        <v>54</v>
      </c>
      <c r="G41" s="9" t="s">
        <v>135</v>
      </c>
      <c r="H41" s="31" t="str">
        <f t="shared" si="1"/>
        <v>+Voranodisieren</v>
      </c>
      <c r="I41" s="41"/>
      <c r="K41" s="275" t="s">
        <v>431</v>
      </c>
      <c r="L41" s="276">
        <f>IF(OR($I$5=TRUE,$I$6=TRUE),1,0)</f>
        <v>0</v>
      </c>
      <c r="M41" s="277"/>
      <c r="N41" s="187" t="str">
        <f>CONCATENATE("Pos. ",'Pos. 1'!$B$2,".1")</f>
        <v>Pos. 1.1</v>
      </c>
      <c r="O41" s="188" t="b">
        <f>IF(AND('Pos. 1'!AW32&lt;&gt;"",'Pos. 1'!AX32&lt;&gt;""),TRUE,FALSE)</f>
        <v>0</v>
      </c>
      <c r="P41" s="189"/>
      <c r="Q41" s="54"/>
      <c r="R41" s="54"/>
      <c r="S41" s="1">
        <f>COUNTA('Pos. 1'!G20:AP20)</f>
        <v>0</v>
      </c>
      <c r="U41" s="305" t="b">
        <f>IF(L41=0,FALSE,TRUE)</f>
        <v>0</v>
      </c>
      <c r="V41" s="306">
        <f>IF(U41=FALSE,1,0)</f>
        <v>1</v>
      </c>
      <c r="X41" s="2">
        <v>0</v>
      </c>
      <c r="Y41" s="3">
        <v>0</v>
      </c>
      <c r="Z41" s="3">
        <v>0</v>
      </c>
      <c r="AA41" s="3">
        <v>0</v>
      </c>
      <c r="AB41" s="3" t="str">
        <f t="shared" si="7"/>
        <v>Glastyp wählen</v>
      </c>
      <c r="AC41" s="4"/>
      <c r="AD41" s="326" t="s">
        <v>797</v>
      </c>
      <c r="AE41" s="223">
        <v>0.34</v>
      </c>
      <c r="AF41" s="223">
        <v>0.22</v>
      </c>
      <c r="AG41" s="223">
        <v>0.42</v>
      </c>
      <c r="AH41" s="310" t="s">
        <v>802</v>
      </c>
      <c r="AI41" s="2">
        <f t="shared" si="8"/>
        <v>0</v>
      </c>
      <c r="AJ41" s="3">
        <f t="shared" si="9"/>
        <v>0</v>
      </c>
      <c r="AK41" s="3">
        <f t="shared" si="10"/>
        <v>0</v>
      </c>
      <c r="AL41" s="3">
        <f t="shared" si="11"/>
        <v>0</v>
      </c>
      <c r="AM41" s="3" t="str">
        <f t="shared" si="12"/>
        <v>Glastyp wählen</v>
      </c>
      <c r="AN41" s="4"/>
    </row>
    <row r="42" spans="1:40" x14ac:dyDescent="0.2">
      <c r="A42" s="31" t="b">
        <f>IF(C42=FALSE,TRUE,(IF(AND(C42=TRUE,'Pos. 1'!L72=""),FALSE,TRUE)))</f>
        <v>1</v>
      </c>
      <c r="B42" s="273" t="s">
        <v>711</v>
      </c>
      <c r="C42" s="4" t="b">
        <v>0</v>
      </c>
      <c r="D42" s="2" t="s">
        <v>55</v>
      </c>
      <c r="E42" s="3" t="s">
        <v>56</v>
      </c>
      <c r="F42" s="3" t="s">
        <v>57</v>
      </c>
      <c r="G42" s="4" t="s">
        <v>136</v>
      </c>
      <c r="H42" s="31" t="str">
        <f t="shared" si="1"/>
        <v>Glas-Typ: SG = "Sky-Glass"</v>
      </c>
      <c r="I42" s="41"/>
      <c r="K42" s="278" t="s">
        <v>432</v>
      </c>
      <c r="L42" s="279">
        <f>IF(AND('Pos. 1'!$Y$5&lt;&gt;"",'Pos. 1'!$Y$7&lt;&gt;"",'Pos. 1'!$Y$6&lt;&gt;""),1,0)</f>
        <v>0</v>
      </c>
      <c r="M42" s="280"/>
      <c r="N42" s="187" t="str">
        <f>CONCATENATE("Pos. ",'Pos. 1'!$B$2,".2")</f>
        <v>Pos. 1.2</v>
      </c>
      <c r="O42" s="188" t="b">
        <f>IF(AND('Pos. 1'!AW33&lt;&gt;"",'Pos. 1'!AX33&lt;&gt;""),TRUE,FALSE)</f>
        <v>0</v>
      </c>
      <c r="P42" s="191"/>
      <c r="Q42" s="58">
        <v>1</v>
      </c>
      <c r="R42" s="155" t="s">
        <v>486</v>
      </c>
      <c r="U42" s="278" t="b">
        <f t="shared" ref="U42:U47" si="13">IF(L42=0,FALSE,TRUE)</f>
        <v>0</v>
      </c>
      <c r="V42" s="299">
        <f t="shared" ref="V42:V77" si="14">IF(U42=FALSE,1,0)</f>
        <v>1</v>
      </c>
      <c r="X42" s="2">
        <v>0</v>
      </c>
      <c r="Y42" s="3">
        <v>0</v>
      </c>
      <c r="Z42" s="3">
        <v>0</v>
      </c>
      <c r="AA42" s="3">
        <v>0</v>
      </c>
      <c r="AB42" s="3" t="str">
        <f t="shared" si="7"/>
        <v>Glastyp wählen</v>
      </c>
      <c r="AC42" s="4"/>
      <c r="AD42" s="326" t="s">
        <v>803</v>
      </c>
      <c r="AE42" s="223">
        <v>0.33</v>
      </c>
      <c r="AF42" s="223">
        <v>0.22</v>
      </c>
      <c r="AG42" s="223">
        <v>0.4</v>
      </c>
      <c r="AH42" s="310" t="s">
        <v>804</v>
      </c>
      <c r="AI42" s="2">
        <f t="shared" si="8"/>
        <v>0</v>
      </c>
      <c r="AJ42" s="3">
        <f t="shared" si="9"/>
        <v>0</v>
      </c>
      <c r="AK42" s="3">
        <f t="shared" si="10"/>
        <v>0</v>
      </c>
      <c r="AL42" s="3">
        <f t="shared" si="11"/>
        <v>0</v>
      </c>
      <c r="AM42" s="3" t="str">
        <f t="shared" si="12"/>
        <v>Glastyp wählen</v>
      </c>
      <c r="AN42" s="4"/>
    </row>
    <row r="43" spans="1:40" x14ac:dyDescent="0.2">
      <c r="A43" s="31" t="b">
        <f>TRUE</f>
        <v>1</v>
      </c>
      <c r="B43" s="273" t="s">
        <v>712</v>
      </c>
      <c r="C43" s="4" t="b">
        <v>0</v>
      </c>
      <c r="D43" s="2" t="s">
        <v>58</v>
      </c>
      <c r="E43" s="3" t="s">
        <v>59</v>
      </c>
      <c r="F43" s="3" t="s">
        <v>60</v>
      </c>
      <c r="G43" s="4" t="s">
        <v>137</v>
      </c>
      <c r="H43" s="31" t="str">
        <f t="shared" si="1"/>
        <v>Swisspacer-U schwarz</v>
      </c>
      <c r="I43" s="41" t="b">
        <v>0</v>
      </c>
      <c r="K43" s="278" t="s">
        <v>433</v>
      </c>
      <c r="L43" s="279">
        <f>IF(AND('Pos. 1'!$AJ$5&lt;&gt;"",'Pos. 1'!$AJ$6&lt;&gt;"",'Pos. 1'!$AJ$7&lt;&gt;""),1,0)</f>
        <v>0</v>
      </c>
      <c r="M43" s="280"/>
      <c r="N43" s="187" t="str">
        <f>CONCATENATE("Pos. ",'Pos. 1'!$B$2,".3")</f>
        <v>Pos. 1.3</v>
      </c>
      <c r="O43" s="188" t="b">
        <f>IF(AND('Pos. 1'!AW34&lt;&gt;"",'Pos. 1'!AX34&lt;&gt;""),TRUE,FALSE)</f>
        <v>0</v>
      </c>
      <c r="P43" s="191"/>
      <c r="Q43" s="55">
        <v>2</v>
      </c>
      <c r="R43" s="155" t="s">
        <v>487</v>
      </c>
      <c r="U43" s="278" t="b">
        <f t="shared" si="13"/>
        <v>0</v>
      </c>
      <c r="V43" s="299">
        <f t="shared" si="14"/>
        <v>1</v>
      </c>
      <c r="X43" s="2">
        <v>0</v>
      </c>
      <c r="Y43" s="3">
        <v>0</v>
      </c>
      <c r="Z43" s="3">
        <v>0</v>
      </c>
      <c r="AA43" s="3">
        <v>0</v>
      </c>
      <c r="AB43" s="3" t="str">
        <f t="shared" si="7"/>
        <v>Glastyp wählen</v>
      </c>
      <c r="AC43" s="4"/>
      <c r="AD43" s="222">
        <v>0</v>
      </c>
      <c r="AE43" s="223">
        <v>0</v>
      </c>
      <c r="AF43" s="223">
        <v>0</v>
      </c>
      <c r="AG43" s="223">
        <v>0</v>
      </c>
      <c r="AH43" s="4" t="str">
        <f>$H$54</f>
        <v>Glastyp wählen</v>
      </c>
      <c r="AI43" s="2">
        <f t="shared" si="8"/>
        <v>0</v>
      </c>
      <c r="AJ43" s="3">
        <f t="shared" si="9"/>
        <v>0</v>
      </c>
      <c r="AK43" s="3">
        <f t="shared" si="10"/>
        <v>0</v>
      </c>
      <c r="AL43" s="3">
        <f t="shared" si="11"/>
        <v>0</v>
      </c>
      <c r="AM43" s="3" t="str">
        <f t="shared" si="12"/>
        <v>Glastyp wählen</v>
      </c>
      <c r="AN43" s="4"/>
    </row>
    <row r="44" spans="1:40" x14ac:dyDescent="0.2">
      <c r="A44" s="31" t="b">
        <f>IF(C44=FALSE,TRUE,(IF(AND(C44=TRUE,'Pos. 1'!X72=""),FALSE,TRUE)))</f>
        <v>1</v>
      </c>
      <c r="B44" s="273" t="str">
        <f>IF('Pos. 1'!AB62="","321101/321101","400493/400493")</f>
        <v>321101/321101</v>
      </c>
      <c r="C44" s="4" t="b">
        <v>0</v>
      </c>
      <c r="D44" s="2" t="s">
        <v>61</v>
      </c>
      <c r="E44" s="3" t="s">
        <v>62</v>
      </c>
      <c r="F44" s="3" t="s">
        <v>63</v>
      </c>
      <c r="G44" s="4" t="s">
        <v>138</v>
      </c>
      <c r="H44" s="31" t="str">
        <f t="shared" si="1"/>
        <v>Swisspacer-U grau</v>
      </c>
      <c r="I44" s="41" t="b">
        <v>0</v>
      </c>
      <c r="K44" s="278" t="s">
        <v>434</v>
      </c>
      <c r="L44" s="279">
        <f>IF(OR($I$10=TRUE,$I$11=TRUE,$I$12=TRUE),1,0)</f>
        <v>0</v>
      </c>
      <c r="M44" s="280"/>
      <c r="N44" s="187" t="str">
        <f>CONCATENATE("Pos. ",'Pos. 1'!$B$2,".4")</f>
        <v>Pos. 1.4</v>
      </c>
      <c r="O44" s="188" t="b">
        <f>IF(AND('Pos. 1'!AW35&lt;&gt;"",'Pos. 1'!AX35&lt;&gt;""),TRUE,FALSE)</f>
        <v>0</v>
      </c>
      <c r="P44" s="191"/>
      <c r="Q44" s="55">
        <v>3</v>
      </c>
      <c r="U44" s="278" t="b">
        <f t="shared" si="13"/>
        <v>0</v>
      </c>
      <c r="V44" s="299">
        <f t="shared" si="14"/>
        <v>1</v>
      </c>
      <c r="X44" s="2">
        <v>0</v>
      </c>
      <c r="Y44" s="3">
        <v>0</v>
      </c>
      <c r="Z44" s="3">
        <v>0</v>
      </c>
      <c r="AA44" s="3">
        <v>0</v>
      </c>
      <c r="AB44" s="3" t="str">
        <f t="shared" si="7"/>
        <v>Glastyp wählen</v>
      </c>
      <c r="AC44" s="4"/>
      <c r="AD44" s="222">
        <v>0</v>
      </c>
      <c r="AE44" s="223">
        <v>0</v>
      </c>
      <c r="AF44" s="223">
        <v>0</v>
      </c>
      <c r="AG44" s="223">
        <v>0</v>
      </c>
      <c r="AH44" s="4" t="str">
        <f>$H$54</f>
        <v>Glastyp wählen</v>
      </c>
      <c r="AI44" s="2">
        <f t="shared" si="8"/>
        <v>0</v>
      </c>
      <c r="AJ44" s="3">
        <f t="shared" si="9"/>
        <v>0</v>
      </c>
      <c r="AK44" s="3">
        <f t="shared" si="10"/>
        <v>0</v>
      </c>
      <c r="AL44" s="3">
        <f t="shared" si="11"/>
        <v>0</v>
      </c>
      <c r="AM44" s="3" t="str">
        <f t="shared" si="12"/>
        <v>Glastyp wählen</v>
      </c>
      <c r="AN44" s="4"/>
    </row>
    <row r="45" spans="1:40" ht="13.5" thickBot="1" x14ac:dyDescent="0.25">
      <c r="A45" s="31" t="b">
        <f>IF(C45=FALSE,TRUE,(IF(AND(C45=TRUE,'Pos. 1'!H85=""),FALSE,TRUE)))</f>
        <v>1</v>
      </c>
      <c r="B45" s="273" t="s">
        <v>713</v>
      </c>
      <c r="C45" s="4" t="b">
        <v>0</v>
      </c>
      <c r="D45" s="2" t="s">
        <v>111</v>
      </c>
      <c r="E45" s="3" t="s">
        <v>112</v>
      </c>
      <c r="F45" s="3" t="s">
        <v>113</v>
      </c>
      <c r="G45" s="4" t="s">
        <v>114</v>
      </c>
      <c r="H45" s="31" t="str">
        <f t="shared" si="1"/>
        <v>Speziell:</v>
      </c>
      <c r="I45" s="41" t="b">
        <v>0</v>
      </c>
      <c r="K45" s="278" t="s">
        <v>435</v>
      </c>
      <c r="L45" s="279">
        <f>IF(AND('Pos. 1'!$F$10&lt;&gt;"",OR('Pos. 1'!$E$23&lt;&gt;"",'Pos. 1'!$E$24&lt;&gt;"",'Pos. 1'!$E$25&lt;&gt;"",'Pos. 1'!$E$26&lt;&gt;"")),1,0)</f>
        <v>0</v>
      </c>
      <c r="M45" s="280"/>
      <c r="N45" s="187" t="str">
        <f>CONCATENATE("Pos. ",'Pos. 1'!$B$2,".5")</f>
        <v>Pos. 1.5</v>
      </c>
      <c r="O45" s="188" t="b">
        <f>IF(AND('Pos. 1'!AW36&lt;&gt;"",'Pos. 1'!AX36&lt;&gt;""),TRUE,FALSE)</f>
        <v>0</v>
      </c>
      <c r="P45" s="191"/>
      <c r="Q45" s="55">
        <v>4</v>
      </c>
      <c r="U45" s="278" t="b">
        <f t="shared" si="13"/>
        <v>0</v>
      </c>
      <c r="V45" s="299">
        <f t="shared" si="14"/>
        <v>1</v>
      </c>
      <c r="X45" s="32">
        <v>0</v>
      </c>
      <c r="Y45" s="53">
        <v>0</v>
      </c>
      <c r="Z45" s="53">
        <v>0</v>
      </c>
      <c r="AA45" s="53">
        <v>0</v>
      </c>
      <c r="AB45" s="53" t="str">
        <f t="shared" si="7"/>
        <v>Glastyp wählen</v>
      </c>
      <c r="AC45" s="47"/>
      <c r="AD45" s="224">
        <v>0</v>
      </c>
      <c r="AE45" s="225">
        <v>0</v>
      </c>
      <c r="AF45" s="225">
        <v>0</v>
      </c>
      <c r="AG45" s="225">
        <v>0</v>
      </c>
      <c r="AH45" s="47" t="str">
        <f>$H$54</f>
        <v>Glastyp wählen</v>
      </c>
      <c r="AI45" s="32">
        <f t="shared" si="8"/>
        <v>0</v>
      </c>
      <c r="AJ45" s="53">
        <f t="shared" si="9"/>
        <v>0</v>
      </c>
      <c r="AK45" s="53">
        <f t="shared" si="10"/>
        <v>0</v>
      </c>
      <c r="AL45" s="53">
        <f t="shared" si="11"/>
        <v>0</v>
      </c>
      <c r="AM45" s="53" t="str">
        <f t="shared" si="12"/>
        <v>Glastyp wählen</v>
      </c>
      <c r="AN45" s="47"/>
    </row>
    <row r="46" spans="1:40" x14ac:dyDescent="0.2">
      <c r="A46" s="31" t="b">
        <f>IF(C46=FALSE,TRUE,(IF(AND(C46=TRUE,'Pos. 1'!O85=""),FALSE,TRUE)))</f>
        <v>1</v>
      </c>
      <c r="B46" s="273" t="s">
        <v>714</v>
      </c>
      <c r="C46" s="4" t="b">
        <v>0</v>
      </c>
      <c r="D46" s="2" t="s">
        <v>64</v>
      </c>
      <c r="E46" s="3" t="s">
        <v>65</v>
      </c>
      <c r="F46" s="3" t="s">
        <v>66</v>
      </c>
      <c r="G46" s="4" t="s">
        <v>139</v>
      </c>
      <c r="H46" s="31" t="str">
        <f t="shared" si="1"/>
        <v>Statik:</v>
      </c>
      <c r="I46" s="41"/>
      <c r="K46" s="278" t="s">
        <v>436</v>
      </c>
      <c r="L46" s="279">
        <f>IF(AND($I$13=TRUE,'Pos. 1'!$E$28=""),0,1)</f>
        <v>1</v>
      </c>
      <c r="M46" s="280"/>
      <c r="N46" s="187" t="str">
        <f>CONCATENATE("Pos. ",'Pos. 1'!$B$2,".6")</f>
        <v>Pos. 1.6</v>
      </c>
      <c r="O46" s="188" t="b">
        <f>IF(AND('Pos. 1'!AW37&lt;&gt;"",'Pos. 1'!AX37&lt;&gt;""),TRUE,FALSE)</f>
        <v>0</v>
      </c>
      <c r="P46" s="191"/>
      <c r="Q46" s="55">
        <v>5</v>
      </c>
      <c r="U46" s="278" t="b">
        <f t="shared" si="13"/>
        <v>1</v>
      </c>
      <c r="V46" s="299">
        <f t="shared" si="14"/>
        <v>0</v>
      </c>
    </row>
    <row r="47" spans="1:40" x14ac:dyDescent="0.2">
      <c r="A47" s="31" t="b">
        <f>IF(C47=FALSE,TRUE,(IF(AND(C47=TRUE,'Pos. 1'!V85=""),FALSE,TRUE)))</f>
        <v>1</v>
      </c>
      <c r="B47" s="273" t="str">
        <f>IF('Pos. 1'!AB73="","322201/322201","400228/400228")</f>
        <v>322201/322201</v>
      </c>
      <c r="C47" s="4" t="b">
        <v>0</v>
      </c>
      <c r="D47" s="2" t="s">
        <v>67</v>
      </c>
      <c r="E47" s="3" t="s">
        <v>68</v>
      </c>
      <c r="F47" s="3" t="s">
        <v>69</v>
      </c>
      <c r="G47" s="4" t="s">
        <v>326</v>
      </c>
      <c r="H47" s="31" t="str">
        <f t="shared" si="1"/>
        <v>Windlast:</v>
      </c>
      <c r="I47" s="41"/>
      <c r="K47" s="278" t="s">
        <v>437</v>
      </c>
      <c r="L47" s="281">
        <f>IF(AND($I$13=FALSE,$I$14=FALSE),0,1)</f>
        <v>0</v>
      </c>
      <c r="M47" s="280"/>
      <c r="N47" s="187" t="str">
        <f>CONCATENATE("Pos. ",'Pos. 1'!$B$2,".7")</f>
        <v>Pos. 1.7</v>
      </c>
      <c r="O47" s="188" t="b">
        <f>IF(AND('Pos. 1'!AW38&lt;&gt;"",'Pos. 1'!AX38&lt;&gt;""),TRUE,FALSE)</f>
        <v>0</v>
      </c>
      <c r="P47" s="191"/>
      <c r="Q47" s="55">
        <v>6</v>
      </c>
      <c r="U47" s="278" t="b">
        <f t="shared" si="13"/>
        <v>0</v>
      </c>
      <c r="V47" s="299">
        <f t="shared" si="14"/>
        <v>1</v>
      </c>
    </row>
    <row r="48" spans="1:40" x14ac:dyDescent="0.2">
      <c r="A48" s="31" t="b">
        <f>IF(C48=FALSE,TRUE,(IF(AND(C48=TRUE,'Pos. 1'!H96=""),FALSE,TRUE)))</f>
        <v>1</v>
      </c>
      <c r="B48" s="273" t="s">
        <v>715</v>
      </c>
      <c r="C48" s="4" t="b">
        <v>0</v>
      </c>
      <c r="D48" s="2" t="s">
        <v>70</v>
      </c>
      <c r="E48" s="3" t="s">
        <v>71</v>
      </c>
      <c r="F48" s="3" t="s">
        <v>72</v>
      </c>
      <c r="G48" s="4" t="s">
        <v>327</v>
      </c>
      <c r="H48" s="31" t="str">
        <f t="shared" si="1"/>
        <v>Bemerkung:</v>
      </c>
      <c r="I48" s="41"/>
      <c r="K48" s="278" t="s">
        <v>439</v>
      </c>
      <c r="L48" s="282">
        <f>IF(OR(AND($C$37=FALSE,$C$39=FALSE),(AND($C$38=FALSE,$C$40=FALSE))),0,1)</f>
        <v>1</v>
      </c>
      <c r="M48" s="283">
        <f>IF($L$49=0,0,L48)</f>
        <v>0</v>
      </c>
      <c r="N48" s="187" t="str">
        <f>CONCATENATE("Pos. ",'Pos. 1'!$B$2,".8")</f>
        <v>Pos. 1.8</v>
      </c>
      <c r="O48" s="188" t="b">
        <f>IF(AND('Pos. 1'!AW39&lt;&gt;"",'Pos. 1'!AX39&lt;&gt;""),TRUE,FALSE)</f>
        <v>0</v>
      </c>
      <c r="P48" s="191"/>
      <c r="Q48" s="55">
        <v>7</v>
      </c>
      <c r="U48" s="278" t="b">
        <f>IF(M49=0,FALSE,TRUE)</f>
        <v>0</v>
      </c>
      <c r="V48" s="299">
        <f t="shared" si="14"/>
        <v>1</v>
      </c>
    </row>
    <row r="49" spans="1:22" ht="13.5" thickBot="1" x14ac:dyDescent="0.25">
      <c r="A49" s="179"/>
      <c r="B49" s="273" t="s">
        <v>716</v>
      </c>
      <c r="C49" s="4" t="b">
        <v>0</v>
      </c>
      <c r="D49" s="2" t="s">
        <v>73</v>
      </c>
      <c r="E49" s="3" t="s">
        <v>74</v>
      </c>
      <c r="F49" s="3" t="s">
        <v>310</v>
      </c>
      <c r="G49" s="4" t="s">
        <v>328</v>
      </c>
      <c r="H49" s="31" t="str">
        <f t="shared" si="1"/>
        <v>Zubehör:</v>
      </c>
      <c r="I49" s="41"/>
      <c r="K49" s="278" t="s">
        <v>438</v>
      </c>
      <c r="L49" s="284">
        <f>IF(L48=0,0,IF('Pos. 1'!$I$49&gt;0,1,0))</f>
        <v>0</v>
      </c>
      <c r="M49" s="285">
        <f>SUM(L49,M48)</f>
        <v>0</v>
      </c>
      <c r="N49" s="187" t="str">
        <f>CONCATENATE("Pos. ",'Pos. 1'!$B$2,".9")</f>
        <v>Pos. 1.9</v>
      </c>
      <c r="O49" s="188" t="b">
        <f>IF(AND('Pos. 1'!AW40&lt;&gt;"",'Pos. 1'!AX40&lt;&gt;""),TRUE,FALSE)</f>
        <v>0</v>
      </c>
      <c r="P49" s="191"/>
      <c r="Q49" s="55">
        <v>8</v>
      </c>
      <c r="T49" s="308" t="s">
        <v>870</v>
      </c>
      <c r="U49" s="278" t="b">
        <f>IF(AND(L44=1,AND('Pos. 1'!E23="",'Pos. 1'!E24="",'Pos. 1'!E25="",'Pos. 1'!E26="")),FALSE,TRUE)</f>
        <v>1</v>
      </c>
      <c r="V49" s="299">
        <f t="shared" si="14"/>
        <v>0</v>
      </c>
    </row>
    <row r="50" spans="1:22" x14ac:dyDescent="0.2">
      <c r="A50" s="1">
        <f>COUNTIF(A41:A49,FALSE)</f>
        <v>0</v>
      </c>
      <c r="B50" s="2" t="s">
        <v>371</v>
      </c>
      <c r="C50" s="4" t="b">
        <v>0</v>
      </c>
      <c r="D50" s="2" t="s">
        <v>670</v>
      </c>
      <c r="E50" s="3" t="s">
        <v>671</v>
      </c>
      <c r="F50" s="3" t="s">
        <v>673</v>
      </c>
      <c r="G50" s="4" t="s">
        <v>672</v>
      </c>
      <c r="H50" s="31" t="str">
        <f t="shared" si="1"/>
        <v>Rinne (siehe unten)</v>
      </c>
      <c r="I50" s="41" t="b">
        <v>0</v>
      </c>
      <c r="K50" s="278" t="s">
        <v>440</v>
      </c>
      <c r="L50" s="286">
        <f>IF(AND(OR($C$53=TRUE,$C$54=TRUE),'Pos. 1'!$Z$42&lt;&gt;"",'Pos. 1'!$T$45&lt;&gt;""),1,0)</f>
        <v>0</v>
      </c>
      <c r="M50" s="280"/>
      <c r="N50" s="187" t="str">
        <f>CONCATENATE("Pos. ",'Pos. 1'!$B$2,".10")</f>
        <v>Pos. 1.10</v>
      </c>
      <c r="O50" s="188" t="b">
        <f>IF(AND('Pos. 1'!AW41&lt;&gt;"",'Pos. 1'!AX41&lt;&gt;""),TRUE,FALSE)</f>
        <v>0</v>
      </c>
      <c r="P50" s="191"/>
      <c r="Q50" s="55">
        <v>9</v>
      </c>
      <c r="U50" s="278" t="b">
        <f t="shared" ref="U50:U55" si="15">IF(L50=0,FALSE,TRUE)</f>
        <v>0</v>
      </c>
      <c r="V50" s="299">
        <f t="shared" si="14"/>
        <v>1</v>
      </c>
    </row>
    <row r="51" spans="1:22" ht="13.5" thickBot="1" x14ac:dyDescent="0.25">
      <c r="B51" s="2" t="s">
        <v>394</v>
      </c>
      <c r="C51" s="4" t="b">
        <v>0</v>
      </c>
      <c r="D51" s="2" t="s">
        <v>306</v>
      </c>
      <c r="E51" s="3" t="s">
        <v>307</v>
      </c>
      <c r="F51" s="3" t="s">
        <v>308</v>
      </c>
      <c r="G51" s="4" t="s">
        <v>329</v>
      </c>
      <c r="H51" s="31" t="str">
        <f t="shared" si="1"/>
        <v>Wetterschenkel</v>
      </c>
      <c r="I51" s="41" t="b">
        <v>0</v>
      </c>
      <c r="K51" s="278" t="s">
        <v>441</v>
      </c>
      <c r="L51" s="279">
        <f>IF(OR($I$15=TRUE,$I$16=TRUE,$I$17=TRUE,$I$18=TRUE,$I$19=TRUE,$I$20=TRUE,$I$22=TRUE,$I$25=TRUE,$I$125=TRUE,$I$26=TRUE,$I$27=TRUE,$I$28=TRUE,$I$29=TRUE),1,0)</f>
        <v>0</v>
      </c>
      <c r="M51" s="280"/>
      <c r="N51" s="190" t="s">
        <v>581</v>
      </c>
      <c r="O51" s="192">
        <f>IF(P51=O52,1,0)</f>
        <v>0</v>
      </c>
      <c r="P51" s="193" t="str">
        <f>CONCATENATE("(",COUNTBLANK('Pos. 1'!AW32:AW41),")")</f>
        <v>(10)</v>
      </c>
      <c r="Q51" s="56">
        <v>10</v>
      </c>
      <c r="U51" s="278" t="b">
        <f t="shared" si="15"/>
        <v>0</v>
      </c>
      <c r="V51" s="299">
        <f t="shared" si="14"/>
        <v>1</v>
      </c>
    </row>
    <row r="52" spans="1:22" ht="13.5" thickBot="1" x14ac:dyDescent="0.25">
      <c r="B52" s="2"/>
      <c r="C52" s="4"/>
      <c r="D52" s="2" t="s">
        <v>298</v>
      </c>
      <c r="E52" s="3" t="s">
        <v>299</v>
      </c>
      <c r="F52" s="3" t="s">
        <v>300</v>
      </c>
      <c r="G52" s="4" t="s">
        <v>330</v>
      </c>
      <c r="H52" s="31" t="str">
        <f t="shared" si="1"/>
        <v>Standardgrundplatten:</v>
      </c>
      <c r="I52" s="41" t="b">
        <v>0</v>
      </c>
      <c r="K52" s="278" t="s">
        <v>442</v>
      </c>
      <c r="L52" s="279">
        <f>IF(OR(AND($I$36=TRUE,'Pos. 1'!$AM$43&lt;&gt;0,'Pos. 1'!$AR$43&lt;&gt;0,'Pos. 1'!$AM$49&lt;&gt;""),AND($I$39=TRUE,'Pos. 1'!$AM$45&lt;&gt;0,'Pos. 1'!$AM$49&lt;&gt;"",'Pos. 1'!$AM$46&lt;&gt;"",'Pos. 1'!$AM$47&lt;&gt;"")),1,0)</f>
        <v>0</v>
      </c>
      <c r="M52" s="280"/>
      <c r="N52" s="194"/>
      <c r="O52" s="195" t="str">
        <f>CONCATENATE("(",IF(I19=TRUE,COUNTIF(O41:O50,FALSE),""),")")</f>
        <v>()</v>
      </c>
      <c r="P52" s="196"/>
      <c r="U52" s="278" t="b">
        <f t="shared" si="15"/>
        <v>0</v>
      </c>
      <c r="V52" s="299">
        <f t="shared" si="14"/>
        <v>1</v>
      </c>
    </row>
    <row r="53" spans="1:22" x14ac:dyDescent="0.2">
      <c r="B53" s="273" t="s">
        <v>717</v>
      </c>
      <c r="C53" s="4" t="b">
        <v>1</v>
      </c>
      <c r="D53" s="2" t="s">
        <v>75</v>
      </c>
      <c r="E53" s="3" t="s">
        <v>75</v>
      </c>
      <c r="F53" s="3" t="s">
        <v>75</v>
      </c>
      <c r="G53" s="4" t="s">
        <v>75</v>
      </c>
      <c r="H53" s="31" t="str">
        <f t="shared" si="1"/>
        <v>Sun-Box</v>
      </c>
      <c r="I53" s="41"/>
      <c r="K53" s="278" t="s">
        <v>446</v>
      </c>
      <c r="L53" s="279">
        <f>IF('Pos. 1'!AT52=1,1,IF(AND(OR($I$43=TRUE,$I$44=TRUE),'Pos. 1'!$AE$53&lt;&gt;0,'Pos. 1'!$AO$55&lt;&gt;""),1,0))</f>
        <v>0</v>
      </c>
      <c r="M53" s="280"/>
      <c r="U53" s="278" t="b">
        <f t="shared" si="15"/>
        <v>0</v>
      </c>
      <c r="V53" s="299">
        <f t="shared" si="14"/>
        <v>1</v>
      </c>
    </row>
    <row r="54" spans="1:22" x14ac:dyDescent="0.2">
      <c r="B54" s="273" t="s">
        <v>718</v>
      </c>
      <c r="C54" s="4" t="b">
        <v>0</v>
      </c>
      <c r="D54" s="2" t="s">
        <v>76</v>
      </c>
      <c r="E54" s="3" t="s">
        <v>77</v>
      </c>
      <c r="F54" s="3" t="s">
        <v>78</v>
      </c>
      <c r="G54" s="4" t="s">
        <v>331</v>
      </c>
      <c r="H54" s="31" t="str">
        <f t="shared" si="1"/>
        <v>Glastyp wählen</v>
      </c>
      <c r="I54" s="41"/>
      <c r="K54" s="278" t="s">
        <v>447</v>
      </c>
      <c r="L54" s="279">
        <f>SUM(IF(AND('Pos. 1'!$AE$70&lt;&gt;"",'Pos. 1'!$AN$70&lt;&gt;"",OR($C$60=TRUE,$C$61=TRUE,$C$62=TRUE,$C$63=TRUE)),1,0),M54)</f>
        <v>1</v>
      </c>
      <c r="M54" s="280">
        <f>IF(AND(OR('Pos. 1'!F10="F",'Pos. 1'!F10=""),OR('Pos. 1'!N10="F",'Pos. 1'!N10=""),OR('Pos. 1'!R10="F",'Pos. 1'!R10=""),OR('Pos. 1'!V10="F",'Pos. 1'!V10=""),OR('Pos. 1'!Z10="F",'Pos. 1'!Z10=""),OR('Pos. 1'!AD10="F",'Pos. 1'!AD10=""),OR('Pos. 1'!AH10="F",'Pos. 1'!AH10=""),OR('Pos. 1'!AL10="F",'Pos. 1'!AL10=""),OR('Pos. 1'!AP10="F",'Pos. 1'!AP10="")),1,0)</f>
        <v>1</v>
      </c>
      <c r="U54" s="278" t="b">
        <f t="shared" si="15"/>
        <v>1</v>
      </c>
      <c r="V54" s="299">
        <f t="shared" si="14"/>
        <v>0</v>
      </c>
    </row>
    <row r="55" spans="1:22" x14ac:dyDescent="0.2">
      <c r="B55" s="2"/>
      <c r="C55" s="4"/>
      <c r="D55" s="2" t="s">
        <v>79</v>
      </c>
      <c r="E55" s="3" t="s">
        <v>80</v>
      </c>
      <c r="F55" s="3" t="s">
        <v>79</v>
      </c>
      <c r="G55" s="4" t="s">
        <v>79</v>
      </c>
      <c r="H55" s="31" t="str">
        <f t="shared" si="1"/>
        <v>Pos:</v>
      </c>
      <c r="I55" s="41"/>
      <c r="K55" s="278" t="s">
        <v>448</v>
      </c>
      <c r="L55" s="281">
        <f>IF(AND('Pos. 1'!$AM$88&lt;&gt;"",'Pos. 1'!$AE$84&lt;&gt;"",'Pos. 1'!$AM$87&lt;&gt;""),1,0)</f>
        <v>0</v>
      </c>
      <c r="M55" s="280"/>
      <c r="U55" s="278" t="b">
        <f t="shared" si="15"/>
        <v>0</v>
      </c>
      <c r="V55" s="299">
        <f t="shared" si="14"/>
        <v>1</v>
      </c>
    </row>
    <row r="56" spans="1:22" ht="15" customHeight="1" thickBot="1" x14ac:dyDescent="0.25">
      <c r="B56" s="2"/>
      <c r="C56" s="4" t="b">
        <v>1</v>
      </c>
      <c r="D56" s="2" t="s">
        <v>81</v>
      </c>
      <c r="E56" s="3" t="s">
        <v>82</v>
      </c>
      <c r="F56" s="3" t="s">
        <v>83</v>
      </c>
      <c r="G56" s="4" t="s">
        <v>147</v>
      </c>
      <c r="H56" s="31" t="str">
        <f t="shared" si="1"/>
        <v>Stück:</v>
      </c>
      <c r="I56" s="41"/>
      <c r="K56" s="278" t="s">
        <v>453</v>
      </c>
      <c r="L56" s="282">
        <f>IF(OR($C$41=TRUE,$C$42=TRUE,$C$43=TRUE,$C$44=TRUE,AND('Pos. 1'!F10="F",'Pos. 1'!J10="")),1,0)</f>
        <v>0</v>
      </c>
      <c r="M56" s="287">
        <f>SUM(L56:L57)</f>
        <v>0</v>
      </c>
      <c r="U56" s="278" t="b">
        <f>IF(M56=0,FALSE,TRUE)</f>
        <v>0</v>
      </c>
      <c r="V56" s="299">
        <f t="shared" si="14"/>
        <v>1</v>
      </c>
    </row>
    <row r="57" spans="1:22" x14ac:dyDescent="0.2">
      <c r="B57" s="2" t="s">
        <v>455</v>
      </c>
      <c r="C57" s="4" t="b">
        <v>0</v>
      </c>
      <c r="D57" s="2" t="s">
        <v>84</v>
      </c>
      <c r="E57" s="3" t="s">
        <v>85</v>
      </c>
      <c r="F57" s="3" t="s">
        <v>85</v>
      </c>
      <c r="G57" s="4" t="s">
        <v>193</v>
      </c>
      <c r="H57" s="31" t="str">
        <f t="shared" si="1"/>
        <v>Seite:</v>
      </c>
      <c r="I57" s="41"/>
      <c r="K57" s="278" t="s">
        <v>454</v>
      </c>
      <c r="L57" s="327" t="s">
        <v>809</v>
      </c>
      <c r="M57" s="288"/>
      <c r="O57" s="34" t="s">
        <v>888</v>
      </c>
      <c r="P57" s="370"/>
      <c r="Q57" s="370"/>
      <c r="R57" s="371"/>
      <c r="T57" s="308"/>
      <c r="U57" s="278"/>
      <c r="V57" s="299"/>
    </row>
    <row r="58" spans="1:22" x14ac:dyDescent="0.2">
      <c r="B58" s="2" t="s">
        <v>456</v>
      </c>
      <c r="C58" s="4" t="b">
        <v>0</v>
      </c>
      <c r="D58" s="2" t="s">
        <v>425</v>
      </c>
      <c r="E58" s="3" t="s">
        <v>426</v>
      </c>
      <c r="F58" s="3" t="s">
        <v>427</v>
      </c>
      <c r="G58" s="4" t="s">
        <v>428</v>
      </c>
      <c r="H58" s="31" t="str">
        <f t="shared" si="1"/>
        <v>Achsmass →</v>
      </c>
      <c r="I58" s="41"/>
      <c r="K58" s="278" t="s">
        <v>457</v>
      </c>
      <c r="L58" s="286">
        <f>IF(AND('Pos. 1'!$G$20=0,'Pos. 1'!$K$20=0,'Pos. 1'!$O$20=0,'Pos. 1'!$S$20=0,'Pos. 1'!$W$20=0,'Pos. 1'!$AA$20=0,'Pos. 1'!$AE$20=0,'Pos. 1'!$AI$20=0,'Pos. 1'!$AM$20=0),1,0)</f>
        <v>1</v>
      </c>
      <c r="M58" s="280"/>
      <c r="O58" s="372" t="s">
        <v>889</v>
      </c>
      <c r="P58" s="373" t="s">
        <v>890</v>
      </c>
      <c r="Q58" s="373" t="s">
        <v>891</v>
      </c>
      <c r="R58" s="374" t="s">
        <v>892</v>
      </c>
      <c r="T58" s="308" t="s">
        <v>690</v>
      </c>
      <c r="U58" s="278" t="b">
        <f>IF(AND(L62=1,'Pos. 1'!C11&gt;35),FALSE,TRUE)</f>
        <v>1</v>
      </c>
      <c r="V58" s="299">
        <f t="shared" si="14"/>
        <v>0</v>
      </c>
    </row>
    <row r="59" spans="1:22" x14ac:dyDescent="0.2">
      <c r="B59" s="2"/>
      <c r="C59" s="4"/>
      <c r="D59" s="2" t="s">
        <v>86</v>
      </c>
      <c r="E59" s="3" t="s">
        <v>87</v>
      </c>
      <c r="F59" s="3" t="s">
        <v>88</v>
      </c>
      <c r="G59" s="4" t="s">
        <v>146</v>
      </c>
      <c r="H59" s="31" t="str">
        <f t="shared" si="1"/>
        <v>VSG mit P4A</v>
      </c>
      <c r="I59" s="41"/>
      <c r="K59" s="278" t="s">
        <v>458</v>
      </c>
      <c r="L59" s="289">
        <f>IF(AND($C$49=FALSE,$C$50=FALSE,$C$51=FALSE),0,1)</f>
        <v>0</v>
      </c>
      <c r="M59" s="290">
        <f>SUM(L58:L59)</f>
        <v>1</v>
      </c>
      <c r="O59" s="317" t="s">
        <v>195</v>
      </c>
      <c r="P59" s="375">
        <f>IF(OR('Pos. 1'!$F$10='Sprachen &amp; Rückgabewerte'!$B$10,'Pos. 1'!$F$10='Sprachen &amp; Rückgabewerte'!B11),1,0)</f>
        <v>0</v>
      </c>
      <c r="Q59" s="318">
        <f>IF(P59=1,0,1)</f>
        <v>1</v>
      </c>
      <c r="R59" s="325">
        <f>IF(AND(P59=1,'Pos. 1'!$F$16=""),1,0)</f>
        <v>0</v>
      </c>
      <c r="U59" s="278" t="b">
        <f>IF(M59=0,FALSE,TRUE)</f>
        <v>1</v>
      </c>
      <c r="V59" s="299">
        <f t="shared" si="14"/>
        <v>0</v>
      </c>
    </row>
    <row r="60" spans="1:22" ht="15" customHeight="1" x14ac:dyDescent="0.2">
      <c r="B60" s="2" t="s">
        <v>229</v>
      </c>
      <c r="C60" s="4" t="b">
        <v>0</v>
      </c>
      <c r="D60" s="2" t="s">
        <v>89</v>
      </c>
      <c r="E60" s="3" t="s">
        <v>90</v>
      </c>
      <c r="F60" s="3" t="s">
        <v>289</v>
      </c>
      <c r="G60" s="4" t="s">
        <v>332</v>
      </c>
      <c r="H60" s="31" t="str">
        <f t="shared" si="1"/>
        <v>Insektenschutz</v>
      </c>
      <c r="I60" s="41"/>
      <c r="K60" s="278" t="s">
        <v>459</v>
      </c>
      <c r="L60" s="282">
        <f>IF(AND($C$46=TRUE,OR($C$57=TRUE,$C$58=TRUE)),1,0)</f>
        <v>0</v>
      </c>
      <c r="M60" s="544">
        <f>SUM(L60:L61)</f>
        <v>1</v>
      </c>
      <c r="O60" s="273" t="s">
        <v>196</v>
      </c>
      <c r="P60" s="376">
        <f>IF(OR('Pos. 1'!$J$10='Sprachen &amp; Rückgabewerte'!$B$10,'Pos. 1'!$J$10='Sprachen &amp; Rückgabewerte'!B11),1,0)</f>
        <v>0</v>
      </c>
      <c r="Q60" s="309">
        <f t="shared" ref="Q60:Q68" si="16">IF(P60=1,0,1)</f>
        <v>1</v>
      </c>
      <c r="R60" s="310">
        <f>IF(AND(P60=1,'Pos. 1'!$J$16=""),1,0)</f>
        <v>0</v>
      </c>
      <c r="U60" s="303" t="b">
        <f>IF(M60=0,FALSE,TRUE)</f>
        <v>1</v>
      </c>
      <c r="V60" s="299">
        <f t="shared" si="14"/>
        <v>0</v>
      </c>
    </row>
    <row r="61" spans="1:22" ht="12.75" customHeight="1" x14ac:dyDescent="0.2">
      <c r="B61" s="2" t="s">
        <v>230</v>
      </c>
      <c r="C61" s="4" t="b">
        <v>0</v>
      </c>
      <c r="D61" s="10" t="s">
        <v>145</v>
      </c>
      <c r="E61" s="11" t="s">
        <v>145</v>
      </c>
      <c r="F61" s="11" t="s">
        <v>145</v>
      </c>
      <c r="G61" s="12" t="s">
        <v>145</v>
      </c>
      <c r="H61" s="31" t="str">
        <f t="shared" si="1"/>
        <v>Standard = 1050mm</v>
      </c>
      <c r="I61" s="41"/>
      <c r="K61" s="278"/>
      <c r="L61" s="284">
        <f>IF(C46=FALSE,1,0)</f>
        <v>1</v>
      </c>
      <c r="M61" s="545"/>
      <c r="O61" s="273" t="s">
        <v>197</v>
      </c>
      <c r="P61" s="376">
        <f>IF(OR('Pos. 1'!$N$10='Sprachen &amp; Rückgabewerte'!$B$10,'Pos. 1'!$N$10='Sprachen &amp; Rückgabewerte'!B11),1,0)</f>
        <v>0</v>
      </c>
      <c r="Q61" s="309">
        <f t="shared" si="16"/>
        <v>1</v>
      </c>
      <c r="R61" s="310">
        <f>IF(AND(P61=1,'Pos. 1'!$N$16=""),1,0)</f>
        <v>0</v>
      </c>
      <c r="U61" s="278"/>
      <c r="V61" s="299"/>
    </row>
    <row r="62" spans="1:22" x14ac:dyDescent="0.2">
      <c r="B62" s="2" t="s">
        <v>231</v>
      </c>
      <c r="C62" s="4" t="b">
        <v>0</v>
      </c>
      <c r="D62" s="2" t="s">
        <v>140</v>
      </c>
      <c r="E62" s="3" t="s">
        <v>141</v>
      </c>
      <c r="F62" s="3" t="s">
        <v>142</v>
      </c>
      <c r="G62" s="4" t="s">
        <v>143</v>
      </c>
      <c r="H62" s="31" t="str">
        <f t="shared" si="1"/>
        <v>RC2: zwingend 1050mm</v>
      </c>
      <c r="I62" s="41"/>
      <c r="K62" s="278" t="s">
        <v>484</v>
      </c>
      <c r="L62" s="282">
        <f>IF(OR(AND('Pos. 1'!$F$10="L",'Pos. 1'!$J$10="R"),AND('Pos. 1'!$J$10="L",'Pos. 1'!$N$10="R"),AND('Pos. 1'!$N$10="L",'Pos. 1'!$R$10="R"),AND('Pos. 1'!$R$10="L",'Pos. 1'!$V$10="R"),AND('Pos. 1'!$V$10="L",'Pos. 1'!$Z$10="R"),AND('Pos. 1'!$Z$10="L",'Pos. 1'!$AD$10="R"),AND('Pos. 1'!$AD$10="L",'Pos. 1'!$AH$10="R"),AND('Pos. 1'!$AH$10="L",'Pos. 1'!$AL$10="R"),AND('Pos. 1'!$AL$10="L",'Pos. 1'!$AP$10="R"),AND('Pos. 1'!F10="F",'Pos. 1'!J10="R"),AND('Pos. 1'!J10="F",'Pos. 1'!N10="R"),AND('Pos. 1'!N10="F",'Pos. 1'!R10="R"),AND('Pos. 1'!R10="F",'Pos. 1'!V10="R"),AND('Pos. 1'!V10="F",'Pos. 1'!Z10="R"),AND('Pos. 1'!Z10="F",'Pos. 1'!AD10="R"),AND('Pos. 1'!AD10="F",'Pos. 1'!AH10="R"),AND('Pos. 1'!AH10="F",'Pos. 1'!AL10="R"),AND('Pos. 1'!AL10="F",'Pos. 1'!AP10="R"),AND('Pos. 1'!F10="L",'Pos. 1'!J10="F"),AND('Pos. 1'!J10="L",'Pos. 1'!N10="F"),AND('Pos. 1'!N10="L",'Pos. 1'!R10="F"),AND('Pos. 1'!R10="L",'Pos. 1'!V10="F"),AND('Pos. 1'!V10="L",'Pos. 1'!Z10="F"),AND('Pos. 1'!Z10="L",'Pos. 1'!AD10="F"),AND('Pos. 1'!AD10="L",'Pos. 1'!AH10="F"),AND('Pos. 1'!AH10="L",'Pos. 1'!AL10="F"),AND('Pos. 1'!AL10="L",'Pos. 1'!AP10="F")),1,0)</f>
        <v>0</v>
      </c>
      <c r="M62" s="287">
        <f>IF(AND(L58=0,SUM(L62:L65)=2),0,SUM(L62:L65))</f>
        <v>1</v>
      </c>
      <c r="O62" s="273" t="s">
        <v>198</v>
      </c>
      <c r="P62" s="376">
        <f>IF(OR('Pos. 1'!$R$10='Sprachen &amp; Rückgabewerte'!$B$10,'Pos. 1'!$R$10='Sprachen &amp; Rückgabewerte'!B11),1,0)</f>
        <v>0</v>
      </c>
      <c r="Q62" s="309">
        <f t="shared" si="16"/>
        <v>1</v>
      </c>
      <c r="R62" s="310">
        <f>IF(AND(P62=1,'Pos. 1'!$R$16=""),1,0)</f>
        <v>0</v>
      </c>
      <c r="U62" s="278" t="b">
        <f>IF(OR(M62=2,M62=3),FALSE,TRUE)</f>
        <v>1</v>
      </c>
      <c r="V62" s="299">
        <f t="shared" si="14"/>
        <v>0</v>
      </c>
    </row>
    <row r="63" spans="1:22" ht="15.75" customHeight="1" thickBot="1" x14ac:dyDescent="0.25">
      <c r="B63" s="32" t="s">
        <v>232</v>
      </c>
      <c r="C63" s="47" t="b">
        <v>0</v>
      </c>
      <c r="D63" s="2" t="s">
        <v>144</v>
      </c>
      <c r="E63" s="3" t="s">
        <v>144</v>
      </c>
      <c r="F63" s="3" t="s">
        <v>144</v>
      </c>
      <c r="G63" s="4" t="s">
        <v>144</v>
      </c>
      <c r="H63" s="31" t="str">
        <f t="shared" si="1"/>
        <v>min: RV=200 MVv=750</v>
      </c>
      <c r="I63" s="41"/>
      <c r="K63" s="278"/>
      <c r="L63" s="291">
        <f>IF(AND('Pos. 1'!G20="",'Pos. 1'!K20="",'Pos. 1'!O20="",'Pos. 1'!S20="",'Pos. 1'!W20="",'Pos. 1'!AA20="",'Pos. 1'!AE20="",'Pos. 1'!AI20="",'Pos. 1'!AM20=""),1,2)</f>
        <v>1</v>
      </c>
      <c r="M63" s="292"/>
      <c r="O63" s="273" t="s">
        <v>199</v>
      </c>
      <c r="P63" s="376">
        <f>IF(OR('Pos. 1'!$V$10='Sprachen &amp; Rückgabewerte'!$B$10,'Pos. 1'!$V$10='Sprachen &amp; Rückgabewerte'!B11),1,0)</f>
        <v>0</v>
      </c>
      <c r="Q63" s="309">
        <f t="shared" si="16"/>
        <v>1</v>
      </c>
      <c r="R63" s="310">
        <f>IF(AND(P63=1,'Pos. 1'!$V$16=""),1,0)</f>
        <v>0</v>
      </c>
      <c r="T63" s="308" t="s">
        <v>698</v>
      </c>
      <c r="U63" s="278" t="b">
        <f>IF('Pos. 1'!AX25="",FALSE,TRUE)</f>
        <v>0</v>
      </c>
      <c r="V63" s="299">
        <f>IF(U63=FALSE,1,0)</f>
        <v>1</v>
      </c>
    </row>
    <row r="64" spans="1:22" ht="15" customHeight="1" x14ac:dyDescent="0.2">
      <c r="B64" s="175" t="s">
        <v>549</v>
      </c>
      <c r="C64" s="176">
        <f>IF(OR($C$60=TRUE,$C$61=TRUE,$C$62=TRUE,$C$63=TRUE),1,0)</f>
        <v>0</v>
      </c>
      <c r="D64" s="2" t="s">
        <v>148</v>
      </c>
      <c r="E64" s="3" t="s">
        <v>234</v>
      </c>
      <c r="F64" s="3" t="s">
        <v>258</v>
      </c>
      <c r="G64" s="4" t="s">
        <v>272</v>
      </c>
      <c r="H64" s="31" t="str">
        <f t="shared" si="1"/>
        <v>Verschlussgriffe:</v>
      </c>
      <c r="I64" s="41"/>
      <c r="K64" s="278"/>
      <c r="L64" s="291">
        <f>IF(AND($C$45=FALSE,$C$46=FALSE,$C$47=FALSE,$C$48=FALSE),0,1)</f>
        <v>0</v>
      </c>
      <c r="M64" s="292"/>
      <c r="O64" s="273" t="s">
        <v>200</v>
      </c>
      <c r="P64" s="376">
        <f>IF(OR('Pos. 1'!$Z$10='Sprachen &amp; Rückgabewerte'!$B$10,'Pos. 1'!$Z$10='Sprachen &amp; Rückgabewerte'!B11),1,0)</f>
        <v>0</v>
      </c>
      <c r="Q64" s="309">
        <f t="shared" si="16"/>
        <v>1</v>
      </c>
      <c r="R64" s="310">
        <f>IF(AND(P64=1,'Pos. 1'!$Z$16=""),1,0)</f>
        <v>0</v>
      </c>
      <c r="T64" s="308" t="s">
        <v>705</v>
      </c>
      <c r="U64" s="278" t="b">
        <f>IF('Pos. 1'!AM87="",FALSE,TRUE)</f>
        <v>0</v>
      </c>
      <c r="V64" s="299">
        <f>IF(U64=FALSE,1,0)</f>
        <v>1</v>
      </c>
    </row>
    <row r="65" spans="2:23" ht="15.75" customHeight="1" thickBot="1" x14ac:dyDescent="0.25">
      <c r="B65" s="89"/>
      <c r="C65" s="88"/>
      <c r="D65" s="2" t="s">
        <v>152</v>
      </c>
      <c r="E65" s="3" t="s">
        <v>235</v>
      </c>
      <c r="F65" s="3" t="s">
        <v>290</v>
      </c>
      <c r="G65" s="4" t="s">
        <v>333</v>
      </c>
      <c r="H65" s="31" t="str">
        <f t="shared" si="1"/>
        <v>mit Verschlussraster (Druckknopf)</v>
      </c>
      <c r="I65" s="41"/>
      <c r="K65" s="278"/>
      <c r="L65" s="284">
        <f>IF(AND('Pos. 1'!H11="",'Pos. 1'!I11="",'Pos. 1'!L11="",'Pos. 1'!M11="",'Pos. 1'!P11="",'Pos. 1'!Q11="",'Pos. 1'!T11="",'Pos. 1'!U11="",'Pos. 1'!X11="",'Pos. 1'!Y11="",'Pos. 1'!AB11="",'Pos. 1'!AC11="",'Pos. 1'!AF11="",'Pos. 1'!AG11="",'Pos. 1'!AJ11="",'Pos. 1'!AK11="",'Pos. 1'!AN11="",'Pos. 1'!AO11=""),0,1)</f>
        <v>0</v>
      </c>
      <c r="M65" s="288"/>
      <c r="O65" s="273" t="s">
        <v>201</v>
      </c>
      <c r="P65" s="376">
        <f>IF(OR('Pos. 1'!$AD$10='Sprachen &amp; Rückgabewerte'!$B$10,'Pos. 1'!$AD$10='Sprachen &amp; Rückgabewerte'!B11),1,0)</f>
        <v>0</v>
      </c>
      <c r="Q65" s="309">
        <f t="shared" si="16"/>
        <v>1</v>
      </c>
      <c r="R65" s="310">
        <f>IF(AND(P65=1,'Pos. 1'!$AD$16=""),1,0)</f>
        <v>0</v>
      </c>
      <c r="T65" s="272" t="s">
        <v>936</v>
      </c>
      <c r="U65" s="278" t="b">
        <f>IF(AND(C51=TRUE,'Pos. 1'!V97=""),FALSE,TRUE)</f>
        <v>1</v>
      </c>
      <c r="V65" s="299">
        <f>IF(U65=FALSE,1,0)</f>
        <v>0</v>
      </c>
    </row>
    <row r="66" spans="2:23" ht="25.5" x14ac:dyDescent="0.2">
      <c r="B66" s="181" t="s">
        <v>550</v>
      </c>
      <c r="C66" s="88"/>
      <c r="D66" s="2" t="s">
        <v>406</v>
      </c>
      <c r="E66" s="3" t="s">
        <v>407</v>
      </c>
      <c r="F66" s="3" t="s">
        <v>409</v>
      </c>
      <c r="G66" s="4" t="s">
        <v>408</v>
      </c>
      <c r="H66" s="31" t="str">
        <f t="shared" si="1"/>
        <v>mit Verschlussraster (Zylinder)</v>
      </c>
      <c r="I66" s="41"/>
      <c r="K66" s="293" t="s">
        <v>553</v>
      </c>
      <c r="L66" s="282" t="b">
        <f>IF(AND($I$71=TRUE,'Pos. 1'!$AP$74="",'Pos. 1'!$AP$75="",'Pos. 1'!$AP$76=""),FALSE,TRUE)</f>
        <v>1</v>
      </c>
      <c r="M66" s="287" t="b">
        <f>IF(OR($L$66=FALSE,$L$67=FALSE,$L$68=FALSE,L69=FALSE),FALSE,TRUE)</f>
        <v>0</v>
      </c>
      <c r="O66" s="273" t="s">
        <v>202</v>
      </c>
      <c r="P66" s="376">
        <f>IF(OR('Pos. 1'!$AH$10='Sprachen &amp; Rückgabewerte'!$B$10,'Pos. 1'!$AH$10='Sprachen &amp; Rückgabewerte'!B11),1,0)</f>
        <v>0</v>
      </c>
      <c r="Q66" s="309">
        <f t="shared" si="16"/>
        <v>1</v>
      </c>
      <c r="R66" s="310">
        <f>IF(AND(P66=1,'Pos. 1'!$AH$16=""),1,0)</f>
        <v>0</v>
      </c>
      <c r="U66" s="278" t="b">
        <f>M66</f>
        <v>0</v>
      </c>
      <c r="V66" s="299">
        <f t="shared" si="14"/>
        <v>1</v>
      </c>
    </row>
    <row r="67" spans="2:23" ht="15" customHeight="1" x14ac:dyDescent="0.2">
      <c r="B67" s="180"/>
      <c r="C67" s="88"/>
      <c r="D67" s="2" t="s">
        <v>149</v>
      </c>
      <c r="E67" s="3" t="s">
        <v>236</v>
      </c>
      <c r="F67" s="3" t="s">
        <v>291</v>
      </c>
      <c r="G67" s="4" t="s">
        <v>334</v>
      </c>
      <c r="H67" s="31" t="str">
        <f t="shared" si="1"/>
        <v>ohne Verschlussraster</v>
      </c>
      <c r="I67" s="41"/>
      <c r="K67" s="293" t="s">
        <v>554</v>
      </c>
      <c r="L67" s="294" t="b">
        <f>IF('Pos. 1'!AN78="",FALSE,TRUE)</f>
        <v>0</v>
      </c>
      <c r="M67" s="292"/>
      <c r="O67" s="273" t="s">
        <v>203</v>
      </c>
      <c r="P67" s="376">
        <f>IF(OR('Pos. 1'!$AL$10='Sprachen &amp; Rückgabewerte'!$B$10,'Pos. 1'!$AL$10='Sprachen &amp; Rückgabewerte'!B11),1,0)</f>
        <v>0</v>
      </c>
      <c r="Q67" s="309">
        <f t="shared" si="16"/>
        <v>1</v>
      </c>
      <c r="R67" s="310">
        <f>IF(AND(P67=1,'Pos. 1'!$AL$16=""),1,0)</f>
        <v>0</v>
      </c>
      <c r="T67" s="308" t="s">
        <v>894</v>
      </c>
      <c r="U67" s="278" t="b">
        <f>IF(R69&gt;0,FALSE,TRUE)</f>
        <v>1</v>
      </c>
      <c r="V67" s="299">
        <f>IF(U67=FALSE,1,0)</f>
        <v>0</v>
      </c>
    </row>
    <row r="68" spans="2:23" ht="15" customHeight="1" x14ac:dyDescent="0.2">
      <c r="B68" s="31" t="str">
        <f>$H$112</f>
        <v>mit CFK</v>
      </c>
      <c r="C68" s="88"/>
      <c r="D68" s="2" t="s">
        <v>150</v>
      </c>
      <c r="E68" s="3" t="s">
        <v>237</v>
      </c>
      <c r="F68" s="3" t="s">
        <v>260</v>
      </c>
      <c r="G68" s="4" t="s">
        <v>335</v>
      </c>
      <c r="H68" s="31" t="str">
        <f t="shared" si="1"/>
        <v>2-Punkt Verriegelung</v>
      </c>
      <c r="I68" s="41"/>
      <c r="J68" s="1" t="str">
        <f>H68</f>
        <v>2-Punkt Verriegelung</v>
      </c>
      <c r="K68" s="293" t="s">
        <v>555</v>
      </c>
      <c r="L68" s="294" t="b">
        <f>IF('Pos. 1'!AN79="",FALSE,TRUE)</f>
        <v>0</v>
      </c>
      <c r="M68" s="292"/>
      <c r="O68" s="273" t="s">
        <v>204</v>
      </c>
      <c r="P68" s="376">
        <f>IF(OR('Pos. 1'!$AP$10='Sprachen &amp; Rückgabewerte'!$B$10,'Pos. 1'!$AP$10='Sprachen &amp; Rückgabewerte'!B11),1,0)</f>
        <v>0</v>
      </c>
      <c r="Q68" s="309">
        <f t="shared" si="16"/>
        <v>1</v>
      </c>
      <c r="R68" s="310">
        <f>IF(AND(P68=1,'Pos. 1'!$AP$16=""),1,0)</f>
        <v>0</v>
      </c>
      <c r="T68" s="308" t="s">
        <v>933</v>
      </c>
      <c r="U68" s="278" t="b">
        <f>IF('Pos. 1'!AQ96="",FALSE,TRUE)</f>
        <v>0</v>
      </c>
      <c r="V68" s="299">
        <f t="shared" ref="V68:V69" si="17">IF(U68=FALSE,1,0)</f>
        <v>1</v>
      </c>
      <c r="W68" s="414">
        <f>SUM(V68:V69)</f>
        <v>1</v>
      </c>
    </row>
    <row r="69" spans="2:23" ht="15" customHeight="1" thickBot="1" x14ac:dyDescent="0.25">
      <c r="B69" s="31" t="str">
        <f>$H$113</f>
        <v>ohne CFK</v>
      </c>
      <c r="C69" s="88"/>
      <c r="D69" s="2" t="s">
        <v>151</v>
      </c>
      <c r="E69" s="3" t="s">
        <v>238</v>
      </c>
      <c r="F69" s="3" t="s">
        <v>259</v>
      </c>
      <c r="G69" s="4" t="s">
        <v>336</v>
      </c>
      <c r="H69" s="31" t="str">
        <f t="shared" si="1"/>
        <v>3-Punkt Verriegelung</v>
      </c>
      <c r="I69" s="41"/>
      <c r="J69" s="1" t="str">
        <f>H69</f>
        <v>3-Punkt Verriegelung</v>
      </c>
      <c r="K69" s="293" t="s">
        <v>556</v>
      </c>
      <c r="L69" s="295" t="b">
        <f>IF('Pos. 1'!$AN$80&lt;&gt;"",TRUE,FALSE)</f>
        <v>0</v>
      </c>
      <c r="M69" s="288"/>
      <c r="O69" s="377"/>
      <c r="P69" s="378"/>
      <c r="Q69" s="379" t="s">
        <v>893</v>
      </c>
      <c r="R69" s="380">
        <f>IF(I20=TRUE,SUM(R59:R68),0)</f>
        <v>0</v>
      </c>
      <c r="T69" s="308" t="s">
        <v>934</v>
      </c>
      <c r="U69" s="278" t="b">
        <f>IF(AND('Pos. 1'!AQ96='Sprachen &amp; Rückgabewerte'!H95,'Pos. 1'!AW96=""),FALSE,TRUE)</f>
        <v>1</v>
      </c>
      <c r="V69" s="299">
        <f t="shared" si="17"/>
        <v>0</v>
      </c>
    </row>
    <row r="70" spans="2:23" x14ac:dyDescent="0.2">
      <c r="B70" s="31"/>
      <c r="C70" s="88"/>
      <c r="D70" s="2" t="s">
        <v>233</v>
      </c>
      <c r="E70" s="3" t="s">
        <v>239</v>
      </c>
      <c r="F70" s="3" t="s">
        <v>261</v>
      </c>
      <c r="G70" s="4" t="s">
        <v>273</v>
      </c>
      <c r="H70" s="31" t="str">
        <f t="shared" si="1"/>
        <v>Befestigung:</v>
      </c>
      <c r="I70" s="41"/>
      <c r="K70" s="278" t="s">
        <v>579</v>
      </c>
      <c r="L70" s="296">
        <f>IF(AND(I19=TRUE,O51=1),1,0)</f>
        <v>0</v>
      </c>
      <c r="M70" s="290"/>
      <c r="U70" s="278" t="b">
        <f>IF(AND(I19=TRUE,O51&lt;&gt;1),FALSE,TRUE)</f>
        <v>1</v>
      </c>
      <c r="V70" s="299">
        <f t="shared" si="14"/>
        <v>0</v>
      </c>
    </row>
    <row r="71" spans="2:23" x14ac:dyDescent="0.2">
      <c r="B71" s="31" t="str">
        <f>$H$114</f>
        <v>mit Stahl</v>
      </c>
      <c r="C71" s="88"/>
      <c r="D71" s="2" t="s">
        <v>285</v>
      </c>
      <c r="E71" s="3" t="s">
        <v>286</v>
      </c>
      <c r="F71" s="3" t="s">
        <v>287</v>
      </c>
      <c r="G71" s="4" t="s">
        <v>274</v>
      </c>
      <c r="H71" s="31" t="str">
        <f t="shared" si="1"/>
        <v>Universalschrauben (A2):</v>
      </c>
      <c r="I71" s="41" t="b">
        <v>0</v>
      </c>
      <c r="K71" s="278" t="s">
        <v>619</v>
      </c>
      <c r="L71" s="296">
        <f>IF(OR('Pos. 1'!$F$10='Sprachen &amp; Rückgabewerte'!$B$14,'Pos. 1'!$J$10='Sprachen &amp; Rückgabewerte'!$B$14,'Pos. 1'!$N$10='Sprachen &amp; Rückgabewerte'!B14,'Pos. 1'!$R$10='Sprachen &amp; Rückgabewerte'!$B$14,'Pos. 1'!$V$10='Sprachen &amp; Rückgabewerte'!$B$14,'Pos. 1'!$Z$10='Sprachen &amp; Rückgabewerte'!$B$14,'Pos. 1'!$AD$10='Sprachen &amp; Rückgabewerte'!$B$14,'Pos. 1'!$AH$10='Sprachen &amp; Rückgabewerte'!$B$14,'Pos. 1'!$AL$10='Sprachen &amp; Rückgabewerte'!$B$14,'Pos. 1'!$AP$10='Sprachen &amp; Rückgabewerte'!$B$14),0,1)</f>
        <v>1</v>
      </c>
      <c r="M71" s="290">
        <f>IF(AND(L71=0,'Pos. 1'!AW48=""),0,1)</f>
        <v>1</v>
      </c>
      <c r="U71" s="278" t="b">
        <f>IF(M71=1,TRUE,FALSE)</f>
        <v>1</v>
      </c>
      <c r="V71" s="299">
        <f t="shared" si="14"/>
        <v>0</v>
      </c>
    </row>
    <row r="72" spans="2:23" x14ac:dyDescent="0.2">
      <c r="B72" s="31" t="str">
        <f>$H$115</f>
        <v>ohne Stahl</v>
      </c>
      <c r="C72" s="88"/>
      <c r="D72" s="2" t="s">
        <v>153</v>
      </c>
      <c r="E72" s="3" t="s">
        <v>153</v>
      </c>
      <c r="F72" s="3" t="s">
        <v>153</v>
      </c>
      <c r="G72" s="3" t="s">
        <v>153</v>
      </c>
      <c r="H72" s="31" t="str">
        <f t="shared" ref="H72:H88" si="18">IF($B$3=$A$3,D72,IF($B$3=$A$4,E72,IF($B$3=$A$5,F72,IF($B$3=$A$6,G72,""))))</f>
        <v>L=52mm</v>
      </c>
      <c r="I72" s="41"/>
      <c r="J72" s="1" t="str">
        <f>H72</f>
        <v>L=52mm</v>
      </c>
      <c r="K72" s="297" t="s">
        <v>683</v>
      </c>
      <c r="L72" s="298">
        <f>C95</f>
        <v>6</v>
      </c>
      <c r="M72" s="299"/>
      <c r="U72" s="278" t="b">
        <f>IF(AND(L72&gt;0,I50=TRUE),FALSE,TRUE)</f>
        <v>1</v>
      </c>
      <c r="V72" s="299">
        <f t="shared" si="14"/>
        <v>0</v>
      </c>
    </row>
    <row r="73" spans="2:23" x14ac:dyDescent="0.2">
      <c r="B73" s="31"/>
      <c r="C73" s="88"/>
      <c r="D73" s="2" t="s">
        <v>154</v>
      </c>
      <c r="E73" s="3" t="s">
        <v>154</v>
      </c>
      <c r="F73" s="3" t="s">
        <v>154</v>
      </c>
      <c r="G73" s="3" t="s">
        <v>154</v>
      </c>
      <c r="H73" s="31" t="str">
        <f t="shared" si="18"/>
        <v>L=82mm</v>
      </c>
      <c r="I73" s="41"/>
      <c r="J73" s="1" t="str">
        <f>H73</f>
        <v>L=82mm</v>
      </c>
      <c r="K73" s="297" t="s">
        <v>685</v>
      </c>
      <c r="L73" s="298">
        <f>A50</f>
        <v>0</v>
      </c>
      <c r="M73" s="299"/>
      <c r="T73" s="272"/>
      <c r="U73" s="278" t="b">
        <f>IF(L73=0,TRUE,FALSE)</f>
        <v>1</v>
      </c>
      <c r="V73" s="299">
        <f t="shared" si="14"/>
        <v>0</v>
      </c>
    </row>
    <row r="74" spans="2:23" x14ac:dyDescent="0.2">
      <c r="B74" s="31" t="str">
        <f>$H$120</f>
        <v>mit AL.</v>
      </c>
      <c r="C74" s="88"/>
      <c r="D74" s="2" t="s">
        <v>155</v>
      </c>
      <c r="E74" s="3" t="s">
        <v>155</v>
      </c>
      <c r="F74" s="3" t="s">
        <v>155</v>
      </c>
      <c r="G74" s="3" t="s">
        <v>155</v>
      </c>
      <c r="H74" s="31" t="str">
        <f t="shared" si="18"/>
        <v>L=112mm</v>
      </c>
      <c r="I74" s="41"/>
      <c r="J74" s="1" t="str">
        <f>H74</f>
        <v>L=112mm</v>
      </c>
      <c r="K74" s="297" t="s">
        <v>306</v>
      </c>
      <c r="L74" s="298" t="b">
        <f>IF(AND(I51=TRUE,'Pos. 1'!AP86=""),FALSE,TRUE)</f>
        <v>1</v>
      </c>
      <c r="M74" s="299"/>
      <c r="U74" s="278" t="b">
        <f>L74</f>
        <v>1</v>
      </c>
      <c r="V74" s="299">
        <f t="shared" si="14"/>
        <v>0</v>
      </c>
    </row>
    <row r="75" spans="2:23" x14ac:dyDescent="0.2">
      <c r="B75" s="31" t="str">
        <f>$H$121</f>
        <v>ohne AL.</v>
      </c>
      <c r="C75" s="88"/>
      <c r="D75" s="273" t="s">
        <v>899</v>
      </c>
      <c r="E75" s="309" t="s">
        <v>900</v>
      </c>
      <c r="F75" s="309" t="s">
        <v>901</v>
      </c>
      <c r="G75" s="310" t="s">
        <v>902</v>
      </c>
      <c r="H75" s="31" t="str">
        <f t="shared" si="18"/>
        <v>(VE à 100 Stk.)</v>
      </c>
      <c r="I75" s="41"/>
      <c r="K75" s="297" t="s">
        <v>686</v>
      </c>
      <c r="L75" s="298" t="b">
        <f>IF(AND(I22=TRUE,'Pos. 1'!AL39=""),FALSE,TRUE)</f>
        <v>1</v>
      </c>
      <c r="M75" s="299"/>
      <c r="U75" s="278" t="b">
        <f>L75</f>
        <v>1</v>
      </c>
      <c r="V75" s="299">
        <f t="shared" si="14"/>
        <v>0</v>
      </c>
    </row>
    <row r="76" spans="2:23" x14ac:dyDescent="0.2">
      <c r="B76" s="31"/>
      <c r="D76" s="2" t="s">
        <v>156</v>
      </c>
      <c r="E76" s="3" t="s">
        <v>240</v>
      </c>
      <c r="F76" s="3" t="s">
        <v>262</v>
      </c>
      <c r="G76" s="4" t="s">
        <v>275</v>
      </c>
      <c r="H76" s="31" t="str">
        <f t="shared" si="18"/>
        <v>Sockelbefestigung:</v>
      </c>
      <c r="I76" s="41"/>
      <c r="K76" s="297" t="s">
        <v>687</v>
      </c>
      <c r="L76" s="298" t="b">
        <f>IF(AND(I45=TRUE,'Pos. 1'!AI57=""),FALSE,TRUE)</f>
        <v>1</v>
      </c>
      <c r="M76" s="299"/>
      <c r="U76" s="278" t="b">
        <f>L76</f>
        <v>1</v>
      </c>
      <c r="V76" s="299">
        <f t="shared" si="14"/>
        <v>0</v>
      </c>
    </row>
    <row r="77" spans="2:23" ht="13.5" thickBot="1" x14ac:dyDescent="0.25">
      <c r="B77" s="31" t="str">
        <f>$H$122</f>
        <v>mit AL. (&gt;2.5m)</v>
      </c>
      <c r="D77" s="2" t="s">
        <v>157</v>
      </c>
      <c r="E77" s="3" t="s">
        <v>241</v>
      </c>
      <c r="F77" s="3" t="s">
        <v>263</v>
      </c>
      <c r="G77" s="4" t="s">
        <v>276</v>
      </c>
      <c r="H77" s="31" t="str">
        <f t="shared" si="18"/>
        <v>Verstellschrauben M10 x</v>
      </c>
      <c r="I77" s="41"/>
      <c r="J77" s="1" t="str">
        <f>H80</f>
        <v>ohne</v>
      </c>
      <c r="K77" s="300" t="s">
        <v>688</v>
      </c>
      <c r="L77" s="301" t="b">
        <f>IF(OR('Pos. 1'!AE84='Sprachen &amp; Rückgabewerte'!H88,AND('Pos. 1'!AE84='Sprachen &amp; Rückgabewerte'!H89,'Pos. 1'!AE85&lt;&gt;"")),TRUE,FALSE)</f>
        <v>0</v>
      </c>
      <c r="M77" s="302"/>
      <c r="U77" s="278" t="b">
        <f>L77</f>
        <v>0</v>
      </c>
      <c r="V77" s="299">
        <f t="shared" si="14"/>
        <v>1</v>
      </c>
    </row>
    <row r="78" spans="2:23" ht="13.5" thickBot="1" x14ac:dyDescent="0.25">
      <c r="B78" s="179" t="str">
        <f>$H$123</f>
        <v>ohne AL. (&lt;2.5m)</v>
      </c>
      <c r="D78" s="2" t="s">
        <v>158</v>
      </c>
      <c r="E78" s="3" t="s">
        <v>158</v>
      </c>
      <c r="F78" s="3" t="s">
        <v>158</v>
      </c>
      <c r="G78" s="3" t="s">
        <v>158</v>
      </c>
      <c r="H78" s="31" t="str">
        <f t="shared" si="18"/>
        <v>L=70mm</v>
      </c>
      <c r="I78" s="41"/>
      <c r="J78" s="1" t="str">
        <f>H78</f>
        <v>L=70mm</v>
      </c>
      <c r="K78" s="34" t="s">
        <v>405</v>
      </c>
      <c r="L78" s="50"/>
      <c r="M78" s="50"/>
      <c r="N78" s="50"/>
      <c r="O78" s="39"/>
      <c r="T78" s="308" t="s">
        <v>952</v>
      </c>
      <c r="U78" s="278" t="b">
        <f>IF('Pos. 1'!AZ9="",FALSE,TRUE)</f>
        <v>0</v>
      </c>
      <c r="V78" s="299">
        <f t="shared" ref="V78:V79" si="19">IF(U78=FALSE,1,0)</f>
        <v>1</v>
      </c>
      <c r="W78" s="414">
        <f>SUM(V78:V79)</f>
        <v>2</v>
      </c>
    </row>
    <row r="79" spans="2:23" ht="13.5" thickBot="1" x14ac:dyDescent="0.25">
      <c r="D79" s="2" t="s">
        <v>159</v>
      </c>
      <c r="E79" s="3" t="s">
        <v>159</v>
      </c>
      <c r="F79" s="3" t="s">
        <v>159</v>
      </c>
      <c r="G79" s="3" t="s">
        <v>159</v>
      </c>
      <c r="H79" s="31" t="str">
        <f t="shared" si="18"/>
        <v>L=100mm</v>
      </c>
      <c r="I79" s="41"/>
      <c r="J79" s="1" t="str">
        <f>H79</f>
        <v>L=100mm</v>
      </c>
      <c r="K79" s="328" t="str">
        <f>H65</f>
        <v>mit Verschlussraster (Druckknopf)</v>
      </c>
      <c r="L79" s="98"/>
      <c r="M79" s="99"/>
      <c r="N79" s="103" t="str">
        <f>IF(OR(C62=TRUE,C63=TRUE),K81,K79)</f>
        <v>mit Verschlussraster (Druckknopf)</v>
      </c>
      <c r="O79" s="329"/>
      <c r="T79" s="308" t="s">
        <v>953</v>
      </c>
      <c r="U79" s="278" t="b">
        <f>IF('Pos. 1'!AZ10="",FALSE,TRUE)</f>
        <v>0</v>
      </c>
      <c r="V79" s="299">
        <f t="shared" si="19"/>
        <v>1</v>
      </c>
    </row>
    <row r="80" spans="2:23" ht="13.5" thickBot="1" x14ac:dyDescent="0.25">
      <c r="B80" s="57" t="s">
        <v>578</v>
      </c>
      <c r="D80" s="2" t="s">
        <v>160</v>
      </c>
      <c r="E80" s="3" t="s">
        <v>242</v>
      </c>
      <c r="F80" s="3" t="s">
        <v>264</v>
      </c>
      <c r="G80" s="4" t="s">
        <v>277</v>
      </c>
      <c r="H80" s="31" t="str">
        <f t="shared" si="18"/>
        <v>ohne</v>
      </c>
      <c r="I80" s="41"/>
      <c r="J80" s="1" t="str">
        <f>H80</f>
        <v>ohne</v>
      </c>
      <c r="K80" s="330" t="str">
        <f>H67</f>
        <v>ohne Verschlussraster</v>
      </c>
      <c r="L80" s="101"/>
      <c r="M80" s="42"/>
      <c r="N80" s="104" t="str">
        <f>IF(OR(C62=TRUE,C63=TRUE),K82,K80)</f>
        <v>ohne Verschlussraster</v>
      </c>
      <c r="O80" s="331"/>
      <c r="U80" s="278"/>
      <c r="V80" s="299"/>
    </row>
    <row r="81" spans="1:22" x14ac:dyDescent="0.2">
      <c r="A81" s="212">
        <v>280</v>
      </c>
      <c r="B81" s="209" t="str">
        <f>""</f>
        <v/>
      </c>
      <c r="C81" s="215">
        <v>214</v>
      </c>
      <c r="D81" s="2" t="s">
        <v>161</v>
      </c>
      <c r="E81" s="3" t="s">
        <v>243</v>
      </c>
      <c r="F81" s="3" t="s">
        <v>265</v>
      </c>
      <c r="G81" s="4" t="s">
        <v>278</v>
      </c>
      <c r="H81" s="31" t="str">
        <f t="shared" si="18"/>
        <v>inklusive</v>
      </c>
      <c r="I81" s="41"/>
      <c r="J81" s="1" t="str">
        <f>H81</f>
        <v>inklusive</v>
      </c>
      <c r="K81" s="330" t="str">
        <f>H66</f>
        <v>mit Verschlussraster (Zylinder)</v>
      </c>
      <c r="L81" s="101"/>
      <c r="M81" s="42"/>
      <c r="N81" s="104"/>
      <c r="O81" s="331"/>
      <c r="U81" s="278"/>
      <c r="V81" s="299"/>
    </row>
    <row r="82" spans="1:22" ht="13.5" thickBot="1" x14ac:dyDescent="0.25">
      <c r="A82" s="213">
        <v>254</v>
      </c>
      <c r="B82" s="210">
        <v>85</v>
      </c>
      <c r="C82" s="216">
        <f>IF('Pos. 1'!$T$114='Sprachen &amp; Rückgabewerte'!$J$146,130,144)</f>
        <v>144</v>
      </c>
      <c r="D82" s="2" t="s">
        <v>244</v>
      </c>
      <c r="E82" s="3" t="s">
        <v>245</v>
      </c>
      <c r="F82" s="3" t="s">
        <v>266</v>
      </c>
      <c r="G82" s="4" t="s">
        <v>245</v>
      </c>
      <c r="H82" s="31" t="str">
        <f t="shared" si="18"/>
        <v>Sockel 75</v>
      </c>
      <c r="I82" s="41"/>
      <c r="K82" s="332" t="str">
        <f>H161</f>
        <v>ohne Verschlussraster (Zylinder)</v>
      </c>
      <c r="L82" s="333"/>
      <c r="M82" s="335"/>
      <c r="N82" s="333"/>
      <c r="O82" s="334"/>
      <c r="U82" s="278"/>
      <c r="V82" s="299"/>
    </row>
    <row r="83" spans="1:22" ht="14.25" thickTop="1" thickBot="1" x14ac:dyDescent="0.25">
      <c r="A83" s="213">
        <v>254</v>
      </c>
      <c r="B83" s="210">
        <v>105</v>
      </c>
      <c r="C83" s="216">
        <f>IF('Pos. 1'!$T$114='Sprachen &amp; Rückgabewerte'!$J$146,158,172)</f>
        <v>172</v>
      </c>
      <c r="D83" s="2" t="s">
        <v>160</v>
      </c>
      <c r="E83" s="3" t="s">
        <v>242</v>
      </c>
      <c r="F83" s="3" t="s">
        <v>264</v>
      </c>
      <c r="G83" s="4" t="s">
        <v>277</v>
      </c>
      <c r="H83" s="31" t="str">
        <f t="shared" si="18"/>
        <v>ohne</v>
      </c>
      <c r="I83" s="41"/>
      <c r="S83" s="272" t="s">
        <v>951</v>
      </c>
      <c r="T83" s="307" t="s">
        <v>689</v>
      </c>
      <c r="U83" s="304" t="b">
        <f>IF(V83&gt;0,FALSE,TRUE)</f>
        <v>0</v>
      </c>
      <c r="V83" s="302">
        <f>SUM(V41:V82)</f>
        <v>20</v>
      </c>
    </row>
    <row r="84" spans="1:22" ht="13.5" thickBot="1" x14ac:dyDescent="0.25">
      <c r="A84" s="214">
        <v>228</v>
      </c>
      <c r="B84" s="211">
        <v>110</v>
      </c>
      <c r="C84" s="217">
        <f>IF('Pos. 1'!$T$114='Sprachen &amp; Rückgabewerte'!$J$146,186,200)</f>
        <v>200</v>
      </c>
      <c r="D84" s="2" t="s">
        <v>162</v>
      </c>
      <c r="E84" s="3" t="s">
        <v>246</v>
      </c>
      <c r="F84" s="3" t="s">
        <v>267</v>
      </c>
      <c r="G84" s="4" t="s">
        <v>279</v>
      </c>
      <c r="H84" s="31" t="str">
        <f t="shared" si="18"/>
        <v>Rahmenzusammenbau:</v>
      </c>
      <c r="I84" s="41"/>
    </row>
    <row r="85" spans="1:22" x14ac:dyDescent="0.2">
      <c r="D85" s="2" t="s">
        <v>163</v>
      </c>
      <c r="E85" s="3" t="s">
        <v>247</v>
      </c>
      <c r="F85" s="3" t="s">
        <v>268</v>
      </c>
      <c r="G85" s="4" t="s">
        <v>280</v>
      </c>
      <c r="H85" s="31" t="str">
        <f t="shared" si="18"/>
        <v>Gehrungsstoss (A)</v>
      </c>
      <c r="I85" s="41"/>
      <c r="J85" s="1" t="str">
        <f>H85</f>
        <v>Gehrungsstoss (A)</v>
      </c>
      <c r="L85" s="548" t="s">
        <v>632</v>
      </c>
      <c r="M85" s="549"/>
      <c r="N85" s="272"/>
    </row>
    <row r="86" spans="1:22" ht="13.5" thickBot="1" x14ac:dyDescent="0.25">
      <c r="D86" s="2" t="s">
        <v>301</v>
      </c>
      <c r="E86" s="3" t="s">
        <v>248</v>
      </c>
      <c r="F86" s="3" t="s">
        <v>269</v>
      </c>
      <c r="G86" s="4" t="s">
        <v>467</v>
      </c>
      <c r="H86" s="31" t="str">
        <f t="shared" si="18"/>
        <v>Montagestoss (B)</v>
      </c>
      <c r="I86" s="41"/>
      <c r="J86" s="1" t="str">
        <f>H86</f>
        <v>Montagestoss (B)</v>
      </c>
      <c r="L86" s="244"/>
      <c r="M86" s="45"/>
    </row>
    <row r="87" spans="1:22" x14ac:dyDescent="0.2">
      <c r="B87" s="546" t="s">
        <v>608</v>
      </c>
      <c r="C87" s="547"/>
      <c r="D87" s="2" t="s">
        <v>164</v>
      </c>
      <c r="E87" s="3" t="s">
        <v>249</v>
      </c>
      <c r="F87" s="3" t="s">
        <v>309</v>
      </c>
      <c r="G87" s="4" t="s">
        <v>281</v>
      </c>
      <c r="H87" s="31" t="str">
        <f t="shared" si="18"/>
        <v>Logistik:</v>
      </c>
      <c r="I87" s="41"/>
      <c r="L87" s="245">
        <v>1</v>
      </c>
      <c r="M87" s="4" t="str">
        <f>CONCATENATE($H$154," ",L87)</f>
        <v>Kalenderwoche 1</v>
      </c>
      <c r="N87" s="272"/>
    </row>
    <row r="88" spans="1:22" x14ac:dyDescent="0.2">
      <c r="B88" s="23" t="s">
        <v>609</v>
      </c>
      <c r="C88" s="40">
        <f>IF(AND(I50=TRUE,'Pos. 1'!T104&lt;&gt;""),0,1)</f>
        <v>1</v>
      </c>
      <c r="D88" s="2" t="s">
        <v>302</v>
      </c>
      <c r="E88" s="309" t="s">
        <v>693</v>
      </c>
      <c r="F88" s="3" t="s">
        <v>303</v>
      </c>
      <c r="G88" s="4" t="s">
        <v>482</v>
      </c>
      <c r="H88" s="31" t="str">
        <f t="shared" si="18"/>
        <v>ohne Glas-Sortierung</v>
      </c>
      <c r="I88" s="41"/>
      <c r="J88" s="1" t="str">
        <f>H88</f>
        <v>ohne Glas-Sortierung</v>
      </c>
      <c r="L88" s="245">
        <v>2</v>
      </c>
      <c r="M88" s="4" t="str">
        <f t="shared" ref="M88:M138" si="20">CONCATENATE($H$154," ",L88)</f>
        <v>Kalenderwoche 2</v>
      </c>
    </row>
    <row r="89" spans="1:22" x14ac:dyDescent="0.2">
      <c r="B89" s="2" t="s">
        <v>610</v>
      </c>
      <c r="C89" s="37">
        <f>IF(AND(I50=TRUE,'Pos. 1'!T106&lt;&gt;""),0,1)</f>
        <v>1</v>
      </c>
      <c r="D89" s="2" t="s">
        <v>165</v>
      </c>
      <c r="E89" s="3" t="s">
        <v>304</v>
      </c>
      <c r="F89" s="3" t="s">
        <v>305</v>
      </c>
      <c r="G89" s="4" t="s">
        <v>483</v>
      </c>
      <c r="H89" s="31" t="str">
        <f>IF($B$3=$A$3,D89,IF($B$3=$A$4,E89,IF($B$3=$A$5,F89,IF($B$3=$A$6,$G$89,""))))</f>
        <v>nach Stockwerk:</v>
      </c>
      <c r="I89" s="41"/>
      <c r="J89" s="1" t="str">
        <f>H89</f>
        <v>nach Stockwerk:</v>
      </c>
      <c r="L89" s="245">
        <v>3</v>
      </c>
      <c r="M89" s="4" t="str">
        <f t="shared" si="20"/>
        <v>Kalenderwoche 3</v>
      </c>
    </row>
    <row r="90" spans="1:22" x14ac:dyDescent="0.2">
      <c r="B90" s="2" t="s">
        <v>611</v>
      </c>
      <c r="C90" s="37">
        <f>IF(AND(I50=TRUE,'Pos. 1'!T108&lt;&gt;""),0,1)</f>
        <v>1</v>
      </c>
      <c r="D90" s="2" t="s">
        <v>251</v>
      </c>
      <c r="E90" s="3" t="s">
        <v>250</v>
      </c>
      <c r="F90" s="3" t="s">
        <v>270</v>
      </c>
      <c r="G90" s="4" t="s">
        <v>337</v>
      </c>
      <c r="H90" s="31" t="str">
        <f>IF($B$3=$A$3,D90,IF($B$3=$A$4,E90,IF($B$3=$A$5,F90,IF($B$3=$A$6,G90,""))))</f>
        <v>Wunschtermin:</v>
      </c>
      <c r="I90" s="41"/>
      <c r="L90" s="245">
        <v>4</v>
      </c>
      <c r="M90" s="4" t="str">
        <f t="shared" si="20"/>
        <v>Kalenderwoche 4</v>
      </c>
    </row>
    <row r="91" spans="1:22" x14ac:dyDescent="0.2">
      <c r="B91" s="2" t="s">
        <v>612</v>
      </c>
      <c r="C91" s="37">
        <f>IF(AND(I50=TRUE,'Pos. 1'!T110&lt;&gt;""),0,1)</f>
        <v>1</v>
      </c>
      <c r="D91" s="2" t="s">
        <v>354</v>
      </c>
      <c r="E91" s="3" t="s">
        <v>252</v>
      </c>
      <c r="F91" s="3" t="s">
        <v>355</v>
      </c>
      <c r="G91" s="4" t="s">
        <v>356</v>
      </c>
      <c r="H91" s="31" t="str">
        <f t="shared" ref="H91:H111" si="21">IF($B$3=$A$3,D91,IF($B$3=$A$4,E91,IF($B$3=$A$5,F91,IF($B$3=$A$6,G91,""))))</f>
        <v>Farbe Laufschiene + Schraubenarretierungen:</v>
      </c>
      <c r="I91" s="41"/>
      <c r="L91" s="245">
        <v>5</v>
      </c>
      <c r="M91" s="4" t="str">
        <f t="shared" si="20"/>
        <v>Kalenderwoche 5</v>
      </c>
    </row>
    <row r="92" spans="1:22" x14ac:dyDescent="0.2">
      <c r="B92" s="2" t="s">
        <v>613</v>
      </c>
      <c r="C92" s="37">
        <f>IF(AND(I50=TRUE,'Pos. 1'!T112&lt;&gt;""),0,1)</f>
        <v>1</v>
      </c>
      <c r="D92" s="2" t="s">
        <v>399</v>
      </c>
      <c r="E92" s="3" t="s">
        <v>400</v>
      </c>
      <c r="F92" s="3" t="s">
        <v>401</v>
      </c>
      <c r="G92" s="4" t="s">
        <v>402</v>
      </c>
      <c r="H92" s="31" t="str">
        <f t="shared" si="21"/>
        <v>Silber</v>
      </c>
      <c r="I92" s="41"/>
      <c r="J92" s="1" t="str">
        <f>H92</f>
        <v>Silber</v>
      </c>
      <c r="L92" s="245">
        <v>6</v>
      </c>
      <c r="M92" s="4" t="str">
        <f t="shared" si="20"/>
        <v>Kalenderwoche 6</v>
      </c>
    </row>
    <row r="93" spans="1:22" x14ac:dyDescent="0.2">
      <c r="B93" s="2" t="s">
        <v>614</v>
      </c>
      <c r="C93" s="37">
        <f>IF(AND(I50=TRUE,'Pos. 1'!T114&lt;&gt;""),0,1)</f>
        <v>1</v>
      </c>
      <c r="D93" s="2" t="s">
        <v>166</v>
      </c>
      <c r="E93" s="3" t="s">
        <v>253</v>
      </c>
      <c r="F93" s="3" t="s">
        <v>271</v>
      </c>
      <c r="G93" s="4" t="s">
        <v>282</v>
      </c>
      <c r="H93" s="31" t="str">
        <f t="shared" si="21"/>
        <v>Schwarz</v>
      </c>
      <c r="I93" s="41"/>
      <c r="J93" s="1" t="str">
        <f>H93</f>
        <v>Schwarz</v>
      </c>
      <c r="L93" s="245">
        <v>7</v>
      </c>
      <c r="M93" s="4" t="str">
        <f t="shared" si="20"/>
        <v>Kalenderwoche 7</v>
      </c>
      <c r="N93" s="315"/>
    </row>
    <row r="94" spans="1:22" x14ac:dyDescent="0.2">
      <c r="B94" s="2"/>
      <c r="C94" s="4"/>
      <c r="D94" s="2" t="s">
        <v>348</v>
      </c>
      <c r="E94" s="3" t="s">
        <v>552</v>
      </c>
      <c r="F94" s="3" t="s">
        <v>346</v>
      </c>
      <c r="G94" s="4" t="s">
        <v>349</v>
      </c>
      <c r="H94" s="31" t="str">
        <f t="shared" si="21"/>
        <v>Druckausgleichsventile :</v>
      </c>
      <c r="I94" s="41"/>
      <c r="L94" s="245">
        <v>8</v>
      </c>
      <c r="M94" s="4" t="str">
        <f t="shared" si="20"/>
        <v>Kalenderwoche 8</v>
      </c>
    </row>
    <row r="95" spans="1:22" ht="13.5" thickBot="1" x14ac:dyDescent="0.25">
      <c r="B95" s="218" t="s">
        <v>615</v>
      </c>
      <c r="C95" s="219">
        <f>SUM(C88:C93)</f>
        <v>6</v>
      </c>
      <c r="D95" s="2" t="s">
        <v>167</v>
      </c>
      <c r="E95" s="3" t="s">
        <v>172</v>
      </c>
      <c r="F95" s="3" t="s">
        <v>292</v>
      </c>
      <c r="G95" s="4" t="s">
        <v>283</v>
      </c>
      <c r="H95" s="31" t="str">
        <f t="shared" si="21"/>
        <v>Ja</v>
      </c>
      <c r="I95" s="41"/>
      <c r="J95" s="1" t="str">
        <f>H95</f>
        <v>Ja</v>
      </c>
      <c r="L95" s="245">
        <v>9</v>
      </c>
      <c r="M95" s="4" t="str">
        <f t="shared" si="20"/>
        <v>Kalenderwoche 9</v>
      </c>
    </row>
    <row r="96" spans="1:22" x14ac:dyDescent="0.2">
      <c r="D96" s="2" t="s">
        <v>168</v>
      </c>
      <c r="E96" s="3" t="s">
        <v>173</v>
      </c>
      <c r="F96" s="309" t="s">
        <v>822</v>
      </c>
      <c r="G96" s="4" t="s">
        <v>173</v>
      </c>
      <c r="H96" s="31" t="str">
        <f t="shared" si="21"/>
        <v>Nein</v>
      </c>
      <c r="I96" s="41"/>
      <c r="J96" s="1" t="str">
        <f>H96</f>
        <v>Nein</v>
      </c>
      <c r="L96" s="245">
        <v>10</v>
      </c>
      <c r="M96" s="4" t="str">
        <f t="shared" si="20"/>
        <v>Kalenderwoche 10</v>
      </c>
    </row>
    <row r="97" spans="4:14" x14ac:dyDescent="0.2">
      <c r="D97" s="2" t="s">
        <v>169</v>
      </c>
      <c r="E97" s="3" t="s">
        <v>174</v>
      </c>
      <c r="F97" s="3" t="s">
        <v>293</v>
      </c>
      <c r="G97" s="4" t="s">
        <v>284</v>
      </c>
      <c r="H97" s="31" t="str">
        <f t="shared" si="21"/>
        <v>Digitale Unterschrift:</v>
      </c>
      <c r="I97" s="41"/>
      <c r="L97" s="245">
        <v>11</v>
      </c>
      <c r="M97" s="4" t="str">
        <f t="shared" si="20"/>
        <v>Kalenderwoche 11</v>
      </c>
    </row>
    <row r="98" spans="4:14" x14ac:dyDescent="0.2">
      <c r="D98" s="2" t="s">
        <v>171</v>
      </c>
      <c r="E98" s="3" t="s">
        <v>254</v>
      </c>
      <c r="F98" s="3" t="s">
        <v>294</v>
      </c>
      <c r="G98" s="4" t="s">
        <v>338</v>
      </c>
      <c r="H98" s="31" t="str">
        <f t="shared" si="21"/>
        <v>Bestellung an:</v>
      </c>
      <c r="I98" s="41"/>
      <c r="L98" s="245">
        <v>12</v>
      </c>
      <c r="M98" s="4" t="str">
        <f t="shared" si="20"/>
        <v>Kalenderwoche 12</v>
      </c>
    </row>
    <row r="99" spans="4:14" x14ac:dyDescent="0.2">
      <c r="D99" s="2" t="s">
        <v>170</v>
      </c>
      <c r="E99" s="3" t="s">
        <v>170</v>
      </c>
      <c r="F99" s="3" t="s">
        <v>170</v>
      </c>
      <c r="G99" s="4" t="s">
        <v>170</v>
      </c>
      <c r="H99" s="31" t="str">
        <f t="shared" si="21"/>
        <v>orders@sky-frame.ch</v>
      </c>
      <c r="I99" s="41"/>
      <c r="L99" s="245">
        <v>13</v>
      </c>
      <c r="M99" s="4" t="str">
        <f t="shared" si="20"/>
        <v>Kalenderwoche 13</v>
      </c>
    </row>
    <row r="100" spans="4:14" x14ac:dyDescent="0.2">
      <c r="D100" s="2"/>
      <c r="E100" s="3"/>
      <c r="F100" s="3"/>
      <c r="G100" s="4"/>
      <c r="H100" s="31">
        <f t="shared" si="21"/>
        <v>0</v>
      </c>
      <c r="I100" s="41"/>
      <c r="L100" s="245">
        <v>14</v>
      </c>
      <c r="M100" s="4" t="str">
        <f t="shared" si="20"/>
        <v>Kalenderwoche 14</v>
      </c>
    </row>
    <row r="101" spans="4:14" x14ac:dyDescent="0.2">
      <c r="D101" s="2"/>
      <c r="E101" s="3"/>
      <c r="F101" s="3"/>
      <c r="G101" s="4"/>
      <c r="H101" s="31">
        <f t="shared" si="21"/>
        <v>0</v>
      </c>
      <c r="I101" s="41"/>
      <c r="L101" s="245">
        <v>15</v>
      </c>
      <c r="M101" s="4" t="str">
        <f t="shared" si="20"/>
        <v>Kalenderwoche 15</v>
      </c>
    </row>
    <row r="102" spans="4:14" ht="51" x14ac:dyDescent="0.2">
      <c r="D102" s="10" t="s">
        <v>470</v>
      </c>
      <c r="E102" s="11" t="s">
        <v>255</v>
      </c>
      <c r="F102" s="270" t="s">
        <v>674</v>
      </c>
      <c r="G102" s="12" t="s">
        <v>395</v>
      </c>
      <c r="H102" s="49" t="str">
        <f t="shared" si="21"/>
        <v>Diese Bestellung ist verbindlich und muss komplett ausgefüllt werden. Änderungen werden als Mehraufwand verrechnet.</v>
      </c>
      <c r="I102" s="41"/>
      <c r="L102" s="245">
        <v>16</v>
      </c>
      <c r="M102" s="4" t="str">
        <f t="shared" si="20"/>
        <v>Kalenderwoche 16</v>
      </c>
    </row>
    <row r="103" spans="4:14" ht="12.75" customHeight="1" x14ac:dyDescent="0.2">
      <c r="D103" s="10"/>
      <c r="E103" s="3"/>
      <c r="F103" s="3"/>
      <c r="G103" s="4"/>
      <c r="H103" s="31"/>
      <c r="I103" s="41"/>
      <c r="L103" s="245">
        <v>17</v>
      </c>
      <c r="M103" s="4" t="str">
        <f t="shared" si="20"/>
        <v>Kalenderwoche 17</v>
      </c>
      <c r="N103" s="315"/>
    </row>
    <row r="104" spans="4:14" ht="12.75" customHeight="1" x14ac:dyDescent="0.2">
      <c r="D104" s="2" t="s">
        <v>209</v>
      </c>
      <c r="E104" s="271" t="s">
        <v>681</v>
      </c>
      <c r="F104" s="3" t="s">
        <v>295</v>
      </c>
      <c r="G104" s="4" t="s">
        <v>339</v>
      </c>
      <c r="H104" s="31" t="str">
        <f t="shared" si="21"/>
        <v>A-Ecke 90°</v>
      </c>
      <c r="I104" s="41"/>
      <c r="L104" s="245">
        <v>18</v>
      </c>
      <c r="M104" s="4" t="str">
        <f t="shared" si="20"/>
        <v>Kalenderwoche 18</v>
      </c>
    </row>
    <row r="105" spans="4:14" ht="12.75" customHeight="1" x14ac:dyDescent="0.2">
      <c r="D105" s="2" t="s">
        <v>210</v>
      </c>
      <c r="E105" s="271" t="s">
        <v>680</v>
      </c>
      <c r="F105" s="3" t="s">
        <v>423</v>
      </c>
      <c r="G105" s="4" t="s">
        <v>340</v>
      </c>
      <c r="H105" s="31" t="str">
        <f t="shared" si="21"/>
        <v>I-Ecke 90°</v>
      </c>
      <c r="I105" s="41"/>
      <c r="L105" s="245">
        <v>19</v>
      </c>
      <c r="M105" s="4" t="str">
        <f t="shared" si="20"/>
        <v>Kalenderwoche 19</v>
      </c>
    </row>
    <row r="106" spans="4:14" ht="12.75" customHeight="1" x14ac:dyDescent="0.2">
      <c r="D106" s="2" t="s">
        <v>212</v>
      </c>
      <c r="E106" s="271" t="s">
        <v>679</v>
      </c>
      <c r="F106" s="3" t="s">
        <v>296</v>
      </c>
      <c r="G106" s="4" t="s">
        <v>341</v>
      </c>
      <c r="H106" s="31" t="str">
        <f t="shared" si="21"/>
        <v>A-Ecke≠90°</v>
      </c>
      <c r="I106" s="41"/>
      <c r="L106" s="245">
        <v>20</v>
      </c>
      <c r="M106" s="4" t="str">
        <f t="shared" si="20"/>
        <v>Kalenderwoche 20</v>
      </c>
    </row>
    <row r="107" spans="4:14" ht="12.75" customHeight="1" x14ac:dyDescent="0.2">
      <c r="D107" s="273" t="s">
        <v>213</v>
      </c>
      <c r="E107" s="271" t="s">
        <v>678</v>
      </c>
      <c r="F107" s="3" t="s">
        <v>424</v>
      </c>
      <c r="G107" s="4" t="s">
        <v>342</v>
      </c>
      <c r="H107" s="31" t="str">
        <f t="shared" si="21"/>
        <v>I-Ecke≠90°</v>
      </c>
      <c r="I107" s="41"/>
      <c r="L107" s="245">
        <v>21</v>
      </c>
      <c r="M107" s="4" t="str">
        <f t="shared" si="20"/>
        <v>Kalenderwoche 21</v>
      </c>
    </row>
    <row r="108" spans="4:14" ht="12.75" customHeight="1" x14ac:dyDescent="0.2">
      <c r="D108" s="2" t="s">
        <v>410</v>
      </c>
      <c r="E108" s="3" t="s">
        <v>411</v>
      </c>
      <c r="F108" s="3" t="s">
        <v>412</v>
      </c>
      <c r="G108" s="4" t="s">
        <v>413</v>
      </c>
      <c r="H108" s="31" t="str">
        <f t="shared" si="21"/>
        <v>Wert:</v>
      </c>
      <c r="I108" s="41"/>
      <c r="L108" s="245">
        <v>22</v>
      </c>
      <c r="M108" s="4" t="str">
        <f t="shared" si="20"/>
        <v>Kalenderwoche 22</v>
      </c>
    </row>
    <row r="109" spans="4:14" ht="12.75" customHeight="1" x14ac:dyDescent="0.2">
      <c r="D109" s="2" t="s">
        <v>257</v>
      </c>
      <c r="E109" s="3" t="s">
        <v>256</v>
      </c>
      <c r="F109" s="3" t="s">
        <v>297</v>
      </c>
      <c r="G109" s="3" t="s">
        <v>343</v>
      </c>
      <c r="H109" s="31" t="str">
        <f t="shared" si="21"/>
        <v>Bitte auswählen:</v>
      </c>
      <c r="I109" s="41"/>
      <c r="L109" s="245">
        <v>23</v>
      </c>
      <c r="M109" s="4" t="str">
        <f t="shared" si="20"/>
        <v>Kalenderwoche 23</v>
      </c>
    </row>
    <row r="110" spans="4:14" ht="12.75" customHeight="1" x14ac:dyDescent="0.2">
      <c r="D110" s="2" t="s">
        <v>317</v>
      </c>
      <c r="E110" s="3" t="s">
        <v>317</v>
      </c>
      <c r="F110" s="3" t="s">
        <v>317</v>
      </c>
      <c r="G110" s="3" t="s">
        <v>317</v>
      </c>
      <c r="H110" s="31" t="str">
        <f t="shared" si="21"/>
        <v>KABA (22)</v>
      </c>
      <c r="I110" s="41" t="b">
        <v>0</v>
      </c>
      <c r="L110" s="245">
        <v>24</v>
      </c>
      <c r="M110" s="4" t="str">
        <f t="shared" si="20"/>
        <v>Kalenderwoche 24</v>
      </c>
    </row>
    <row r="111" spans="4:14" ht="12.75" customHeight="1" x14ac:dyDescent="0.2">
      <c r="D111" s="2" t="s">
        <v>318</v>
      </c>
      <c r="E111" s="3" t="s">
        <v>318</v>
      </c>
      <c r="F111" s="3" t="s">
        <v>318</v>
      </c>
      <c r="G111" s="4" t="s">
        <v>318</v>
      </c>
      <c r="H111" s="31" t="str">
        <f t="shared" si="21"/>
        <v>PZ / Euro (17)</v>
      </c>
      <c r="I111" s="41" t="b">
        <v>0</v>
      </c>
      <c r="L111" s="245">
        <v>25</v>
      </c>
      <c r="M111" s="4" t="str">
        <f t="shared" si="20"/>
        <v>Kalenderwoche 25</v>
      </c>
    </row>
    <row r="112" spans="4:14" x14ac:dyDescent="0.2">
      <c r="D112" s="2" t="s">
        <v>357</v>
      </c>
      <c r="E112" s="3" t="s">
        <v>358</v>
      </c>
      <c r="F112" s="3" t="s">
        <v>359</v>
      </c>
      <c r="G112" s="4" t="s">
        <v>360</v>
      </c>
      <c r="H112" s="31" t="str">
        <f>IF($B$3=$A$3,D112,IF($B$3=$A$4,E112,IF($B$3=$A$5,F112,IF($B$3=$A$6,G112,""))))</f>
        <v>mit CFK</v>
      </c>
      <c r="I112" s="41"/>
      <c r="L112" s="245">
        <v>26</v>
      </c>
      <c r="M112" s="4" t="str">
        <f t="shared" si="20"/>
        <v>Kalenderwoche 26</v>
      </c>
    </row>
    <row r="113" spans="4:14" x14ac:dyDescent="0.2">
      <c r="D113" s="2" t="s">
        <v>361</v>
      </c>
      <c r="E113" s="3" t="s">
        <v>362</v>
      </c>
      <c r="F113" s="3" t="s">
        <v>363</v>
      </c>
      <c r="G113" s="4" t="s">
        <v>364</v>
      </c>
      <c r="H113" s="31" t="str">
        <f>IF($B$3=$A$3,D113,IF($B$3=$A$4,E113,IF($B$3=$A$5,F113,IF($B$3=$A$6,G113,""))))</f>
        <v>ohne CFK</v>
      </c>
      <c r="I113" s="41"/>
      <c r="L113" s="245">
        <v>27</v>
      </c>
      <c r="M113" s="4" t="str">
        <f t="shared" si="20"/>
        <v>Kalenderwoche 27</v>
      </c>
      <c r="N113" s="315"/>
    </row>
    <row r="114" spans="4:14" x14ac:dyDescent="0.2">
      <c r="D114" s="2" t="s">
        <v>365</v>
      </c>
      <c r="E114" s="3" t="s">
        <v>367</v>
      </c>
      <c r="F114" s="3" t="s">
        <v>369</v>
      </c>
      <c r="G114" s="4" t="s">
        <v>403</v>
      </c>
      <c r="H114" s="31" t="str">
        <f>IF($B$3=$A$3,D114,IF($B$3=$A$4,E114,IF($B$3=$A$5,F114,IF($B$3=$A$6,G114,""))))</f>
        <v>mit Stahl</v>
      </c>
      <c r="I114" s="41"/>
      <c r="L114" s="245">
        <v>28</v>
      </c>
      <c r="M114" s="4" t="str">
        <f t="shared" si="20"/>
        <v>Kalenderwoche 28</v>
      </c>
    </row>
    <row r="115" spans="4:14" x14ac:dyDescent="0.2">
      <c r="D115" s="2" t="s">
        <v>366</v>
      </c>
      <c r="E115" s="3" t="s">
        <v>368</v>
      </c>
      <c r="F115" s="3" t="s">
        <v>370</v>
      </c>
      <c r="G115" s="4" t="s">
        <v>404</v>
      </c>
      <c r="H115" s="31" t="str">
        <f>IF($B$3=$A$3,D115,IF($B$3=$A$4,E115,IF($B$3=$A$5,F115,IF($B$3=$A$6,G115,""))))</f>
        <v>ohne Stahl</v>
      </c>
      <c r="I115" s="41"/>
      <c r="L115" s="245">
        <v>29</v>
      </c>
      <c r="M115" s="4" t="str">
        <f t="shared" si="20"/>
        <v>Kalenderwoche 29</v>
      </c>
    </row>
    <row r="116" spans="4:14" x14ac:dyDescent="0.2">
      <c r="D116" s="2" t="s">
        <v>371</v>
      </c>
      <c r="E116" s="3" t="s">
        <v>374</v>
      </c>
      <c r="F116" s="3" t="s">
        <v>376</v>
      </c>
      <c r="G116" s="4" t="s">
        <v>379</v>
      </c>
      <c r="H116" s="31" t="str">
        <f>IF($B$3=$A$3,D116,IF($B$3=$A$4,E116,IF($B$3=$A$5,F116,IF($B$3=$A$6,G116,""))))</f>
        <v>Ganzglas-Ecke</v>
      </c>
      <c r="I116" s="41"/>
      <c r="L116" s="245">
        <v>30</v>
      </c>
      <c r="M116" s="4" t="str">
        <f t="shared" si="20"/>
        <v>Kalenderwoche 30</v>
      </c>
    </row>
    <row r="117" spans="4:14" x14ac:dyDescent="0.2">
      <c r="D117" s="2" t="s">
        <v>372</v>
      </c>
      <c r="E117" s="271" t="s">
        <v>677</v>
      </c>
      <c r="F117" s="3" t="s">
        <v>377</v>
      </c>
      <c r="G117" s="4" t="s">
        <v>380</v>
      </c>
      <c r="H117" s="31" t="str">
        <f t="shared" ref="H117:H133" si="22">IF($B$3=$A$3,D117,IF($B$3=$A$4,E117,IF($B$3=$A$5,F117,IF($B$3=$A$6,G117,""))))</f>
        <v>Ecke RC2 (WK2)</v>
      </c>
      <c r="I117" s="41"/>
      <c r="L117" s="245">
        <v>31</v>
      </c>
      <c r="M117" s="4" t="str">
        <f t="shared" si="20"/>
        <v>Kalenderwoche 31</v>
      </c>
    </row>
    <row r="118" spans="4:14" x14ac:dyDescent="0.2">
      <c r="D118" s="2" t="s">
        <v>373</v>
      </c>
      <c r="E118" s="3" t="s">
        <v>375</v>
      </c>
      <c r="F118" s="3" t="s">
        <v>378</v>
      </c>
      <c r="G118" s="4" t="s">
        <v>381</v>
      </c>
      <c r="H118" s="31" t="str">
        <f t="shared" si="22"/>
        <v>Standard (RC2 in Anlehnung)</v>
      </c>
      <c r="I118" s="41"/>
      <c r="L118" s="245">
        <v>32</v>
      </c>
      <c r="M118" s="4" t="str">
        <f t="shared" si="20"/>
        <v>Kalenderwoche 32</v>
      </c>
    </row>
    <row r="119" spans="4:14" x14ac:dyDescent="0.2">
      <c r="D119" s="273" t="s">
        <v>994</v>
      </c>
      <c r="E119" s="309" t="s">
        <v>995</v>
      </c>
      <c r="F119" s="309" t="s">
        <v>996</v>
      </c>
      <c r="G119" s="310" t="s">
        <v>997</v>
      </c>
      <c r="H119" s="31" t="str">
        <f t="shared" si="22"/>
        <v>RC2 mit Blech</v>
      </c>
      <c r="I119" s="41"/>
      <c r="L119" s="245">
        <v>33</v>
      </c>
      <c r="M119" s="4" t="str">
        <f t="shared" si="20"/>
        <v>Kalenderwoche 33</v>
      </c>
    </row>
    <row r="120" spans="4:14" x14ac:dyDescent="0.2">
      <c r="D120" s="2" t="s">
        <v>382</v>
      </c>
      <c r="E120" s="3" t="s">
        <v>387</v>
      </c>
      <c r="F120" s="3" t="s">
        <v>388</v>
      </c>
      <c r="G120" s="4" t="s">
        <v>391</v>
      </c>
      <c r="H120" s="31" t="str">
        <f t="shared" si="22"/>
        <v>mit AL.</v>
      </c>
      <c r="I120" s="41"/>
      <c r="L120" s="245">
        <v>34</v>
      </c>
      <c r="M120" s="4" t="str">
        <f t="shared" si="20"/>
        <v>Kalenderwoche 34</v>
      </c>
    </row>
    <row r="121" spans="4:14" x14ac:dyDescent="0.2">
      <c r="D121" s="2" t="s">
        <v>383</v>
      </c>
      <c r="E121" s="3" t="s">
        <v>386</v>
      </c>
      <c r="F121" s="3" t="s">
        <v>389</v>
      </c>
      <c r="G121" s="4" t="s">
        <v>392</v>
      </c>
      <c r="H121" s="31" t="str">
        <f t="shared" si="22"/>
        <v>ohne AL.</v>
      </c>
      <c r="I121" s="41"/>
      <c r="L121" s="245">
        <v>35</v>
      </c>
      <c r="M121" s="4" t="str">
        <f t="shared" si="20"/>
        <v>Kalenderwoche 35</v>
      </c>
    </row>
    <row r="122" spans="4:14" x14ac:dyDescent="0.2">
      <c r="D122" s="2" t="s">
        <v>384</v>
      </c>
      <c r="E122" s="3" t="s">
        <v>385</v>
      </c>
      <c r="F122" s="3" t="s">
        <v>390</v>
      </c>
      <c r="G122" s="4" t="s">
        <v>393</v>
      </c>
      <c r="H122" s="31" t="str">
        <f t="shared" si="22"/>
        <v>mit AL. (&gt;2.5m)</v>
      </c>
      <c r="I122" s="41"/>
      <c r="L122" s="245">
        <v>36</v>
      </c>
      <c r="M122" s="4" t="str">
        <f t="shared" si="20"/>
        <v>Kalenderwoche 36</v>
      </c>
    </row>
    <row r="123" spans="4:14" x14ac:dyDescent="0.2">
      <c r="D123" s="2" t="s">
        <v>651</v>
      </c>
      <c r="E123" s="3" t="s">
        <v>652</v>
      </c>
      <c r="F123" s="3" t="s">
        <v>653</v>
      </c>
      <c r="G123" s="4" t="s">
        <v>669</v>
      </c>
      <c r="H123" s="31" t="str">
        <f t="shared" si="22"/>
        <v>ohne AL. (&lt;2.5m)</v>
      </c>
      <c r="I123" s="41"/>
      <c r="L123" s="245">
        <v>37</v>
      </c>
      <c r="M123" s="4" t="str">
        <f t="shared" si="20"/>
        <v>Kalenderwoche 37</v>
      </c>
    </row>
    <row r="124" spans="4:14" x14ac:dyDescent="0.2">
      <c r="D124" s="2" t="s">
        <v>396</v>
      </c>
      <c r="E124" s="271" t="s">
        <v>676</v>
      </c>
      <c r="F124" s="3" t="s">
        <v>397</v>
      </c>
      <c r="G124" s="4" t="s">
        <v>398</v>
      </c>
      <c r="H124" s="31" t="str">
        <f t="shared" si="22"/>
        <v>Ecke:</v>
      </c>
      <c r="I124" s="41"/>
      <c r="L124" s="245">
        <v>38</v>
      </c>
      <c r="M124" s="4" t="str">
        <f t="shared" si="20"/>
        <v>Kalenderwoche 38</v>
      </c>
    </row>
    <row r="125" spans="4:14" x14ac:dyDescent="0.2">
      <c r="D125" s="2" t="s">
        <v>418</v>
      </c>
      <c r="E125" s="3" t="s">
        <v>418</v>
      </c>
      <c r="F125" s="3" t="s">
        <v>418</v>
      </c>
      <c r="G125" s="4" t="s">
        <v>418</v>
      </c>
      <c r="H125" s="31" t="str">
        <f t="shared" si="22"/>
        <v>NFRC (USA)</v>
      </c>
      <c r="I125" s="41" t="b">
        <v>0</v>
      </c>
      <c r="L125" s="245">
        <v>39</v>
      </c>
      <c r="M125" s="4" t="str">
        <f t="shared" si="20"/>
        <v>Kalenderwoche 39</v>
      </c>
    </row>
    <row r="126" spans="4:14" x14ac:dyDescent="0.2">
      <c r="D126" s="2" t="s">
        <v>429</v>
      </c>
      <c r="E126" s="3" t="s">
        <v>461</v>
      </c>
      <c r="F126" s="3" t="s">
        <v>464</v>
      </c>
      <c r="G126" s="4" t="s">
        <v>450</v>
      </c>
      <c r="H126" s="31" t="str">
        <f t="shared" si="22"/>
        <v>Bestellung vollständig ausfüllen.</v>
      </c>
      <c r="I126" s="41"/>
      <c r="L126" s="245">
        <v>40</v>
      </c>
      <c r="M126" s="4" t="str">
        <f t="shared" si="20"/>
        <v>Kalenderwoche 40</v>
      </c>
    </row>
    <row r="127" spans="4:14" x14ac:dyDescent="0.2">
      <c r="D127" s="2" t="s">
        <v>444</v>
      </c>
      <c r="E127" s="3" t="s">
        <v>462</v>
      </c>
      <c r="F127" s="3" t="s">
        <v>466</v>
      </c>
      <c r="G127" s="4" t="s">
        <v>451</v>
      </c>
      <c r="H127" s="31" t="str">
        <f t="shared" si="22"/>
        <v>Überprüfen ob keine roten Rahmen aufleuchten.</v>
      </c>
      <c r="I127" s="41"/>
      <c r="L127" s="245">
        <v>41</v>
      </c>
      <c r="M127" s="4" t="str">
        <f t="shared" si="20"/>
        <v>Kalenderwoche 41</v>
      </c>
    </row>
    <row r="128" spans="4:14" x14ac:dyDescent="0.2">
      <c r="D128" s="2" t="s">
        <v>445</v>
      </c>
      <c r="E128" s="3" t="s">
        <v>463</v>
      </c>
      <c r="F128" s="3" t="s">
        <v>465</v>
      </c>
      <c r="G128" s="4" t="s">
        <v>452</v>
      </c>
      <c r="H128" s="31" t="str">
        <f t="shared" si="22"/>
        <v>Bestellung senden an:</v>
      </c>
      <c r="I128" s="41"/>
      <c r="L128" s="245">
        <v>42</v>
      </c>
      <c r="M128" s="4" t="str">
        <f t="shared" si="20"/>
        <v>Kalenderwoche 42</v>
      </c>
    </row>
    <row r="129" spans="4:13" x14ac:dyDescent="0.2">
      <c r="D129" s="2" t="s">
        <v>443</v>
      </c>
      <c r="E129" s="3" t="s">
        <v>460</v>
      </c>
      <c r="F129" s="3" t="s">
        <v>460</v>
      </c>
      <c r="G129" s="4" t="s">
        <v>449</v>
      </c>
      <c r="H129" s="31" t="str">
        <f t="shared" si="22"/>
        <v>Anleitung:</v>
      </c>
      <c r="I129" s="41"/>
      <c r="L129" s="245">
        <v>43</v>
      </c>
      <c r="M129" s="4" t="str">
        <f t="shared" si="20"/>
        <v>Kalenderwoche 43</v>
      </c>
    </row>
    <row r="130" spans="4:13" x14ac:dyDescent="0.2">
      <c r="D130" s="2" t="s">
        <v>472</v>
      </c>
      <c r="E130" s="3" t="s">
        <v>471</v>
      </c>
      <c r="F130" s="3" t="s">
        <v>477</v>
      </c>
      <c r="G130" s="4" t="s">
        <v>621</v>
      </c>
      <c r="H130" s="31" t="str">
        <f t="shared" si="22"/>
        <v>Vertriebspartner:</v>
      </c>
      <c r="I130" s="41"/>
      <c r="L130" s="245">
        <v>44</v>
      </c>
      <c r="M130" s="4" t="str">
        <f t="shared" si="20"/>
        <v>Kalenderwoche 44</v>
      </c>
    </row>
    <row r="131" spans="4:13" x14ac:dyDescent="0.2">
      <c r="D131" s="2" t="s">
        <v>469</v>
      </c>
      <c r="E131" s="3" t="s">
        <v>479</v>
      </c>
      <c r="F131" s="3" t="s">
        <v>478</v>
      </c>
      <c r="G131" s="4" t="s">
        <v>481</v>
      </c>
      <c r="H131" s="31" t="str">
        <f t="shared" si="22"/>
        <v>Bemerkungen:</v>
      </c>
      <c r="I131" s="41"/>
      <c r="L131" s="245">
        <v>45</v>
      </c>
      <c r="M131" s="4" t="str">
        <f t="shared" si="20"/>
        <v>Kalenderwoche 45</v>
      </c>
    </row>
    <row r="132" spans="4:13" x14ac:dyDescent="0.2">
      <c r="D132" s="2" t="s">
        <v>485</v>
      </c>
      <c r="E132" s="3" t="s">
        <v>489</v>
      </c>
      <c r="F132" s="3" t="s">
        <v>490</v>
      </c>
      <c r="G132" s="4" t="s">
        <v>491</v>
      </c>
      <c r="H132" s="31" t="str">
        <f>IF($B$3=$A$3,D132,IF($B$3=$A$4,E132,IF($B$3=$A$5,F132,IF($B$3=$A$6,G132,""))))</f>
        <v>Öffnung angeben →</v>
      </c>
      <c r="I132" s="41"/>
      <c r="L132" s="245">
        <v>46</v>
      </c>
      <c r="M132" s="4" t="str">
        <f t="shared" si="20"/>
        <v>Kalenderwoche 46</v>
      </c>
    </row>
    <row r="133" spans="4:13" x14ac:dyDescent="0.2">
      <c r="D133" s="2" t="s">
        <v>541</v>
      </c>
      <c r="E133" s="3" t="s">
        <v>542</v>
      </c>
      <c r="F133" s="3" t="s">
        <v>544</v>
      </c>
      <c r="G133" s="4" t="s">
        <v>543</v>
      </c>
      <c r="H133" s="31" t="str">
        <f t="shared" si="22"/>
        <v>5-gleisig</v>
      </c>
      <c r="I133" s="41" t="b">
        <f>IF(AND(I12=TRUE,'Pos. 1'!AT5=1),TRUE,FALSE)</f>
        <v>0</v>
      </c>
      <c r="L133" s="245">
        <v>47</v>
      </c>
      <c r="M133" s="4" t="str">
        <f t="shared" si="20"/>
        <v>Kalenderwoche 47</v>
      </c>
    </row>
    <row r="134" spans="4:13" x14ac:dyDescent="0.2">
      <c r="D134" s="100" t="s">
        <v>546</v>
      </c>
      <c r="E134" s="3" t="s">
        <v>546</v>
      </c>
      <c r="F134" s="3" t="s">
        <v>546</v>
      </c>
      <c r="G134" s="4" t="s">
        <v>546</v>
      </c>
      <c r="H134" s="31" t="str">
        <f t="shared" ref="H134:H157" si="23">IF($B$3=$A$3,D134,IF($B$3=$A$4,E134,IF($B$3=$A$5,F134,IF($B$3=$A$6,G134,""))))</f>
        <v>Features</v>
      </c>
      <c r="I134" s="41"/>
      <c r="J134" s="1" t="str">
        <f>H159</f>
        <v>Keine</v>
      </c>
      <c r="L134" s="245">
        <v>48</v>
      </c>
      <c r="M134" s="4" t="str">
        <f t="shared" si="20"/>
        <v>Kalenderwoche 48</v>
      </c>
    </row>
    <row r="135" spans="4:13" x14ac:dyDescent="0.2">
      <c r="D135" s="2" t="s">
        <v>560</v>
      </c>
      <c r="E135" s="3" t="s">
        <v>562</v>
      </c>
      <c r="F135" s="3" t="s">
        <v>563</v>
      </c>
      <c r="G135" s="4" t="s">
        <v>564</v>
      </c>
      <c r="H135" s="31" t="str">
        <f t="shared" si="23"/>
        <v>Oben Links</v>
      </c>
      <c r="I135" s="41"/>
      <c r="J135" s="1" t="str">
        <f>H135</f>
        <v>Oben Links</v>
      </c>
      <c r="L135" s="245">
        <v>49</v>
      </c>
      <c r="M135" s="4" t="str">
        <f t="shared" si="20"/>
        <v>Kalenderwoche 49</v>
      </c>
    </row>
    <row r="136" spans="4:13" x14ac:dyDescent="0.2">
      <c r="D136" s="2" t="s">
        <v>561</v>
      </c>
      <c r="E136" s="3" t="s">
        <v>565</v>
      </c>
      <c r="F136" s="3" t="s">
        <v>566</v>
      </c>
      <c r="G136" s="4" t="s">
        <v>567</v>
      </c>
      <c r="H136" s="31" t="str">
        <f t="shared" si="23"/>
        <v>Oben Rechts</v>
      </c>
      <c r="I136" s="41"/>
      <c r="J136" s="1" t="str">
        <f>H136</f>
        <v>Oben Rechts</v>
      </c>
      <c r="L136" s="245">
        <v>50</v>
      </c>
      <c r="M136" s="4" t="str">
        <f t="shared" si="20"/>
        <v>Kalenderwoche 50</v>
      </c>
    </row>
    <row r="137" spans="4:13" x14ac:dyDescent="0.2">
      <c r="D137" s="2" t="s">
        <v>568</v>
      </c>
      <c r="E137" s="3" t="s">
        <v>569</v>
      </c>
      <c r="F137" s="3" t="s">
        <v>570</v>
      </c>
      <c r="G137" s="4" t="s">
        <v>571</v>
      </c>
      <c r="H137" s="31" t="str">
        <f t="shared" si="23"/>
        <v>Lage Glasspinne (Ansicht von Aussen)</v>
      </c>
      <c r="I137" s="41"/>
      <c r="L137" s="245">
        <v>51</v>
      </c>
      <c r="M137" s="4" t="str">
        <f t="shared" si="20"/>
        <v>Kalenderwoche 51</v>
      </c>
    </row>
    <row r="138" spans="4:13" ht="13.5" thickBot="1" x14ac:dyDescent="0.25">
      <c r="D138" s="2" t="s">
        <v>572</v>
      </c>
      <c r="E138" s="3" t="s">
        <v>654</v>
      </c>
      <c r="F138" s="3" t="s">
        <v>624</v>
      </c>
      <c r="G138" s="4" t="s">
        <v>633</v>
      </c>
      <c r="H138" s="31" t="str">
        <f t="shared" si="23"/>
        <v>Rinnenbestellung</v>
      </c>
      <c r="I138" s="41"/>
      <c r="L138" s="246">
        <v>52</v>
      </c>
      <c r="M138" s="47" t="str">
        <f t="shared" si="20"/>
        <v>Kalenderwoche 52</v>
      </c>
    </row>
    <row r="139" spans="4:13" x14ac:dyDescent="0.2">
      <c r="D139" s="2" t="s">
        <v>606</v>
      </c>
      <c r="E139" s="3" t="s">
        <v>655</v>
      </c>
      <c r="F139" s="3" t="s">
        <v>645</v>
      </c>
      <c r="G139" s="4" t="s">
        <v>634</v>
      </c>
      <c r="H139" s="31" t="str">
        <f t="shared" si="23"/>
        <v>Wahl des Rinnensystems:</v>
      </c>
      <c r="I139" s="41"/>
    </row>
    <row r="140" spans="4:13" x14ac:dyDescent="0.2">
      <c r="D140" s="2" t="s">
        <v>605</v>
      </c>
      <c r="E140" s="3" t="s">
        <v>656</v>
      </c>
      <c r="F140" s="3" t="s">
        <v>646</v>
      </c>
      <c r="G140" s="310" t="s">
        <v>842</v>
      </c>
      <c r="H140" s="31" t="str">
        <f t="shared" si="23"/>
        <v>Einzug an der linken Anlagenseite:</v>
      </c>
      <c r="I140" s="41"/>
    </row>
    <row r="141" spans="4:13" x14ac:dyDescent="0.2">
      <c r="D141" s="2" t="s">
        <v>604</v>
      </c>
      <c r="E141" s="3" t="s">
        <v>657</v>
      </c>
      <c r="F141" s="3" t="s">
        <v>647</v>
      </c>
      <c r="G141" s="310" t="s">
        <v>843</v>
      </c>
      <c r="H141" s="31" t="str">
        <f t="shared" si="23"/>
        <v>Einzug an der rechten Anlagenseite:</v>
      </c>
      <c r="I141" s="41"/>
    </row>
    <row r="142" spans="4:13" x14ac:dyDescent="0.2">
      <c r="D142" s="2" t="s">
        <v>603</v>
      </c>
      <c r="E142" s="3" t="s">
        <v>658</v>
      </c>
      <c r="F142" s="3" t="s">
        <v>648</v>
      </c>
      <c r="G142" s="4" t="s">
        <v>635</v>
      </c>
      <c r="H142" s="31" t="str">
        <f t="shared" si="23"/>
        <v>Anschlussstutzen:</v>
      </c>
      <c r="I142" s="41"/>
    </row>
    <row r="143" spans="4:13" x14ac:dyDescent="0.2">
      <c r="D143" s="2" t="s">
        <v>573</v>
      </c>
      <c r="E143" s="3" t="s">
        <v>659</v>
      </c>
      <c r="F143" s="3" t="s">
        <v>625</v>
      </c>
      <c r="G143" s="4" t="s">
        <v>636</v>
      </c>
      <c r="H143" s="31" t="str">
        <f t="shared" si="23"/>
        <v>lose mitliefern</v>
      </c>
      <c r="I143" s="41"/>
      <c r="J143" s="1" t="str">
        <f>H143</f>
        <v>lose mitliefern</v>
      </c>
    </row>
    <row r="144" spans="4:13" x14ac:dyDescent="0.2">
      <c r="D144" s="2" t="s">
        <v>574</v>
      </c>
      <c r="E144" s="3" t="s">
        <v>660</v>
      </c>
      <c r="F144" s="3" t="s">
        <v>626</v>
      </c>
      <c r="G144" s="4" t="s">
        <v>637</v>
      </c>
      <c r="H144" s="31" t="str">
        <f t="shared" si="23"/>
        <v>vordefiniert</v>
      </c>
      <c r="I144" s="41"/>
      <c r="J144" s="1" t="str">
        <f>H144</f>
        <v>vordefiniert</v>
      </c>
    </row>
    <row r="145" spans="4:10" x14ac:dyDescent="0.2">
      <c r="D145" s="2" t="s">
        <v>607</v>
      </c>
      <c r="E145" s="3" t="s">
        <v>661</v>
      </c>
      <c r="F145" s="3" t="s">
        <v>649</v>
      </c>
      <c r="G145" s="4" t="s">
        <v>638</v>
      </c>
      <c r="H145" s="31" t="str">
        <f t="shared" si="23"/>
        <v>Anzahl Anschlussstutzen:</v>
      </c>
      <c r="I145" s="41"/>
    </row>
    <row r="146" spans="4:10" x14ac:dyDescent="0.2">
      <c r="D146" s="2" t="s">
        <v>575</v>
      </c>
      <c r="E146" s="3" t="s">
        <v>627</v>
      </c>
      <c r="F146" s="3" t="s">
        <v>627</v>
      </c>
      <c r="G146" s="4" t="s">
        <v>639</v>
      </c>
      <c r="H146" s="31" t="str">
        <f t="shared" si="23"/>
        <v>Typ A</v>
      </c>
      <c r="I146" s="41"/>
      <c r="J146" s="1" t="str">
        <f>H146</f>
        <v>Typ A</v>
      </c>
    </row>
    <row r="147" spans="4:10" x14ac:dyDescent="0.2">
      <c r="D147" s="2" t="s">
        <v>576</v>
      </c>
      <c r="E147" s="3" t="s">
        <v>628</v>
      </c>
      <c r="F147" s="3" t="s">
        <v>628</v>
      </c>
      <c r="G147" s="4" t="s">
        <v>640</v>
      </c>
      <c r="H147" s="31" t="str">
        <f t="shared" si="23"/>
        <v>Typ B</v>
      </c>
      <c r="I147" s="41"/>
      <c r="J147" s="1" t="str">
        <f>H147</f>
        <v>Typ B</v>
      </c>
    </row>
    <row r="148" spans="4:10" x14ac:dyDescent="0.2">
      <c r="D148" s="273" t="s">
        <v>911</v>
      </c>
      <c r="E148" s="309" t="s">
        <v>912</v>
      </c>
      <c r="F148" s="309" t="s">
        <v>913</v>
      </c>
      <c r="G148" s="310" t="s">
        <v>914</v>
      </c>
      <c r="H148" s="31" t="str">
        <f t="shared" si="23"/>
        <v>Abstände Ablaufstutzen (E):</v>
      </c>
      <c r="I148" s="41"/>
    </row>
    <row r="149" spans="4:10" x14ac:dyDescent="0.2">
      <c r="D149" s="2" t="s">
        <v>577</v>
      </c>
      <c r="E149" s="3" t="s">
        <v>662</v>
      </c>
      <c r="F149" s="271" t="s">
        <v>675</v>
      </c>
      <c r="G149" s="4" t="s">
        <v>641</v>
      </c>
      <c r="H149" s="31" t="str">
        <f t="shared" si="23"/>
        <v>Rinnenanschluss:</v>
      </c>
      <c r="I149" s="41"/>
    </row>
    <row r="150" spans="4:10" x14ac:dyDescent="0.2">
      <c r="D150" s="2" t="s">
        <v>616</v>
      </c>
      <c r="E150" s="3" t="s">
        <v>663</v>
      </c>
      <c r="F150" s="3" t="s">
        <v>650</v>
      </c>
      <c r="G150" s="4" t="s">
        <v>642</v>
      </c>
      <c r="H150" s="31" t="str">
        <f t="shared" si="23"/>
        <v>Farbe Panele:</v>
      </c>
      <c r="I150" s="41"/>
    </row>
    <row r="151" spans="4:10" x14ac:dyDescent="0.2">
      <c r="D151" s="2" t="s">
        <v>16</v>
      </c>
      <c r="E151" s="3" t="s">
        <v>16</v>
      </c>
      <c r="F151" s="3" t="s">
        <v>16</v>
      </c>
      <c r="G151" s="4" t="s">
        <v>16</v>
      </c>
      <c r="H151" s="31" t="str">
        <f t="shared" si="23"/>
        <v>Standard</v>
      </c>
      <c r="I151" s="41"/>
      <c r="J151" s="1" t="str">
        <f>H151</f>
        <v>Standard</v>
      </c>
    </row>
    <row r="152" spans="4:10" x14ac:dyDescent="0.2">
      <c r="D152" s="2" t="s">
        <v>617</v>
      </c>
      <c r="E152" s="3" t="s">
        <v>664</v>
      </c>
      <c r="F152" s="3" t="s">
        <v>629</v>
      </c>
      <c r="G152" s="4" t="s">
        <v>643</v>
      </c>
      <c r="H152" s="31" t="str">
        <f t="shared" si="23"/>
        <v>Rahmenfarbe</v>
      </c>
      <c r="I152" s="41"/>
      <c r="J152" s="1" t="str">
        <f>H152</f>
        <v>Rahmenfarbe</v>
      </c>
    </row>
    <row r="153" spans="4:10" x14ac:dyDescent="0.2">
      <c r="D153" s="2" t="s">
        <v>618</v>
      </c>
      <c r="E153" s="3" t="s">
        <v>665</v>
      </c>
      <c r="F153" s="3" t="s">
        <v>630</v>
      </c>
      <c r="G153" s="4" t="s">
        <v>644</v>
      </c>
      <c r="H153" s="31" t="str">
        <f t="shared" si="23"/>
        <v>Glas Satinato</v>
      </c>
      <c r="I153" s="41"/>
      <c r="J153" s="1" t="str">
        <f>H153</f>
        <v>Glas Satinato</v>
      </c>
    </row>
    <row r="154" spans="4:10" x14ac:dyDescent="0.2">
      <c r="D154" s="2" t="s">
        <v>631</v>
      </c>
      <c r="E154" s="3" t="s">
        <v>666</v>
      </c>
      <c r="F154" s="3" t="s">
        <v>667</v>
      </c>
      <c r="G154" s="4" t="s">
        <v>668</v>
      </c>
      <c r="H154" s="31" t="str">
        <f t="shared" si="23"/>
        <v>Kalenderwoche</v>
      </c>
      <c r="I154" s="41"/>
    </row>
    <row r="155" spans="4:10" x14ac:dyDescent="0.2">
      <c r="D155" s="273" t="s">
        <v>691</v>
      </c>
      <c r="E155" s="309" t="s">
        <v>699</v>
      </c>
      <c r="F155" s="309" t="s">
        <v>702</v>
      </c>
      <c r="G155" s="310" t="s">
        <v>814</v>
      </c>
      <c r="H155" s="31" t="str">
        <f>IF($B$3=$A$3,D155,IF($B$3=$A$4,E155,IF($B$3=$A$5,F155,IF($B$3=$A$6,G155,""))))</f>
        <v>Bestellformular unvollständig!</v>
      </c>
      <c r="I155" s="41"/>
    </row>
    <row r="156" spans="4:10" x14ac:dyDescent="0.2">
      <c r="D156" s="273" t="s">
        <v>701</v>
      </c>
      <c r="E156" s="309" t="s">
        <v>700</v>
      </c>
      <c r="F156" s="309" t="s">
        <v>703</v>
      </c>
      <c r="G156" s="310" t="s">
        <v>815</v>
      </c>
      <c r="H156" s="31" t="str">
        <f t="shared" si="23"/>
        <v>Bestellformular vollständig.</v>
      </c>
      <c r="I156" s="41"/>
    </row>
    <row r="157" spans="4:10" x14ac:dyDescent="0.2">
      <c r="D157" s="273" t="s">
        <v>696</v>
      </c>
      <c r="E157" s="309" t="s">
        <v>695</v>
      </c>
      <c r="F157" s="309" t="s">
        <v>694</v>
      </c>
      <c r="G157" s="310" t="s">
        <v>697</v>
      </c>
      <c r="H157" s="31" t="str">
        <f t="shared" si="23"/>
        <v>B2B-Login Projektnr:</v>
      </c>
      <c r="I157" s="41"/>
    </row>
    <row r="158" spans="4:10" ht="12.75" customHeight="1" x14ac:dyDescent="0.2">
      <c r="D158" s="323" t="s">
        <v>748</v>
      </c>
      <c r="E158" s="309" t="s">
        <v>749</v>
      </c>
      <c r="F158" s="309" t="s">
        <v>750</v>
      </c>
      <c r="G158" s="310" t="s">
        <v>751</v>
      </c>
      <c r="H158" s="31" t="str">
        <f t="shared" ref="H158:H167" si="24">IF($B$3=$A$3,D158,IF($B$3=$A$4,E158,IF($B$3=$A$5,F158,IF($B$3=$A$6,G158,""))))</f>
        <v>OHNE Glas</v>
      </c>
      <c r="I158" s="41"/>
    </row>
    <row r="159" spans="4:10" ht="12.75" customHeight="1" x14ac:dyDescent="0.2">
      <c r="D159" s="273" t="s">
        <v>752</v>
      </c>
      <c r="E159" s="309" t="s">
        <v>753</v>
      </c>
      <c r="F159" s="309" t="s">
        <v>264</v>
      </c>
      <c r="G159" s="310" t="s">
        <v>277</v>
      </c>
      <c r="H159" s="31" t="str">
        <f t="shared" si="24"/>
        <v>Keine</v>
      </c>
      <c r="I159" s="41"/>
    </row>
    <row r="160" spans="4:10" ht="12.75" customHeight="1" x14ac:dyDescent="0.2">
      <c r="D160" s="273" t="s">
        <v>813</v>
      </c>
      <c r="E160" s="309" t="s">
        <v>812</v>
      </c>
      <c r="F160" s="309" t="s">
        <v>811</v>
      </c>
      <c r="G160" s="310" t="s">
        <v>810</v>
      </c>
      <c r="H160" s="31" t="str">
        <f t="shared" si="24"/>
        <v>Nur nach Rücksprache mit Sky-Frame!</v>
      </c>
      <c r="I160" s="41"/>
    </row>
    <row r="161" spans="4:10" x14ac:dyDescent="0.2">
      <c r="D161" s="273" t="s">
        <v>818</v>
      </c>
      <c r="E161" s="309" t="s">
        <v>819</v>
      </c>
      <c r="F161" s="309" t="s">
        <v>820</v>
      </c>
      <c r="G161" s="310" t="s">
        <v>821</v>
      </c>
      <c r="H161" s="31" t="str">
        <f t="shared" si="24"/>
        <v>ohne Verschlussraster (Zylinder)</v>
      </c>
      <c r="I161" s="41"/>
    </row>
    <row r="162" spans="4:10" x14ac:dyDescent="0.2">
      <c r="D162" s="2"/>
      <c r="E162" s="3"/>
      <c r="F162" s="3"/>
      <c r="G162" s="4"/>
      <c r="H162" s="31">
        <f t="shared" si="24"/>
        <v>0</v>
      </c>
      <c r="I162" s="41"/>
    </row>
    <row r="163" spans="4:10" x14ac:dyDescent="0.2">
      <c r="D163" s="2"/>
      <c r="E163" s="3"/>
      <c r="F163" s="3"/>
      <c r="G163" s="4"/>
      <c r="H163" s="31">
        <f t="shared" si="24"/>
        <v>0</v>
      </c>
      <c r="I163" s="41"/>
    </row>
    <row r="164" spans="4:10" x14ac:dyDescent="0.2">
      <c r="D164" s="2"/>
      <c r="E164" s="3"/>
      <c r="F164" s="3"/>
      <c r="G164" s="4"/>
      <c r="H164" s="31">
        <f t="shared" si="24"/>
        <v>0</v>
      </c>
      <c r="I164" s="41"/>
    </row>
    <row r="165" spans="4:10" x14ac:dyDescent="0.2">
      <c r="D165" s="273" t="s">
        <v>954</v>
      </c>
      <c r="E165" s="359" t="s">
        <v>955</v>
      </c>
      <c r="F165" s="359" t="s">
        <v>478</v>
      </c>
      <c r="G165" s="359" t="s">
        <v>956</v>
      </c>
      <c r="H165" s="31" t="str">
        <f t="shared" si="24"/>
        <v>Hinweise:</v>
      </c>
      <c r="I165" s="41"/>
    </row>
    <row r="166" spans="4:10" x14ac:dyDescent="0.2">
      <c r="D166" s="273" t="s">
        <v>832</v>
      </c>
      <c r="E166" s="360" t="s">
        <v>844</v>
      </c>
      <c r="F166" s="359" t="s">
        <v>852</v>
      </c>
      <c r="G166" s="360" t="s">
        <v>860</v>
      </c>
      <c r="H166" s="31" t="str">
        <f t="shared" si="24"/>
        <v>Angabe erstöffnender Flügel</v>
      </c>
      <c r="I166" s="41"/>
    </row>
    <row r="167" spans="4:10" ht="102" x14ac:dyDescent="0.2">
      <c r="D167" s="336" t="s">
        <v>840</v>
      </c>
      <c r="E167" s="361" t="s">
        <v>845</v>
      </c>
      <c r="F167" s="361" t="s">
        <v>853</v>
      </c>
      <c r="G167" s="361" t="s">
        <v>861</v>
      </c>
      <c r="H167" s="49" t="str">
        <f t="shared" si="24"/>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1"/>
    </row>
    <row r="168" spans="4:10" x14ac:dyDescent="0.2">
      <c r="D168" s="336" t="s">
        <v>841</v>
      </c>
      <c r="E168" s="360" t="s">
        <v>846</v>
      </c>
      <c r="F168" s="360" t="s">
        <v>854</v>
      </c>
      <c r="G168" s="361" t="s">
        <v>862</v>
      </c>
      <c r="H168" s="49" t="str">
        <f t="shared" ref="H168:H181" si="25">IF($B$3=$A$3,D168,IF($B$3=$A$4,E168,IF($B$3=$A$5,F168,IF($B$3=$A$6,G168,""))))</f>
        <v>Eingabe Ecke ≠ 90° (von 60° - 160°)</v>
      </c>
      <c r="I168" s="41"/>
    </row>
    <row r="169" spans="4:10" ht="63.75" x14ac:dyDescent="0.2">
      <c r="D169" s="336" t="s">
        <v>833</v>
      </c>
      <c r="E169" s="361" t="s">
        <v>847</v>
      </c>
      <c r="F169" s="361" t="s">
        <v>855</v>
      </c>
      <c r="G169" s="361" t="s">
        <v>863</v>
      </c>
      <c r="H169" s="49" t="str">
        <f t="shared" si="25"/>
        <v xml:space="preserve">Um eine Ecke auszuwählen, welche grösser oder kleiner wie 90° ist, muss das dementsprechende Feld ausgewählt werden. Danach muss der gewünschte Wert angegeben werden. </v>
      </c>
      <c r="I169" s="41"/>
    </row>
    <row r="170" spans="4:10" ht="25.5" x14ac:dyDescent="0.2">
      <c r="D170" s="336" t="s">
        <v>835</v>
      </c>
      <c r="E170" s="360" t="s">
        <v>848</v>
      </c>
      <c r="F170" s="360" t="s">
        <v>856</v>
      </c>
      <c r="G170" s="361" t="s">
        <v>864</v>
      </c>
      <c r="H170" s="49" t="str">
        <f t="shared" si="25"/>
        <v>Breitenangabe bei Eckanlagen</v>
      </c>
      <c r="I170" s="41"/>
    </row>
    <row r="171" spans="4:10" ht="102" x14ac:dyDescent="0.2">
      <c r="D171" s="336" t="s">
        <v>836</v>
      </c>
      <c r="E171" s="361" t="s">
        <v>849</v>
      </c>
      <c r="F171" s="361" t="s">
        <v>857</v>
      </c>
      <c r="G171" s="361" t="s">
        <v>865</v>
      </c>
      <c r="H171" s="49" t="str">
        <f t="shared" si="25"/>
        <v>Wird eine Eckanlage eingegeben, erscheint bei der Angabe "Breite" automatisch ein neues Eingabefeld. Die Länge der einzelnen Fronten muss hier separat angegeben werden (Rahmenaussenmass). Die verschiedenen Fronten sind von links nach rechts anzugeben:</v>
      </c>
      <c r="I171" s="41"/>
    </row>
    <row r="172" spans="4:10" x14ac:dyDescent="0.2">
      <c r="D172" s="336" t="s">
        <v>838</v>
      </c>
      <c r="E172" s="360" t="s">
        <v>850</v>
      </c>
      <c r="F172" s="360" t="s">
        <v>858</v>
      </c>
      <c r="G172" s="361" t="s">
        <v>866</v>
      </c>
      <c r="H172" s="49" t="str">
        <f t="shared" si="25"/>
        <v>Rinnenlänge angeben</v>
      </c>
      <c r="I172" s="41"/>
    </row>
    <row r="173" spans="4:10" ht="140.25" x14ac:dyDescent="0.2">
      <c r="D173" s="336" t="s">
        <v>839</v>
      </c>
      <c r="E173" s="362" t="s">
        <v>851</v>
      </c>
      <c r="F173" s="361" t="s">
        <v>859</v>
      </c>
      <c r="G173" s="361" t="s">
        <v>867</v>
      </c>
      <c r="H173" s="49" t="str">
        <f t="shared" si="25"/>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1"/>
    </row>
    <row r="174" spans="4:10" x14ac:dyDescent="0.2">
      <c r="D174" s="336" t="s">
        <v>16</v>
      </c>
      <c r="E174" s="309" t="s">
        <v>16</v>
      </c>
      <c r="F174" s="309" t="s">
        <v>16</v>
      </c>
      <c r="G174" s="310" t="s">
        <v>16</v>
      </c>
      <c r="H174" s="49" t="str">
        <f t="shared" si="25"/>
        <v>Standard</v>
      </c>
      <c r="I174" s="41"/>
      <c r="J174" s="1" t="str">
        <f>H174</f>
        <v>Standard</v>
      </c>
    </row>
    <row r="175" spans="4:10" x14ac:dyDescent="0.2">
      <c r="D175" s="336" t="s">
        <v>871</v>
      </c>
      <c r="E175" s="309" t="s">
        <v>872</v>
      </c>
      <c r="F175" s="309" t="s">
        <v>873</v>
      </c>
      <c r="G175" s="310" t="s">
        <v>874</v>
      </c>
      <c r="H175" s="49" t="str">
        <f t="shared" si="25"/>
        <v>Seaside (Pool/Meer)</v>
      </c>
      <c r="I175" s="41"/>
      <c r="J175" s="1" t="str">
        <f>H175</f>
        <v>Seaside (Pool/Meer)</v>
      </c>
    </row>
    <row r="176" spans="4:10" x14ac:dyDescent="0.2">
      <c r="D176" s="273" t="s">
        <v>875</v>
      </c>
      <c r="E176" s="309" t="s">
        <v>876</v>
      </c>
      <c r="F176" s="309" t="s">
        <v>877</v>
      </c>
      <c r="G176" s="310" t="s">
        <v>878</v>
      </c>
      <c r="H176" s="49" t="str">
        <f t="shared" si="25"/>
        <v>Pulverlack Klasse:</v>
      </c>
      <c r="I176" s="41"/>
    </row>
    <row r="177" spans="4:10" x14ac:dyDescent="0.2">
      <c r="D177" s="273" t="s">
        <v>879</v>
      </c>
      <c r="E177" s="309" t="s">
        <v>879</v>
      </c>
      <c r="F177" s="309" t="s">
        <v>879</v>
      </c>
      <c r="G177" s="310" t="s">
        <v>879</v>
      </c>
      <c r="H177" s="49" t="str">
        <f t="shared" si="25"/>
        <v>Qualicoat 1</v>
      </c>
      <c r="I177" s="41"/>
      <c r="J177" s="1" t="str">
        <f>H177</f>
        <v>Qualicoat 1</v>
      </c>
    </row>
    <row r="178" spans="4:10" x14ac:dyDescent="0.2">
      <c r="D178" s="273" t="s">
        <v>880</v>
      </c>
      <c r="E178" s="309" t="s">
        <v>880</v>
      </c>
      <c r="F178" s="309" t="s">
        <v>880</v>
      </c>
      <c r="G178" s="310" t="s">
        <v>880</v>
      </c>
      <c r="H178" s="49" t="str">
        <f t="shared" si="25"/>
        <v>Qualicoat 2</v>
      </c>
      <c r="I178" s="41"/>
      <c r="J178" s="1" t="str">
        <f>H178</f>
        <v>Qualicoat 2</v>
      </c>
    </row>
    <row r="179" spans="4:10" x14ac:dyDescent="0.2">
      <c r="D179" s="273" t="s">
        <v>904</v>
      </c>
      <c r="E179" s="309" t="s">
        <v>905</v>
      </c>
      <c r="F179" s="309" t="s">
        <v>906</v>
      </c>
      <c r="G179" s="310" t="s">
        <v>915</v>
      </c>
      <c r="H179" s="49" t="str">
        <f t="shared" si="25"/>
        <v>Übersicht:</v>
      </c>
      <c r="I179" s="41"/>
    </row>
    <row r="180" spans="4:10" x14ac:dyDescent="0.2">
      <c r="D180" s="273" t="s">
        <v>895</v>
      </c>
      <c r="E180" s="309" t="s">
        <v>896</v>
      </c>
      <c r="F180" s="309" t="s">
        <v>897</v>
      </c>
      <c r="G180" s="310" t="s">
        <v>898</v>
      </c>
      <c r="H180" s="49" t="str">
        <f t="shared" si="25"/>
        <v>VE</v>
      </c>
      <c r="I180" s="41"/>
    </row>
    <row r="181" spans="4:10" x14ac:dyDescent="0.2">
      <c r="D181" s="273" t="s">
        <v>916</v>
      </c>
      <c r="E181" s="309" t="s">
        <v>958</v>
      </c>
      <c r="F181" s="309" t="s">
        <v>959</v>
      </c>
      <c r="G181" s="310" t="s">
        <v>960</v>
      </c>
      <c r="H181" s="49" t="str">
        <f t="shared" si="25"/>
        <v>Sky-Frame Beratung vorhanden:</v>
      </c>
      <c r="I181" s="41"/>
    </row>
    <row r="182" spans="4:10" x14ac:dyDescent="0.2">
      <c r="D182" s="273" t="s">
        <v>917</v>
      </c>
      <c r="E182" s="309" t="s">
        <v>961</v>
      </c>
      <c r="F182" s="309" t="s">
        <v>962</v>
      </c>
      <c r="G182" s="310" t="s">
        <v>963</v>
      </c>
      <c r="H182" s="49" t="str">
        <f t="shared" ref="H182:H197" si="26">IF($B$3=$A$3,D182,IF($B$3=$A$4,E182,IF($B$3=$A$5,F182,IF($B$3=$A$6,G182,""))))</f>
        <v>Beratungsnummer: (z.B. P123456)</v>
      </c>
      <c r="I182" s="41"/>
    </row>
    <row r="183" spans="4:10" x14ac:dyDescent="0.2">
      <c r="D183" s="273" t="s">
        <v>918</v>
      </c>
      <c r="E183" s="309" t="s">
        <v>919</v>
      </c>
      <c r="F183" s="309" t="s">
        <v>964</v>
      </c>
      <c r="G183" s="310" t="s">
        <v>965</v>
      </c>
      <c r="H183" s="49" t="str">
        <f t="shared" si="26"/>
        <v>Inch-Rechner</v>
      </c>
      <c r="I183" s="41"/>
    </row>
    <row r="184" spans="4:10" x14ac:dyDescent="0.2">
      <c r="D184" s="273" t="s">
        <v>920</v>
      </c>
      <c r="E184" s="309" t="s">
        <v>921</v>
      </c>
      <c r="F184" s="309" t="s">
        <v>966</v>
      </c>
      <c r="G184" s="310" t="s">
        <v>967</v>
      </c>
      <c r="H184" s="49" t="str">
        <f t="shared" si="26"/>
        <v>Fuss:</v>
      </c>
      <c r="I184" s="41"/>
    </row>
    <row r="185" spans="4:10" x14ac:dyDescent="0.2">
      <c r="D185" s="273" t="s">
        <v>922</v>
      </c>
      <c r="E185" s="309" t="s">
        <v>923</v>
      </c>
      <c r="F185" s="309" t="s">
        <v>968</v>
      </c>
      <c r="G185" s="310" t="s">
        <v>969</v>
      </c>
      <c r="H185" s="49" t="str">
        <f t="shared" si="26"/>
        <v>Zoll:</v>
      </c>
      <c r="I185" s="41"/>
    </row>
    <row r="186" spans="4:10" x14ac:dyDescent="0.2">
      <c r="D186" s="273" t="s">
        <v>924</v>
      </c>
      <c r="E186" s="309" t="s">
        <v>970</v>
      </c>
      <c r="F186" s="309" t="s">
        <v>971</v>
      </c>
      <c r="G186" s="310" t="s">
        <v>972</v>
      </c>
      <c r="H186" s="49" t="str">
        <f t="shared" si="26"/>
        <v>Bemassung Bahnhof</v>
      </c>
      <c r="I186" s="41"/>
    </row>
    <row r="187" spans="4:10" ht="102" x14ac:dyDescent="0.2">
      <c r="D187" s="446" t="s">
        <v>925</v>
      </c>
      <c r="E187" s="362" t="s">
        <v>973</v>
      </c>
      <c r="F187" s="362" t="s">
        <v>974</v>
      </c>
      <c r="G187" s="447" t="s">
        <v>937</v>
      </c>
      <c r="H187" s="49" t="str">
        <f t="shared" si="26"/>
        <v>Die Vermassung von Bahnhofanlagen funktioniert gleich wie bei normalen Rahmen. Bitte geben Sie uns als Rahmenmass das komplette Mass von Aussenkant Rahmen an. Für die Vermassung der Labyrinthposition geben Sie bitte das Mass bis Achse Labyrinth an.</v>
      </c>
      <c r="I187" s="41"/>
    </row>
    <row r="188" spans="4:10" x14ac:dyDescent="0.2">
      <c r="D188" s="273" t="s">
        <v>926</v>
      </c>
      <c r="E188" s="309" t="s">
        <v>975</v>
      </c>
      <c r="F188" s="309" t="s">
        <v>976</v>
      </c>
      <c r="G188" s="310" t="s">
        <v>977</v>
      </c>
      <c r="H188" s="49" t="str">
        <f t="shared" si="26"/>
        <v>Bahnhof Typ 1:</v>
      </c>
      <c r="I188" s="41"/>
    </row>
    <row r="189" spans="4:10" x14ac:dyDescent="0.2">
      <c r="D189" s="273" t="s">
        <v>927</v>
      </c>
      <c r="E189" s="309" t="s">
        <v>978</v>
      </c>
      <c r="F189" s="309" t="s">
        <v>979</v>
      </c>
      <c r="G189" s="310" t="s">
        <v>980</v>
      </c>
      <c r="H189" s="49" t="str">
        <f t="shared" si="26"/>
        <v>Bahnhof Typ 2:</v>
      </c>
      <c r="I189" s="41"/>
    </row>
    <row r="190" spans="4:10" x14ac:dyDescent="0.2">
      <c r="D190" s="273" t="s">
        <v>928</v>
      </c>
      <c r="E190" s="309" t="s">
        <v>253</v>
      </c>
      <c r="F190" s="309" t="s">
        <v>271</v>
      </c>
      <c r="G190" s="310" t="s">
        <v>282</v>
      </c>
      <c r="H190" s="49" t="str">
        <f t="shared" si="26"/>
        <v>schwarz</v>
      </c>
      <c r="I190" s="41"/>
    </row>
    <row r="191" spans="4:10" x14ac:dyDescent="0.2">
      <c r="D191" s="273" t="s">
        <v>617</v>
      </c>
      <c r="E191" s="309" t="s">
        <v>929</v>
      </c>
      <c r="F191" s="309" t="s">
        <v>930</v>
      </c>
      <c r="G191" s="310" t="s">
        <v>931</v>
      </c>
      <c r="H191" s="49" t="str">
        <f t="shared" si="26"/>
        <v>Rahmenfarbe</v>
      </c>
      <c r="I191" s="41"/>
    </row>
    <row r="192" spans="4:10" x14ac:dyDescent="0.2">
      <c r="D192" s="273" t="s">
        <v>928</v>
      </c>
      <c r="E192" s="309" t="s">
        <v>253</v>
      </c>
      <c r="F192" s="309" t="s">
        <v>271</v>
      </c>
      <c r="G192" s="310" t="s">
        <v>282</v>
      </c>
      <c r="H192" s="49" t="str">
        <f t="shared" si="26"/>
        <v>schwarz</v>
      </c>
      <c r="I192" s="41"/>
    </row>
    <row r="193" spans="4:9" x14ac:dyDescent="0.2">
      <c r="D193" s="273" t="s">
        <v>938</v>
      </c>
      <c r="E193" s="309" t="s">
        <v>939</v>
      </c>
      <c r="F193" s="309" t="s">
        <v>981</v>
      </c>
      <c r="G193" s="310" t="s">
        <v>982</v>
      </c>
      <c r="H193" s="49" t="str">
        <f t="shared" si="26"/>
        <v>Sonstiges:</v>
      </c>
      <c r="I193" s="41"/>
    </row>
    <row r="194" spans="4:9" x14ac:dyDescent="0.2">
      <c r="D194" s="273" t="s">
        <v>957</v>
      </c>
      <c r="E194" s="309" t="s">
        <v>940</v>
      </c>
      <c r="F194" s="309" t="s">
        <v>983</v>
      </c>
      <c r="G194" s="310" t="s">
        <v>984</v>
      </c>
      <c r="H194" s="49" t="str">
        <f t="shared" si="26"/>
        <v>Sichtbare Rahmenprofile (aussen):</v>
      </c>
      <c r="I194" s="41"/>
    </row>
    <row r="195" spans="4:9" x14ac:dyDescent="0.2">
      <c r="D195" s="273" t="s">
        <v>941</v>
      </c>
      <c r="E195" s="309" t="s">
        <v>942</v>
      </c>
      <c r="F195" s="309" t="s">
        <v>985</v>
      </c>
      <c r="G195" s="310" t="s">
        <v>986</v>
      </c>
      <c r="H195" s="49" t="str">
        <f t="shared" si="26"/>
        <v>Lieferung Glas und Rahmen:</v>
      </c>
      <c r="I195" s="41"/>
    </row>
    <row r="196" spans="4:9" x14ac:dyDescent="0.2">
      <c r="D196" s="273" t="s">
        <v>943</v>
      </c>
      <c r="E196" s="309" t="s">
        <v>944</v>
      </c>
      <c r="F196" s="309" t="s">
        <v>987</v>
      </c>
      <c r="G196" s="310" t="s">
        <v>988</v>
      </c>
      <c r="H196" s="49" t="str">
        <f t="shared" si="26"/>
        <v>zusammen</v>
      </c>
      <c r="I196" s="41"/>
    </row>
    <row r="197" spans="4:9" x14ac:dyDescent="0.2">
      <c r="D197" s="273" t="s">
        <v>945</v>
      </c>
      <c r="E197" s="309" t="s">
        <v>946</v>
      </c>
      <c r="F197" s="309" t="s">
        <v>989</v>
      </c>
      <c r="G197" s="310" t="s">
        <v>990</v>
      </c>
      <c r="H197" s="49" t="str">
        <f t="shared" si="26"/>
        <v>getrennt</v>
      </c>
      <c r="I197" s="41"/>
    </row>
    <row r="198" spans="4:9" x14ac:dyDescent="0.2">
      <c r="D198" s="273" t="s">
        <v>947</v>
      </c>
      <c r="E198" s="309" t="s">
        <v>948</v>
      </c>
      <c r="F198" s="309" t="s">
        <v>948</v>
      </c>
      <c r="G198" s="310" t="s">
        <v>991</v>
      </c>
      <c r="H198" s="49" t="str">
        <f t="shared" ref="H198:H209" si="27">IF($B$3=$A$3,D198,IF($B$3=$A$4,E198,IF($B$3=$A$5,F198,IF($B$3=$A$6,G198,""))))</f>
        <v>sichtbar</v>
      </c>
      <c r="I198" s="41"/>
    </row>
    <row r="199" spans="4:9" x14ac:dyDescent="0.2">
      <c r="D199" s="273" t="s">
        <v>949</v>
      </c>
      <c r="E199" s="309" t="s">
        <v>950</v>
      </c>
      <c r="F199" s="309" t="s">
        <v>992</v>
      </c>
      <c r="G199" s="310" t="s">
        <v>993</v>
      </c>
      <c r="H199" s="49" t="str">
        <f t="shared" si="27"/>
        <v>nicht sichtbar</v>
      </c>
      <c r="I199" s="41"/>
    </row>
    <row r="200" spans="4:9" x14ac:dyDescent="0.2">
      <c r="D200" s="10"/>
      <c r="E200" s="3"/>
      <c r="F200" s="3"/>
      <c r="G200" s="4"/>
      <c r="H200" s="49">
        <f t="shared" si="27"/>
        <v>0</v>
      </c>
      <c r="I200" s="41"/>
    </row>
    <row r="201" spans="4:9" x14ac:dyDescent="0.2">
      <c r="D201" s="10"/>
      <c r="E201" s="3"/>
      <c r="F201" s="3"/>
      <c r="G201" s="4"/>
      <c r="H201" s="49">
        <f t="shared" si="27"/>
        <v>0</v>
      </c>
      <c r="I201" s="41"/>
    </row>
    <row r="202" spans="4:9" x14ac:dyDescent="0.2">
      <c r="D202" s="10"/>
      <c r="E202" s="3"/>
      <c r="F202" s="3"/>
      <c r="G202" s="4"/>
      <c r="H202" s="49">
        <f t="shared" si="27"/>
        <v>0</v>
      </c>
      <c r="I202" s="41"/>
    </row>
    <row r="203" spans="4:9" x14ac:dyDescent="0.2">
      <c r="D203" s="10"/>
      <c r="E203" s="3"/>
      <c r="F203" s="3"/>
      <c r="G203" s="4"/>
      <c r="H203" s="49">
        <f t="shared" si="27"/>
        <v>0</v>
      </c>
      <c r="I203" s="41"/>
    </row>
    <row r="204" spans="4:9" x14ac:dyDescent="0.2">
      <c r="D204" s="10"/>
      <c r="E204" s="3"/>
      <c r="F204" s="3"/>
      <c r="G204" s="4"/>
      <c r="H204" s="49">
        <f t="shared" si="27"/>
        <v>0</v>
      </c>
      <c r="I204" s="41"/>
    </row>
    <row r="205" spans="4:9" x14ac:dyDescent="0.2">
      <c r="D205" s="10"/>
      <c r="E205" s="3"/>
      <c r="F205" s="3"/>
      <c r="G205" s="4"/>
      <c r="H205" s="49">
        <f t="shared" si="27"/>
        <v>0</v>
      </c>
      <c r="I205" s="41"/>
    </row>
    <row r="206" spans="4:9" x14ac:dyDescent="0.2">
      <c r="D206" s="10"/>
      <c r="E206" s="3"/>
      <c r="F206" s="3"/>
      <c r="G206" s="4"/>
      <c r="H206" s="49">
        <f t="shared" si="27"/>
        <v>0</v>
      </c>
      <c r="I206" s="41"/>
    </row>
    <row r="207" spans="4:9" x14ac:dyDescent="0.2">
      <c r="D207" s="10"/>
      <c r="E207" s="3"/>
      <c r="F207" s="3"/>
      <c r="G207" s="4"/>
      <c r="H207" s="49">
        <f t="shared" si="27"/>
        <v>0</v>
      </c>
      <c r="I207" s="41"/>
    </row>
    <row r="208" spans="4:9" x14ac:dyDescent="0.2">
      <c r="D208" s="10"/>
      <c r="E208" s="3"/>
      <c r="F208" s="3"/>
      <c r="G208" s="4"/>
      <c r="H208" s="49">
        <f t="shared" si="27"/>
        <v>0</v>
      </c>
      <c r="I208" s="41"/>
    </row>
    <row r="209" spans="4:9" x14ac:dyDescent="0.2">
      <c r="D209" s="10"/>
      <c r="E209" s="3"/>
      <c r="F209" s="3"/>
      <c r="G209" s="4"/>
      <c r="H209" s="49">
        <f t="shared" si="27"/>
        <v>0</v>
      </c>
      <c r="I209" s="41"/>
    </row>
  </sheetData>
  <mergeCells count="4">
    <mergeCell ref="N40:P40"/>
    <mergeCell ref="M60:M61"/>
    <mergeCell ref="B87:C87"/>
    <mergeCell ref="L85:M85"/>
  </mergeCells>
  <dataValidations disablePrompts="1" count="1">
    <dataValidation type="list" allowBlank="1" showInputMessage="1" showErrorMessage="1" sqref="P38" xr:uid="{00000000-0002-0000-0200-000000000000}">
      <formula1>$O$45:$O$46</formula1>
    </dataValidation>
  </dataValidations>
  <pageMargins left="0.7" right="0.7" top="0.78740157499999996" bottom="0.78740157499999996" header="0.3" footer="0.3"/>
  <pageSetup paperSize="9" orientation="portrait" r:id="rId1"/>
  <ignoredErrors>
    <ignoredError sqref="H89" 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Eingabefenste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ColWidth="11.42578125" defaultRowHeight="12.75" x14ac:dyDescent="0.2"/>
  <cols>
    <col min="1" max="1" width="12.42578125" style="136" customWidth="1"/>
    <col min="2" max="2" width="3.7109375" style="136" customWidth="1"/>
    <col min="3" max="3" width="2.85546875" style="136" customWidth="1"/>
    <col min="4" max="4" width="1.28515625" style="136" customWidth="1"/>
    <col min="5" max="44" width="3.28515625" style="136" customWidth="1"/>
    <col min="45" max="45" width="1.42578125" style="136" customWidth="1"/>
    <col min="46" max="46" width="4.5703125" style="136" customWidth="1"/>
    <col min="47" max="47" width="3.7109375" style="136" customWidth="1"/>
    <col min="48" max="48" width="7.28515625" style="136" customWidth="1"/>
    <col min="49" max="50" width="11.42578125" style="136"/>
    <col min="51" max="51" width="20.28515625" style="136" customWidth="1"/>
    <col min="52" max="53" width="10.140625" style="136" customWidth="1"/>
    <col min="54" max="54" width="9.5703125" style="136" customWidth="1"/>
    <col min="55" max="55" width="11.42578125" style="136"/>
    <col min="56" max="56" width="5.5703125" style="136" customWidth="1"/>
    <col min="57" max="57" width="4.5703125" style="136" customWidth="1"/>
    <col min="58" max="58" width="1.85546875" style="136" customWidth="1"/>
    <col min="59" max="59" width="5.7109375" style="136" customWidth="1"/>
    <col min="60" max="60" width="6.28515625" style="136" customWidth="1"/>
    <col min="61" max="61" width="5.85546875" style="136" customWidth="1"/>
    <col min="62" max="64" width="0" style="136" hidden="1" customWidth="1"/>
    <col min="65" max="16384" width="11.42578125" style="136"/>
  </cols>
  <sheetData>
    <row r="1" spans="1:64" ht="13.5" thickBot="1" x14ac:dyDescent="0.25">
      <c r="A1" s="153" t="s">
        <v>493</v>
      </c>
      <c r="C1" s="61"/>
      <c r="AW1" s="154"/>
    </row>
    <row r="2" spans="1:64" ht="13.5" thickTop="1" x14ac:dyDescent="0.2">
      <c r="B2" s="198">
        <v>1</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109"/>
      <c r="AW2" s="423"/>
      <c r="AX2" s="233"/>
      <c r="AY2" s="233"/>
      <c r="AZ2" s="233"/>
      <c r="BA2" s="233"/>
      <c r="BB2" s="364" t="str">
        <f>CONCATENATE(ROUND(SUM(I46:K49)*Z42/1000000,2)*AJ6,"m²")</f>
        <v>0m²</v>
      </c>
      <c r="BD2" s="232"/>
      <c r="BE2" s="233"/>
      <c r="BF2" s="233"/>
      <c r="BG2" s="233"/>
      <c r="BH2" s="233"/>
      <c r="BI2" s="234"/>
    </row>
    <row r="3" spans="1:64" ht="36.75" customHeight="1" x14ac:dyDescent="0.3">
      <c r="B3" s="197"/>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137"/>
      <c r="AR3" s="84"/>
      <c r="AS3" s="84"/>
      <c r="AT3" s="138" t="s">
        <v>706</v>
      </c>
      <c r="AU3" s="111"/>
      <c r="AW3" s="235"/>
      <c r="AX3" s="236" t="str">
        <f>'Sprachen &amp; Rückgabewerte'!$H$2</f>
        <v>Sprache:</v>
      </c>
      <c r="AY3" s="61"/>
      <c r="AZ3" s="61"/>
      <c r="BA3" s="61"/>
      <c r="BB3" s="381" t="str">
        <f>IF(AJ6&gt;1,CONCATENATE(AH6," ",AJ6),"")</f>
        <v/>
      </c>
      <c r="BD3" s="235"/>
      <c r="BE3" s="415" t="str">
        <f>'Sprachen &amp; Rückgabewerte'!H183</f>
        <v>Inch-Rechner</v>
      </c>
      <c r="BF3" s="415"/>
      <c r="BG3" s="61"/>
      <c r="BH3" s="61"/>
      <c r="BI3" s="237"/>
    </row>
    <row r="4" spans="1:64" ht="19.5" customHeight="1" x14ac:dyDescent="0.2">
      <c r="B4" s="107"/>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109"/>
      <c r="AW4" s="235"/>
      <c r="AX4" s="61"/>
      <c r="AY4" s="61"/>
      <c r="AZ4" s="61"/>
      <c r="BA4" s="61"/>
      <c r="BB4" s="237"/>
      <c r="BD4" s="235"/>
      <c r="BE4" s="150" t="str">
        <f>'Sprachen &amp; Rückgabewerte'!H184</f>
        <v>Fuss:</v>
      </c>
      <c r="BF4" s="150"/>
      <c r="BG4" s="150" t="str">
        <f>'Sprachen &amp; Rückgabewerte'!H185</f>
        <v>Zoll:</v>
      </c>
      <c r="BH4" s="61"/>
      <c r="BI4" s="237"/>
    </row>
    <row r="5" spans="1:64" x14ac:dyDescent="0.2">
      <c r="B5" s="60"/>
      <c r="C5" s="121"/>
      <c r="D5" s="122"/>
      <c r="E5" s="123" t="str">
        <f>'Sprachen &amp; Rückgabewerte'!H4</f>
        <v>BESTELLUNG</v>
      </c>
      <c r="F5" s="122"/>
      <c r="G5" s="122"/>
      <c r="H5" s="122"/>
      <c r="I5" s="122"/>
      <c r="J5" s="122"/>
      <c r="K5" s="122"/>
      <c r="L5" s="122"/>
      <c r="M5" s="122"/>
      <c r="N5" s="122"/>
      <c r="O5" s="122"/>
      <c r="P5" s="122"/>
      <c r="Q5" s="122"/>
      <c r="R5" s="124"/>
      <c r="S5" s="669" t="str">
        <f>'Sprachen &amp; Rückgabewerte'!$H$130</f>
        <v>Vertriebspartner:</v>
      </c>
      <c r="T5" s="670"/>
      <c r="U5" s="670"/>
      <c r="V5" s="670"/>
      <c r="W5" s="670"/>
      <c r="X5" s="671"/>
      <c r="Y5" s="672"/>
      <c r="Z5" s="673"/>
      <c r="AA5" s="673"/>
      <c r="AB5" s="673"/>
      <c r="AC5" s="673"/>
      <c r="AD5" s="673"/>
      <c r="AE5" s="673"/>
      <c r="AF5" s="674"/>
      <c r="AG5" s="139"/>
      <c r="AH5" s="125" t="str">
        <f>'Sprachen &amp; Rückgabewerte'!H55</f>
        <v>Pos:</v>
      </c>
      <c r="AI5" s="140"/>
      <c r="AJ5" s="663"/>
      <c r="AK5" s="664"/>
      <c r="AL5" s="665"/>
      <c r="AM5" s="139"/>
      <c r="AN5" s="125" t="str">
        <f>'Sprachen &amp; Rückgabewerte'!$H$10</f>
        <v>2-gleisig</v>
      </c>
      <c r="AO5" s="140"/>
      <c r="AP5" s="140"/>
      <c r="AQ5" s="140"/>
      <c r="AR5" s="140"/>
      <c r="AS5" s="140"/>
      <c r="AT5" s="183"/>
      <c r="AU5" s="110"/>
      <c r="AW5" s="235"/>
      <c r="AX5" s="61"/>
      <c r="AY5" s="61"/>
      <c r="AZ5" s="61"/>
      <c r="BA5" s="61"/>
      <c r="BB5" s="237"/>
      <c r="BD5" s="235"/>
      <c r="BE5" s="552"/>
      <c r="BF5" s="554" t="str">
        <f>"'"</f>
        <v>'</v>
      </c>
      <c r="BG5" s="555"/>
      <c r="BH5" s="416"/>
      <c r="BI5" s="237"/>
      <c r="BJ5" s="136">
        <f>BE5*304.8</f>
        <v>0</v>
      </c>
      <c r="BK5" s="136">
        <f>BG5*25.4</f>
        <v>0</v>
      </c>
      <c r="BL5" s="136">
        <f>IF(AND(BH5="",BH6=""),0,25.4*BH5/BH6)</f>
        <v>0</v>
      </c>
    </row>
    <row r="6" spans="1:64" ht="12" customHeight="1" x14ac:dyDescent="0.2">
      <c r="B6" s="60"/>
      <c r="C6" s="126"/>
      <c r="D6" s="127"/>
      <c r="E6" s="67"/>
      <c r="F6" s="127" t="str">
        <f>'Sprachen &amp; Rückgabewerte'!$H$5</f>
        <v>Gemäss Zeichnung Nr.:</v>
      </c>
      <c r="G6" s="127"/>
      <c r="H6" s="127"/>
      <c r="I6" s="127"/>
      <c r="J6" s="127"/>
      <c r="K6" s="127"/>
      <c r="L6" s="141"/>
      <c r="M6" s="681"/>
      <c r="N6" s="682"/>
      <c r="O6" s="682"/>
      <c r="P6" s="682"/>
      <c r="Q6" s="683"/>
      <c r="R6" s="128"/>
      <c r="S6" s="129" t="str">
        <f>'Sprachen &amp; Rückgabewerte'!$H$7</f>
        <v xml:space="preserve">Objekt: </v>
      </c>
      <c r="T6" s="127"/>
      <c r="U6" s="127"/>
      <c r="V6" s="127"/>
      <c r="W6" s="127"/>
      <c r="X6" s="90"/>
      <c r="Y6" s="666"/>
      <c r="Z6" s="667"/>
      <c r="AA6" s="667"/>
      <c r="AB6" s="667"/>
      <c r="AC6" s="667"/>
      <c r="AD6" s="667"/>
      <c r="AE6" s="667"/>
      <c r="AF6" s="668"/>
      <c r="AG6" s="128"/>
      <c r="AH6" s="129" t="str">
        <f>'Sprachen &amp; Rückgabewerte'!H56</f>
        <v>Stück:</v>
      </c>
      <c r="AI6" s="127"/>
      <c r="AJ6" s="675"/>
      <c r="AK6" s="676"/>
      <c r="AL6" s="677"/>
      <c r="AM6" s="112"/>
      <c r="AN6" s="129" t="str">
        <f>IF($AT$5="",'Sprachen &amp; Rückgabewerte'!$H$11,'Sprachen &amp; Rückgabewerte'!$H$12)</f>
        <v>3-gleisig</v>
      </c>
      <c r="AO6" s="127"/>
      <c r="AP6" s="127"/>
      <c r="AQ6" s="127"/>
      <c r="AR6" s="127"/>
      <c r="AS6" s="127"/>
      <c r="AT6" s="128"/>
      <c r="AU6" s="110"/>
      <c r="AW6" s="235"/>
      <c r="AX6" s="61"/>
      <c r="AY6" s="61"/>
      <c r="AZ6" s="61"/>
      <c r="BA6" s="61"/>
      <c r="BB6" s="237"/>
      <c r="BD6" s="235"/>
      <c r="BE6" s="553"/>
      <c r="BF6" s="554"/>
      <c r="BG6" s="556"/>
      <c r="BH6" s="417"/>
      <c r="BI6" s="237"/>
    </row>
    <row r="7" spans="1:64" ht="12" customHeight="1" x14ac:dyDescent="0.2">
      <c r="B7" s="60"/>
      <c r="C7" s="126"/>
      <c r="D7" s="127"/>
      <c r="E7" s="67"/>
      <c r="F7" s="127" t="str">
        <f>'Sprachen &amp; Rückgabewerte'!$H$6</f>
        <v>Gemäss Skizze: (Ansicht von Aussen)</v>
      </c>
      <c r="G7" s="127"/>
      <c r="H7" s="127"/>
      <c r="I7" s="127"/>
      <c r="J7" s="127"/>
      <c r="K7" s="127"/>
      <c r="L7" s="127"/>
      <c r="M7" s="127"/>
      <c r="N7" s="127"/>
      <c r="O7" s="127"/>
      <c r="P7" s="127"/>
      <c r="Q7" s="127"/>
      <c r="R7" s="128"/>
      <c r="S7" s="129" t="str">
        <f>'Sprachen &amp; Rückgabewerte'!$H$8</f>
        <v>Bestelldatum:</v>
      </c>
      <c r="T7" s="127"/>
      <c r="U7" s="127"/>
      <c r="V7" s="127"/>
      <c r="W7" s="127"/>
      <c r="X7" s="90"/>
      <c r="Y7" s="678"/>
      <c r="Z7" s="679"/>
      <c r="AA7" s="679"/>
      <c r="AB7" s="679"/>
      <c r="AC7" s="679"/>
      <c r="AD7" s="679"/>
      <c r="AE7" s="679"/>
      <c r="AF7" s="680"/>
      <c r="AG7" s="142"/>
      <c r="AH7" s="129" t="str">
        <f>'Sprachen &amp; Rückgabewerte'!H57</f>
        <v>Seite:</v>
      </c>
      <c r="AI7" s="143"/>
      <c r="AJ7" s="663"/>
      <c r="AK7" s="664"/>
      <c r="AL7" s="665"/>
      <c r="AM7" s="112"/>
      <c r="AN7" s="129"/>
      <c r="AO7" s="90"/>
      <c r="AP7" s="141"/>
      <c r="AQ7" s="141"/>
      <c r="AR7" s="141"/>
      <c r="AS7" s="141"/>
      <c r="AT7" s="128"/>
      <c r="AU7" s="110"/>
      <c r="AW7" s="235"/>
      <c r="AX7" s="425" t="str">
        <f>'Sprachen &amp; Rückgabewerte'!H193</f>
        <v>Sonstiges:</v>
      </c>
      <c r="AY7" s="61"/>
      <c r="AZ7" s="61"/>
      <c r="BA7" s="61"/>
      <c r="BB7" s="237"/>
      <c r="BD7" s="235"/>
      <c r="BE7" s="61"/>
      <c r="BF7" s="61"/>
      <c r="BG7" s="61"/>
      <c r="BH7" s="61"/>
      <c r="BI7" s="237"/>
    </row>
    <row r="8" spans="1:64" ht="7.5" customHeight="1" thickBot="1" x14ac:dyDescent="0.25">
      <c r="B8" s="60"/>
      <c r="C8" s="130"/>
      <c r="D8" s="131"/>
      <c r="E8" s="131"/>
      <c r="F8" s="131"/>
      <c r="G8" s="131"/>
      <c r="H8" s="131"/>
      <c r="I8" s="131"/>
      <c r="J8" s="131"/>
      <c r="K8" s="131"/>
      <c r="L8" s="131"/>
      <c r="M8" s="131"/>
      <c r="N8" s="131"/>
      <c r="O8" s="131"/>
      <c r="P8" s="131"/>
      <c r="Q8" s="131"/>
      <c r="R8" s="132"/>
      <c r="S8" s="130"/>
      <c r="T8" s="131"/>
      <c r="U8" s="131"/>
      <c r="V8" s="131"/>
      <c r="W8" s="131"/>
      <c r="X8" s="131"/>
      <c r="Y8" s="131"/>
      <c r="Z8" s="131"/>
      <c r="AA8" s="131"/>
      <c r="AB8" s="131"/>
      <c r="AC8" s="131"/>
      <c r="AD8" s="131"/>
      <c r="AE8" s="131"/>
      <c r="AF8" s="131"/>
      <c r="AG8" s="132"/>
      <c r="AH8" s="130"/>
      <c r="AI8" s="131"/>
      <c r="AJ8" s="131"/>
      <c r="AK8" s="131"/>
      <c r="AL8" s="131"/>
      <c r="AM8" s="113"/>
      <c r="AN8" s="130"/>
      <c r="AO8" s="131"/>
      <c r="AP8" s="131"/>
      <c r="AQ8" s="131"/>
      <c r="AR8" s="131"/>
      <c r="AS8" s="131"/>
      <c r="AT8" s="132"/>
      <c r="AU8" s="110"/>
      <c r="AW8" s="235"/>
      <c r="AX8" s="426"/>
      <c r="AY8" s="61"/>
      <c r="AZ8" s="61"/>
      <c r="BA8" s="61"/>
      <c r="BB8" s="237"/>
      <c r="BD8" s="235"/>
      <c r="BE8" s="61"/>
      <c r="BF8" s="61"/>
      <c r="BG8" s="61"/>
      <c r="BH8" s="61"/>
      <c r="BI8" s="237"/>
    </row>
    <row r="9" spans="1:64" ht="15" customHeight="1" thickTop="1" x14ac:dyDescent="0.2">
      <c r="A9" s="645" t="str">
        <f>IF('Sprachen &amp; Rückgabewerte'!L62=1,'Sprachen &amp; Rückgabewerte'!$H$132,"")</f>
        <v/>
      </c>
      <c r="B9" s="220"/>
      <c r="C9" s="60"/>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3"/>
      <c r="AN9" s="61"/>
      <c r="AO9" s="61"/>
      <c r="AP9" s="61"/>
      <c r="AQ9" s="61"/>
      <c r="AR9" s="61"/>
      <c r="AS9" s="61"/>
      <c r="AT9" s="110"/>
      <c r="AU9" s="110"/>
      <c r="AW9" s="235"/>
      <c r="AX9" s="426" t="str">
        <f>'Sprachen &amp; Rückgabewerte'!H194</f>
        <v>Sichtbare Rahmenprofile (aussen):</v>
      </c>
      <c r="AY9" s="61"/>
      <c r="AZ9" s="550"/>
      <c r="BA9" s="551"/>
      <c r="BB9" s="237"/>
      <c r="BD9" s="235"/>
      <c r="BE9" s="557">
        <f>ROUND(SUM(BJ5,BK5,BL5),1)</f>
        <v>0</v>
      </c>
      <c r="BF9" s="558"/>
      <c r="BG9" s="559"/>
      <c r="BH9" s="150" t="s">
        <v>176</v>
      </c>
      <c r="BI9" s="237"/>
    </row>
    <row r="10" spans="1:64" ht="15" customHeight="1" thickBot="1" x14ac:dyDescent="0.25">
      <c r="A10" s="646"/>
      <c r="B10" s="220"/>
      <c r="C10" s="60"/>
      <c r="D10" s="61"/>
      <c r="E10" s="61"/>
      <c r="F10" s="652"/>
      <c r="G10" s="653"/>
      <c r="H10" s="61"/>
      <c r="I10" s="61"/>
      <c r="J10" s="652"/>
      <c r="K10" s="653"/>
      <c r="L10" s="61"/>
      <c r="M10" s="61"/>
      <c r="N10" s="652"/>
      <c r="O10" s="653"/>
      <c r="P10" s="61"/>
      <c r="Q10" s="61"/>
      <c r="R10" s="652"/>
      <c r="S10" s="653"/>
      <c r="T10" s="61"/>
      <c r="U10" s="61"/>
      <c r="V10" s="652"/>
      <c r="W10" s="653"/>
      <c r="X10" s="61"/>
      <c r="Y10" s="61"/>
      <c r="Z10" s="652"/>
      <c r="AA10" s="653"/>
      <c r="AB10" s="61"/>
      <c r="AC10" s="61"/>
      <c r="AD10" s="652"/>
      <c r="AE10" s="653"/>
      <c r="AF10" s="61"/>
      <c r="AG10" s="61"/>
      <c r="AH10" s="652"/>
      <c r="AI10" s="653"/>
      <c r="AJ10" s="61"/>
      <c r="AK10" s="61"/>
      <c r="AL10" s="652"/>
      <c r="AM10" s="653"/>
      <c r="AN10" s="61"/>
      <c r="AO10" s="61"/>
      <c r="AP10" s="652"/>
      <c r="AQ10" s="653"/>
      <c r="AR10" s="61"/>
      <c r="AS10" s="61"/>
      <c r="AT10" s="110"/>
      <c r="AU10" s="110"/>
      <c r="AW10" s="235"/>
      <c r="AX10" s="426" t="str">
        <f>'Sprachen &amp; Rückgabewerte'!H195</f>
        <v>Lieferung Glas und Rahmen:</v>
      </c>
      <c r="AY10" s="61"/>
      <c r="AZ10" s="550"/>
      <c r="BA10" s="551"/>
      <c r="BB10" s="237"/>
      <c r="BD10" s="251"/>
      <c r="BE10" s="241"/>
      <c r="BF10" s="241"/>
      <c r="BG10" s="241"/>
      <c r="BH10" s="241"/>
      <c r="BI10" s="243"/>
    </row>
    <row r="11" spans="1:64" ht="15" customHeight="1" thickTop="1" thickBot="1" x14ac:dyDescent="0.25">
      <c r="A11" s="647"/>
      <c r="B11" s="220"/>
      <c r="C11" s="231">
        <f>COUNTBLANK(E11:AO11)</f>
        <v>37</v>
      </c>
      <c r="D11" s="61"/>
      <c r="E11" s="67"/>
      <c r="F11" s="67"/>
      <c r="G11" s="67"/>
      <c r="H11" s="156"/>
      <c r="I11" s="156"/>
      <c r="J11" s="67"/>
      <c r="K11" s="67"/>
      <c r="L11" s="156"/>
      <c r="M11" s="156"/>
      <c r="N11" s="67"/>
      <c r="O11" s="67"/>
      <c r="P11" s="156"/>
      <c r="Q11" s="156"/>
      <c r="R11" s="67"/>
      <c r="S11" s="67"/>
      <c r="T11" s="156"/>
      <c r="U11" s="156"/>
      <c r="V11" s="67"/>
      <c r="W11" s="67"/>
      <c r="X11" s="156"/>
      <c r="Y11" s="156"/>
      <c r="Z11" s="67"/>
      <c r="AA11" s="67"/>
      <c r="AB11" s="156"/>
      <c r="AC11" s="156"/>
      <c r="AD11" s="67"/>
      <c r="AE11" s="67"/>
      <c r="AF11" s="156"/>
      <c r="AG11" s="156"/>
      <c r="AH11" s="67"/>
      <c r="AI11" s="67"/>
      <c r="AJ11" s="156"/>
      <c r="AK11" s="156"/>
      <c r="AL11" s="67"/>
      <c r="AM11" s="67"/>
      <c r="AN11" s="156"/>
      <c r="AO11" s="156"/>
      <c r="AP11" s="67"/>
      <c r="AQ11" s="67"/>
      <c r="AR11" s="67"/>
      <c r="AS11" s="61"/>
      <c r="AT11" s="110"/>
      <c r="AU11" s="110"/>
      <c r="AW11" s="235"/>
      <c r="AX11" s="61"/>
      <c r="AY11" s="61"/>
      <c r="AZ11" s="61"/>
      <c r="BA11" s="61"/>
      <c r="BB11" s="237"/>
    </row>
    <row r="12" spans="1:64" ht="13.5" customHeight="1" thickTop="1" x14ac:dyDescent="0.2">
      <c r="B12" s="60"/>
      <c r="C12" s="60"/>
      <c r="D12" s="61"/>
      <c r="E12" s="94"/>
      <c r="F12" s="82"/>
      <c r="G12" s="82"/>
      <c r="H12" s="83" t="str">
        <f>IF(F10&lt;&gt;"",IF(AND(F10&gt;0,F10&lt;&gt;"F"),CONCATENATE('Sprachen &amp; Rückgabewerte'!$C$28," ",'Sprachen &amp; Rückgabewerte'!$C$29," ",'Sprachen &amp; Rückgabewerte'!$C$30),'Sprachen &amp; Rückgabewerte'!$C$30),"")</f>
        <v/>
      </c>
      <c r="I12" s="94"/>
      <c r="J12" s="82"/>
      <c r="K12" s="82"/>
      <c r="L12" s="83" t="str">
        <f>IF(J10&lt;&gt;"",IF(AND(J10&gt;0,J10&lt;&gt;"F"),CONCATENATE('Sprachen &amp; Rückgabewerte'!$C$28," ",'Sprachen &amp; Rückgabewerte'!$C$29," ",'Sprachen &amp; Rückgabewerte'!$C$30),'Sprachen &amp; Rückgabewerte'!$C$30),"")</f>
        <v/>
      </c>
      <c r="M12" s="94"/>
      <c r="N12" s="82"/>
      <c r="O12" s="82"/>
      <c r="P12" s="83" t="str">
        <f>IF(N10&lt;&gt;"",IF(AND(N10&gt;0,N10&lt;&gt;"F"),CONCATENATE('Sprachen &amp; Rückgabewerte'!$C$28," ",'Sprachen &amp; Rückgabewerte'!$C$29," ",'Sprachen &amp; Rückgabewerte'!$C$30),'Sprachen &amp; Rückgabewerte'!$C$30),"")</f>
        <v/>
      </c>
      <c r="Q12" s="94"/>
      <c r="R12" s="82"/>
      <c r="S12" s="82"/>
      <c r="T12" s="83" t="str">
        <f>IF(R10&lt;&gt;"",IF(AND(R10&gt;0,R10&lt;&gt;"F"),CONCATENATE('Sprachen &amp; Rückgabewerte'!$C$28," ",'Sprachen &amp; Rückgabewerte'!$C$29," ",'Sprachen &amp; Rückgabewerte'!$C$30),'Sprachen &amp; Rückgabewerte'!$C$30),"")</f>
        <v/>
      </c>
      <c r="U12" s="94"/>
      <c r="V12" s="82"/>
      <c r="W12" s="82"/>
      <c r="X12" s="83" t="str">
        <f>IF(V10&lt;&gt;"",IF(AND(V10&gt;0,V10&lt;&gt;"F"),CONCATENATE('Sprachen &amp; Rückgabewerte'!$C$28," ",'Sprachen &amp; Rückgabewerte'!$C$29," ",'Sprachen &amp; Rückgabewerte'!$C$30),'Sprachen &amp; Rückgabewerte'!$C$30),"")</f>
        <v/>
      </c>
      <c r="Y12" s="94"/>
      <c r="Z12" s="82"/>
      <c r="AA12" s="82"/>
      <c r="AB12" s="83" t="str">
        <f>IF(Z10&lt;&gt;"",IF(AND(Z10&gt;0,Z10&lt;&gt;"F"),CONCATENATE('Sprachen &amp; Rückgabewerte'!$C$28," ",'Sprachen &amp; Rückgabewerte'!$C$29," ",'Sprachen &amp; Rückgabewerte'!$C$30),'Sprachen &amp; Rückgabewerte'!$C$30),"")</f>
        <v/>
      </c>
      <c r="AC12" s="94"/>
      <c r="AD12" s="82"/>
      <c r="AE12" s="82"/>
      <c r="AF12" s="83" t="str">
        <f>IF(AD10&lt;&gt;"",IF(AND(AD10&gt;0,AD10&lt;&gt;"F"),CONCATENATE('Sprachen &amp; Rückgabewerte'!$C$28," ",'Sprachen &amp; Rückgabewerte'!$C$29," ",'Sprachen &amp; Rückgabewerte'!$C$30),'Sprachen &amp; Rückgabewerte'!$C$30),"")</f>
        <v/>
      </c>
      <c r="AG12" s="94"/>
      <c r="AH12" s="82"/>
      <c r="AI12" s="82"/>
      <c r="AJ12" s="83" t="str">
        <f>IF(AH10&lt;&gt;"",IF(AND(AH10&gt;0,AH10&lt;&gt;"F"),CONCATENATE('Sprachen &amp; Rückgabewerte'!$C$28," ",'Sprachen &amp; Rückgabewerte'!$C$29," ",'Sprachen &amp; Rückgabewerte'!$C$30),'Sprachen &amp; Rückgabewerte'!$C$30),"")</f>
        <v/>
      </c>
      <c r="AK12" s="94"/>
      <c r="AL12" s="82"/>
      <c r="AM12" s="82"/>
      <c r="AN12" s="83" t="str">
        <f>IF(AL10&lt;&gt;"",IF(AND(AL10&gt;0,AL10&lt;&gt;"F"),CONCATENATE('Sprachen &amp; Rückgabewerte'!$C$28," ",'Sprachen &amp; Rückgabewerte'!$C$29," ",'Sprachen &amp; Rückgabewerte'!$C$30),'Sprachen &amp; Rückgabewerte'!$C$30),"")</f>
        <v/>
      </c>
      <c r="AO12" s="94"/>
      <c r="AP12" s="82"/>
      <c r="AQ12" s="82"/>
      <c r="AR12" s="83" t="str">
        <f>IF(AP10&lt;&gt;"",IF(AND(AP10&gt;0,AP10&lt;&gt;"F"),CONCATENATE('Sprachen &amp; Rückgabewerte'!$C$28," ",'Sprachen &amp; Rückgabewerte'!$C$29," ",'Sprachen &amp; Rückgabewerte'!$C$30),'Sprachen &amp; Rückgabewerte'!$C$30),"")</f>
        <v/>
      </c>
      <c r="AS12" s="144"/>
      <c r="AT12" s="110"/>
      <c r="AU12" s="110"/>
      <c r="AW12" s="235"/>
      <c r="AX12" s="238"/>
      <c r="AY12" s="61"/>
      <c r="AZ12" s="61"/>
      <c r="BA12" s="61"/>
      <c r="BB12" s="237"/>
    </row>
    <row r="13" spans="1:64" ht="13.5" customHeight="1" x14ac:dyDescent="0.2">
      <c r="B13" s="60"/>
      <c r="C13" s="60"/>
      <c r="D13" s="61"/>
      <c r="E13" s="648" t="str">
        <f>IF(AND('Sprachen &amp; Rückgabewerte'!$I$30=TRUE,$F$10="R"),'Sprachen &amp; Rückgabewerte'!H60,"")</f>
        <v/>
      </c>
      <c r="F13" s="61"/>
      <c r="G13" s="61"/>
      <c r="H13" s="650" t="str">
        <f>IF(AND('Sprachen &amp; Rückgabewerte'!$I$31=TRUE,$F$10="L",$J$10=""),'Sprachen &amp; Rückgabewerte'!$H$60,"")</f>
        <v/>
      </c>
      <c r="I13" s="60"/>
      <c r="J13" s="61"/>
      <c r="K13" s="61"/>
      <c r="L13" s="650" t="str">
        <f>IF(AND('Sprachen &amp; Rückgabewerte'!$I$31=TRUE,$J$10="L",$N$10=""),'Sprachen &amp; Rückgabewerte'!$H$60,"")</f>
        <v/>
      </c>
      <c r="M13" s="60"/>
      <c r="N13" s="61"/>
      <c r="O13" s="61"/>
      <c r="P13" s="650" t="str">
        <f>IF(AND('Sprachen &amp; Rückgabewerte'!$I$31=TRUE,$N$10="L",$R$10=""),'Sprachen &amp; Rückgabewerte'!$H$60,"")</f>
        <v/>
      </c>
      <c r="Q13" s="60"/>
      <c r="R13" s="61"/>
      <c r="S13" s="61"/>
      <c r="T13" s="650" t="str">
        <f>IF(AND('Sprachen &amp; Rückgabewerte'!$I$31=TRUE,$R$10="L",$V$10=""),'Sprachen &amp; Rückgabewerte'!$H$60,"")</f>
        <v/>
      </c>
      <c r="U13" s="60"/>
      <c r="V13" s="61"/>
      <c r="W13" s="61"/>
      <c r="X13" s="650" t="str">
        <f>IF(AND('Sprachen &amp; Rückgabewerte'!$I$31=TRUE,$V$10="L",$Z$10=""),'Sprachen &amp; Rückgabewerte'!$H$60,"")</f>
        <v/>
      </c>
      <c r="Y13" s="60"/>
      <c r="Z13" s="61"/>
      <c r="AA13" s="61"/>
      <c r="AB13" s="650" t="str">
        <f>IF(AND('Sprachen &amp; Rückgabewerte'!$I$31=TRUE,$Z$10="L",$AD$10=""),'Sprachen &amp; Rückgabewerte'!$H$60,"")</f>
        <v/>
      </c>
      <c r="AC13" s="60"/>
      <c r="AD13" s="61"/>
      <c r="AE13" s="61"/>
      <c r="AF13" s="650" t="str">
        <f>IF(AND('Sprachen &amp; Rückgabewerte'!$I$31=TRUE,$AD$10="L",$AH$10=""),'Sprachen &amp; Rückgabewerte'!$H$60,"")</f>
        <v/>
      </c>
      <c r="AG13" s="60"/>
      <c r="AH13" s="61"/>
      <c r="AI13" s="61"/>
      <c r="AJ13" s="650" t="str">
        <f>IF(AND('Sprachen &amp; Rückgabewerte'!$I$31=TRUE,$AH$10="L",$AL$10=""),'Sprachen &amp; Rückgabewerte'!$H$60,"")</f>
        <v/>
      </c>
      <c r="AK13" s="60"/>
      <c r="AL13" s="61"/>
      <c r="AM13" s="61"/>
      <c r="AN13" s="650" t="str">
        <f>IF(AND('Sprachen &amp; Rückgabewerte'!$I$31=TRUE,$AL$10="L",$AP$10=""),'Sprachen &amp; Rückgabewerte'!$H$60,"")</f>
        <v/>
      </c>
      <c r="AO13" s="60"/>
      <c r="AP13" s="61"/>
      <c r="AQ13" s="61"/>
      <c r="AR13" s="650" t="str">
        <f>IF(AND('Sprachen &amp; Rückgabewerte'!$I$31=TRUE,$AP$10="L"),'Sprachen &amp; Rückgabewerte'!$H$60,"")</f>
        <v/>
      </c>
      <c r="AS13" s="145"/>
      <c r="AT13" s="110"/>
      <c r="AU13" s="110"/>
      <c r="AW13" s="235"/>
      <c r="AX13" s="61"/>
      <c r="AY13" s="61"/>
      <c r="AZ13" s="61"/>
      <c r="BA13" s="61"/>
      <c r="BB13" s="237"/>
    </row>
    <row r="14" spans="1:64" ht="13.5" customHeight="1" x14ac:dyDescent="0.2">
      <c r="B14" s="60"/>
      <c r="C14" s="60"/>
      <c r="D14" s="61"/>
      <c r="E14" s="648"/>
      <c r="F14" s="660" t="str">
        <f>IF(F10='Sprachen &amp; Rückgabewerte'!$B$9,'Sprachen &amp; Rückgabewerte'!$C$9,IF(F10='Sprachen &amp; Rückgabewerte'!$B$10,'Sprachen &amp; Rückgabewerte'!$C$10,IF(F10='Sprachen &amp; Rückgabewerte'!$B$11,'Sprachen &amp; Rückgabewerte'!$C$11,IF(F10='Sprachen &amp; Rückgabewerte'!$B$12,'Sprachen &amp; Rückgabewerte'!$C$12,IF(F10='Sprachen &amp; Rückgabewerte'!$B$13,'Sprachen &amp; Rückgabewerte'!$C$13,IF(F10='Sprachen &amp; Rückgabewerte'!$B$14,'Sprachen &amp; Rückgabewerte'!$C$14,""))))))</f>
        <v/>
      </c>
      <c r="G14" s="660"/>
      <c r="H14" s="650"/>
      <c r="I14" s="60"/>
      <c r="J14" s="660" t="str">
        <f>IF(J10='Sprachen &amp; Rückgabewerte'!$B$9,'Sprachen &amp; Rückgabewerte'!$C$9,IF(J10='Sprachen &amp; Rückgabewerte'!$B$10,'Sprachen &amp; Rückgabewerte'!$C$10,IF(J10='Sprachen &amp; Rückgabewerte'!$B$11,'Sprachen &amp; Rückgabewerte'!$C$11,IF(J10='Sprachen &amp; Rückgabewerte'!$B$12,'Sprachen &amp; Rückgabewerte'!$C$12,IF(J10='Sprachen &amp; Rückgabewerte'!$B$13,'Sprachen &amp; Rückgabewerte'!$C$13,IF(J10='Sprachen &amp; Rückgabewerte'!$B$14,'Sprachen &amp; Rückgabewerte'!$C$14,""))))))</f>
        <v/>
      </c>
      <c r="K14" s="660"/>
      <c r="L14" s="650"/>
      <c r="M14" s="60"/>
      <c r="N14" s="660" t="str">
        <f>IF(N10='Sprachen &amp; Rückgabewerte'!$B$9,'Sprachen &amp; Rückgabewerte'!$C$9,IF(N10='Sprachen &amp; Rückgabewerte'!$B$10,'Sprachen &amp; Rückgabewerte'!$C$10,IF(N10='Sprachen &amp; Rückgabewerte'!$B$11,'Sprachen &amp; Rückgabewerte'!$C$11,IF(N10='Sprachen &amp; Rückgabewerte'!$B$12,'Sprachen &amp; Rückgabewerte'!$C$12,IF(N10='Sprachen &amp; Rückgabewerte'!$B$13,'Sprachen &amp; Rückgabewerte'!$C$13,IF(N10='Sprachen &amp; Rückgabewerte'!$B$14,'Sprachen &amp; Rückgabewerte'!$C$14,""))))))</f>
        <v/>
      </c>
      <c r="O14" s="660"/>
      <c r="P14" s="650"/>
      <c r="Q14" s="60"/>
      <c r="R14" s="660" t="str">
        <f>IF(R10='Sprachen &amp; Rückgabewerte'!$B$9,'Sprachen &amp; Rückgabewerte'!$C$9,IF(R10='Sprachen &amp; Rückgabewerte'!$B$10,'Sprachen &amp; Rückgabewerte'!$C$10,IF(R10='Sprachen &amp; Rückgabewerte'!$B$11,'Sprachen &amp; Rückgabewerte'!$C$11,IF(R10='Sprachen &amp; Rückgabewerte'!$B$12,'Sprachen &amp; Rückgabewerte'!$C$12,IF(R10='Sprachen &amp; Rückgabewerte'!$B$13,'Sprachen &amp; Rückgabewerte'!$C$13,IF(R10='Sprachen &amp; Rückgabewerte'!$B$14,'Sprachen &amp; Rückgabewerte'!$C$14,""))))))</f>
        <v/>
      </c>
      <c r="S14" s="660"/>
      <c r="T14" s="650"/>
      <c r="U14" s="60"/>
      <c r="V14" s="660" t="str">
        <f>IF(V10='Sprachen &amp; Rückgabewerte'!$B$9,'Sprachen &amp; Rückgabewerte'!$C$9,IF(V10='Sprachen &amp; Rückgabewerte'!$B$10,'Sprachen &amp; Rückgabewerte'!$C$10,IF(V10='Sprachen &amp; Rückgabewerte'!$B$11,'Sprachen &amp; Rückgabewerte'!$C$11,IF(V10='Sprachen &amp; Rückgabewerte'!$B$12,'Sprachen &amp; Rückgabewerte'!$C$12,IF(V10='Sprachen &amp; Rückgabewerte'!$B$13,'Sprachen &amp; Rückgabewerte'!$C$13,IF(V10='Sprachen &amp; Rückgabewerte'!$B$14,'Sprachen &amp; Rückgabewerte'!$C$14,""))))))</f>
        <v/>
      </c>
      <c r="W14" s="660"/>
      <c r="X14" s="650"/>
      <c r="Y14" s="60"/>
      <c r="Z14" s="660" t="str">
        <f>IF(Z10='Sprachen &amp; Rückgabewerte'!$B$9,'Sprachen &amp; Rückgabewerte'!$C$9,IF(Z10='Sprachen &amp; Rückgabewerte'!$B$10,'Sprachen &amp; Rückgabewerte'!$C$10,IF(Z10='Sprachen &amp; Rückgabewerte'!$B$11,'Sprachen &amp; Rückgabewerte'!$C$11,IF(Z10='Sprachen &amp; Rückgabewerte'!$B$12,'Sprachen &amp; Rückgabewerte'!$C$12,IF(Z10='Sprachen &amp; Rückgabewerte'!$B$13,'Sprachen &amp; Rückgabewerte'!$C$13,IF(Z10='Sprachen &amp; Rückgabewerte'!$B$14,'Sprachen &amp; Rückgabewerte'!$C$14,""))))))</f>
        <v/>
      </c>
      <c r="AA14" s="660"/>
      <c r="AB14" s="650"/>
      <c r="AC14" s="60"/>
      <c r="AD14" s="660" t="str">
        <f>IF(AD10='Sprachen &amp; Rückgabewerte'!$B$9,'Sprachen &amp; Rückgabewerte'!$C$9,IF(AD10='Sprachen &amp; Rückgabewerte'!$B$10,'Sprachen &amp; Rückgabewerte'!$C$10,IF(AD10='Sprachen &amp; Rückgabewerte'!$B$11,'Sprachen &amp; Rückgabewerte'!$C$11,IF(AD10='Sprachen &amp; Rückgabewerte'!$B$12,'Sprachen &amp; Rückgabewerte'!$C$12,IF(AD10='Sprachen &amp; Rückgabewerte'!$B$13,'Sprachen &amp; Rückgabewerte'!$C$13,IF(AD10='Sprachen &amp; Rückgabewerte'!$B$14,'Sprachen &amp; Rückgabewerte'!$C$14,""))))))</f>
        <v/>
      </c>
      <c r="AE14" s="660"/>
      <c r="AF14" s="650"/>
      <c r="AG14" s="60"/>
      <c r="AH14" s="660" t="str">
        <f>IF(AH10='Sprachen &amp; Rückgabewerte'!$B$9,'Sprachen &amp; Rückgabewerte'!$C$9,IF(AH10='Sprachen &amp; Rückgabewerte'!$B$10,'Sprachen &amp; Rückgabewerte'!$C$10,IF(AH10='Sprachen &amp; Rückgabewerte'!$B$11,'Sprachen &amp; Rückgabewerte'!$C$11,IF(AH10='Sprachen &amp; Rückgabewerte'!$B$12,'Sprachen &amp; Rückgabewerte'!$C$12,IF(AH10='Sprachen &amp; Rückgabewerte'!$B$13,'Sprachen &amp; Rückgabewerte'!$C$13,IF(AH10='Sprachen &amp; Rückgabewerte'!$B$14,'Sprachen &amp; Rückgabewerte'!$C$14,""))))))</f>
        <v/>
      </c>
      <c r="AI14" s="660"/>
      <c r="AJ14" s="650"/>
      <c r="AK14" s="60"/>
      <c r="AL14" s="660" t="str">
        <f>IF(AL10='Sprachen &amp; Rückgabewerte'!$B$9,'Sprachen &amp; Rückgabewerte'!$C$9,IF(AL10='Sprachen &amp; Rückgabewerte'!$B$10,'Sprachen &amp; Rückgabewerte'!$C$10,IF(AL10='Sprachen &amp; Rückgabewerte'!$B$11,'Sprachen &amp; Rückgabewerte'!$C$11,IF(AL10='Sprachen &amp; Rückgabewerte'!$B$12,'Sprachen &amp; Rückgabewerte'!$C$12,IF(AL10='Sprachen &amp; Rückgabewerte'!$B$13,'Sprachen &amp; Rückgabewerte'!$C$13,IF(AL10='Sprachen &amp; Rückgabewerte'!$B$14,'Sprachen &amp; Rückgabewerte'!$C$14,""))))))</f>
        <v/>
      </c>
      <c r="AM14" s="660"/>
      <c r="AN14" s="650"/>
      <c r="AO14" s="60"/>
      <c r="AP14" s="660" t="str">
        <f>IF(AP10='Sprachen &amp; Rückgabewerte'!$B$9,'Sprachen &amp; Rückgabewerte'!$C$9,IF(AP10='Sprachen &amp; Rückgabewerte'!$B$10,'Sprachen &amp; Rückgabewerte'!$C$10,IF(AP10='Sprachen &amp; Rückgabewerte'!$B$11,'Sprachen &amp; Rückgabewerte'!$C$11,IF(AP10='Sprachen &amp; Rückgabewerte'!$B$12,'Sprachen &amp; Rückgabewerte'!$C$12,IF(AP10='Sprachen &amp; Rückgabewerte'!$B$13,'Sprachen &amp; Rückgabewerte'!$C$13,IF(AP10='Sprachen &amp; Rückgabewerte'!$B$14,'Sprachen &amp; Rückgabewerte'!$C$14,""))))))</f>
        <v/>
      </c>
      <c r="AQ14" s="660"/>
      <c r="AR14" s="650"/>
      <c r="AS14" s="144"/>
      <c r="AT14" s="110"/>
      <c r="AU14" s="110"/>
      <c r="AW14" s="235"/>
      <c r="AX14" s="149" t="str">
        <f>'Sprachen &amp; Rückgabewerte'!H131</f>
        <v>Bemerkungen:</v>
      </c>
      <c r="AY14" s="61"/>
      <c r="AZ14" s="61"/>
      <c r="BA14" s="61"/>
      <c r="BB14" s="237"/>
    </row>
    <row r="15" spans="1:64" ht="13.5" customHeight="1" x14ac:dyDescent="0.2">
      <c r="B15" s="60"/>
      <c r="C15" s="60"/>
      <c r="D15" s="61"/>
      <c r="E15" s="648"/>
      <c r="F15" s="660"/>
      <c r="G15" s="660"/>
      <c r="H15" s="650"/>
      <c r="I15" s="60"/>
      <c r="J15" s="660"/>
      <c r="K15" s="660"/>
      <c r="L15" s="650"/>
      <c r="M15" s="60"/>
      <c r="N15" s="660"/>
      <c r="O15" s="660"/>
      <c r="P15" s="650"/>
      <c r="Q15" s="60"/>
      <c r="R15" s="660"/>
      <c r="S15" s="660"/>
      <c r="T15" s="650"/>
      <c r="U15" s="60"/>
      <c r="V15" s="660"/>
      <c r="W15" s="660"/>
      <c r="X15" s="650"/>
      <c r="Y15" s="60"/>
      <c r="Z15" s="660"/>
      <c r="AA15" s="660"/>
      <c r="AB15" s="650"/>
      <c r="AC15" s="60"/>
      <c r="AD15" s="660"/>
      <c r="AE15" s="660"/>
      <c r="AF15" s="650"/>
      <c r="AG15" s="60"/>
      <c r="AH15" s="660"/>
      <c r="AI15" s="660"/>
      <c r="AJ15" s="650"/>
      <c r="AK15" s="60"/>
      <c r="AL15" s="660"/>
      <c r="AM15" s="660"/>
      <c r="AN15" s="650"/>
      <c r="AO15" s="60"/>
      <c r="AP15" s="660"/>
      <c r="AQ15" s="660"/>
      <c r="AR15" s="650"/>
      <c r="AS15" s="61"/>
      <c r="AT15" s="110"/>
      <c r="AU15" s="110"/>
      <c r="AW15" s="235"/>
      <c r="AX15" s="684" t="s">
        <v>480</v>
      </c>
      <c r="AY15" s="685"/>
      <c r="AZ15" s="685"/>
      <c r="BA15" s="686"/>
      <c r="BB15" s="237"/>
    </row>
    <row r="16" spans="1:64" ht="13.5" customHeight="1" x14ac:dyDescent="0.2">
      <c r="B16" s="60"/>
      <c r="C16" s="60"/>
      <c r="D16" s="61"/>
      <c r="E16" s="648"/>
      <c r="F16" s="654"/>
      <c r="G16" s="654"/>
      <c r="H16" s="650"/>
      <c r="I16" s="60"/>
      <c r="J16" s="654"/>
      <c r="K16" s="654"/>
      <c r="L16" s="650"/>
      <c r="M16" s="60"/>
      <c r="N16" s="654"/>
      <c r="O16" s="654"/>
      <c r="P16" s="650"/>
      <c r="Q16" s="60"/>
      <c r="R16" s="654"/>
      <c r="S16" s="654"/>
      <c r="T16" s="650"/>
      <c r="U16" s="60"/>
      <c r="V16" s="654"/>
      <c r="W16" s="654"/>
      <c r="X16" s="650"/>
      <c r="Y16" s="60"/>
      <c r="Z16" s="654"/>
      <c r="AA16" s="654"/>
      <c r="AB16" s="650"/>
      <c r="AC16" s="60"/>
      <c r="AD16" s="654"/>
      <c r="AE16" s="654"/>
      <c r="AF16" s="650"/>
      <c r="AG16" s="60"/>
      <c r="AH16" s="654"/>
      <c r="AI16" s="654"/>
      <c r="AJ16" s="650"/>
      <c r="AK16" s="60"/>
      <c r="AL16" s="654"/>
      <c r="AM16" s="654"/>
      <c r="AN16" s="650"/>
      <c r="AO16" s="60"/>
      <c r="AP16" s="654"/>
      <c r="AQ16" s="654"/>
      <c r="AR16" s="650"/>
      <c r="AS16" s="61"/>
      <c r="AT16" s="110"/>
      <c r="AU16" s="110"/>
      <c r="AW16" s="239"/>
      <c r="AX16" s="687"/>
      <c r="AY16" s="688"/>
      <c r="AZ16" s="688"/>
      <c r="BA16" s="689"/>
      <c r="BB16" s="237"/>
    </row>
    <row r="17" spans="1:54" ht="13.5" customHeight="1" x14ac:dyDescent="0.2">
      <c r="B17" s="60"/>
      <c r="C17" s="60"/>
      <c r="D17" s="61"/>
      <c r="E17" s="648"/>
      <c r="F17" s="654"/>
      <c r="G17" s="654"/>
      <c r="H17" s="650"/>
      <c r="I17" s="60"/>
      <c r="J17" s="654"/>
      <c r="K17" s="654"/>
      <c r="L17" s="650"/>
      <c r="M17" s="60"/>
      <c r="N17" s="654"/>
      <c r="O17" s="654"/>
      <c r="P17" s="650"/>
      <c r="Q17" s="60"/>
      <c r="R17" s="654"/>
      <c r="S17" s="654"/>
      <c r="T17" s="650"/>
      <c r="U17" s="60"/>
      <c r="V17" s="654"/>
      <c r="W17" s="654"/>
      <c r="X17" s="650"/>
      <c r="Y17" s="60"/>
      <c r="Z17" s="654"/>
      <c r="AA17" s="654"/>
      <c r="AB17" s="650"/>
      <c r="AC17" s="60"/>
      <c r="AD17" s="654"/>
      <c r="AE17" s="654"/>
      <c r="AF17" s="650"/>
      <c r="AG17" s="60"/>
      <c r="AH17" s="654"/>
      <c r="AI17" s="654"/>
      <c r="AJ17" s="650"/>
      <c r="AK17" s="60"/>
      <c r="AL17" s="654"/>
      <c r="AM17" s="654"/>
      <c r="AN17" s="650"/>
      <c r="AO17" s="60"/>
      <c r="AP17" s="654"/>
      <c r="AQ17" s="654"/>
      <c r="AR17" s="650"/>
      <c r="AS17" s="61"/>
      <c r="AT17" s="110"/>
      <c r="AU17" s="110"/>
      <c r="AW17" s="239"/>
      <c r="AX17" s="687"/>
      <c r="AY17" s="688"/>
      <c r="AZ17" s="688"/>
      <c r="BA17" s="689"/>
      <c r="BB17" s="237"/>
    </row>
    <row r="18" spans="1:54" ht="13.5" customHeight="1" x14ac:dyDescent="0.2">
      <c r="B18" s="60"/>
      <c r="C18" s="60"/>
      <c r="D18" s="61"/>
      <c r="E18" s="648"/>
      <c r="F18" s="95"/>
      <c r="G18" s="95"/>
      <c r="H18" s="650"/>
      <c r="I18" s="60"/>
      <c r="J18" s="95"/>
      <c r="K18" s="95"/>
      <c r="L18" s="650"/>
      <c r="M18" s="60"/>
      <c r="N18" s="95"/>
      <c r="O18" s="95"/>
      <c r="P18" s="650"/>
      <c r="Q18" s="60"/>
      <c r="R18" s="95"/>
      <c r="S18" s="95"/>
      <c r="T18" s="650"/>
      <c r="U18" s="60"/>
      <c r="V18" s="95"/>
      <c r="W18" s="95"/>
      <c r="X18" s="650"/>
      <c r="Y18" s="60"/>
      <c r="Z18" s="95"/>
      <c r="AA18" s="95"/>
      <c r="AB18" s="650"/>
      <c r="AC18" s="60"/>
      <c r="AD18" s="95"/>
      <c r="AE18" s="95"/>
      <c r="AF18" s="650"/>
      <c r="AG18" s="60"/>
      <c r="AH18" s="95"/>
      <c r="AI18" s="95"/>
      <c r="AJ18" s="650"/>
      <c r="AK18" s="60"/>
      <c r="AL18" s="95"/>
      <c r="AM18" s="95"/>
      <c r="AN18" s="650"/>
      <c r="AO18" s="60"/>
      <c r="AP18" s="95"/>
      <c r="AQ18" s="95"/>
      <c r="AR18" s="650"/>
      <c r="AS18" s="61"/>
      <c r="AT18" s="110"/>
      <c r="AU18" s="110"/>
      <c r="AW18" s="239"/>
      <c r="AX18" s="690"/>
      <c r="AY18" s="691"/>
      <c r="AZ18" s="691"/>
      <c r="BA18" s="692"/>
      <c r="BB18" s="237"/>
    </row>
    <row r="19" spans="1:54" ht="13.5" customHeight="1" x14ac:dyDescent="0.2">
      <c r="B19" s="60"/>
      <c r="C19" s="60"/>
      <c r="D19" s="61"/>
      <c r="E19" s="649"/>
      <c r="F19" s="84"/>
      <c r="G19" s="84"/>
      <c r="H19" s="651"/>
      <c r="I19" s="68"/>
      <c r="J19" s="84"/>
      <c r="K19" s="84"/>
      <c r="L19" s="651"/>
      <c r="M19" s="68"/>
      <c r="N19" s="84"/>
      <c r="O19" s="84"/>
      <c r="P19" s="651"/>
      <c r="Q19" s="68"/>
      <c r="R19" s="84"/>
      <c r="S19" s="84"/>
      <c r="T19" s="651"/>
      <c r="U19" s="68"/>
      <c r="V19" s="84"/>
      <c r="W19" s="84"/>
      <c r="X19" s="651"/>
      <c r="Y19" s="68"/>
      <c r="Z19" s="84"/>
      <c r="AA19" s="84"/>
      <c r="AB19" s="651"/>
      <c r="AC19" s="68"/>
      <c r="AD19" s="84"/>
      <c r="AE19" s="84"/>
      <c r="AF19" s="651"/>
      <c r="AG19" s="68"/>
      <c r="AH19" s="84"/>
      <c r="AI19" s="84"/>
      <c r="AJ19" s="651"/>
      <c r="AK19" s="68"/>
      <c r="AL19" s="84"/>
      <c r="AM19" s="84"/>
      <c r="AN19" s="651"/>
      <c r="AO19" s="68"/>
      <c r="AP19" s="84"/>
      <c r="AQ19" s="84"/>
      <c r="AR19" s="651"/>
      <c r="AS19" s="61"/>
      <c r="AT19" s="110"/>
      <c r="AU19" s="110"/>
      <c r="AW19" s="239"/>
      <c r="AX19" s="694" t="str">
        <f>IF('Sprachen &amp; Rückgabewerte'!U83=FALSE,'Sprachen &amp; Rückgabewerte'!H155,'Sprachen &amp; Rückgabewerte'!H156)</f>
        <v>Bestellformular unvollständig!</v>
      </c>
      <c r="AY19" s="694"/>
      <c r="AZ19" s="694"/>
      <c r="BA19" s="694"/>
      <c r="BB19" s="237"/>
    </row>
    <row r="20" spans="1:54" ht="13.5" customHeight="1" thickBot="1" x14ac:dyDescent="0.25">
      <c r="B20" s="60"/>
      <c r="C20" s="60"/>
      <c r="D20" s="61"/>
      <c r="E20" s="61"/>
      <c r="F20" s="90" t="str">
        <f>'Sprachen &amp; Rückgabewerte'!$H$124</f>
        <v>Ecke:</v>
      </c>
      <c r="G20" s="658"/>
      <c r="H20" s="658"/>
      <c r="I20" s="659"/>
      <c r="J20" s="659"/>
      <c r="K20" s="659"/>
      <c r="L20" s="659"/>
      <c r="M20" s="659"/>
      <c r="N20" s="659"/>
      <c r="O20" s="659"/>
      <c r="P20" s="659"/>
      <c r="Q20" s="659"/>
      <c r="R20" s="659"/>
      <c r="S20" s="659"/>
      <c r="T20" s="659"/>
      <c r="U20" s="659"/>
      <c r="V20" s="659"/>
      <c r="W20" s="659"/>
      <c r="X20" s="659"/>
      <c r="Y20" s="659"/>
      <c r="Z20" s="659"/>
      <c r="AA20" s="659"/>
      <c r="AB20" s="659"/>
      <c r="AC20" s="659"/>
      <c r="AD20" s="659"/>
      <c r="AE20" s="659"/>
      <c r="AF20" s="659"/>
      <c r="AG20" s="659"/>
      <c r="AH20" s="659"/>
      <c r="AI20" s="659"/>
      <c r="AJ20" s="659"/>
      <c r="AK20" s="659"/>
      <c r="AL20" s="659"/>
      <c r="AM20" s="659"/>
      <c r="AN20" s="659"/>
      <c r="AO20" s="658"/>
      <c r="AP20" s="658"/>
      <c r="AQ20" s="61"/>
      <c r="AR20" s="62"/>
      <c r="AS20" s="61"/>
      <c r="AT20" s="110"/>
      <c r="AU20" s="110"/>
      <c r="AW20" s="240"/>
      <c r="AX20" s="695"/>
      <c r="AY20" s="695"/>
      <c r="AZ20" s="695"/>
      <c r="BA20" s="695"/>
      <c r="BB20" s="243"/>
    </row>
    <row r="21" spans="1:54" ht="13.5" customHeight="1" thickTop="1" thickBot="1" x14ac:dyDescent="0.25">
      <c r="B21" s="60"/>
      <c r="C21" s="60"/>
      <c r="D21" s="61"/>
      <c r="E21" s="64"/>
      <c r="F21" s="90" t="str">
        <f>IF(OR(G20='Sprachen &amp; Rückgabewerte'!$H$106,G20='Sprachen &amp; Rückgabewerte'!$H$107,K20='Sprachen &amp; Rückgabewerte'!$H$106,K20='Sprachen &amp; Rückgabewerte'!$H$107,O20='Sprachen &amp; Rückgabewerte'!$H$106,O20='Sprachen &amp; Rückgabewerte'!$H$107,S20='Sprachen &amp; Rückgabewerte'!$H$106,S20='Sprachen &amp; Rückgabewerte'!$H$107,W20='Sprachen &amp; Rückgabewerte'!$H$106,W20='Sprachen &amp; Rückgabewerte'!$H$107,AA20='Sprachen &amp; Rückgabewerte'!$H$106,AA20='Sprachen &amp; Rückgabewerte'!$H$107,AE20='Sprachen &amp; Rückgabewerte'!$H$106,AE20='Sprachen &amp; Rückgabewerte'!$H$107,AI20='Sprachen &amp; Rückgabewerte'!$H$106,AI20='Sprachen &amp; Rückgabewerte'!$H$107,AM20='Sprachen &amp; Rückgabewerte'!$H$106,AM20='Sprachen &amp; Rückgabewerte'!$H$107),'Sprachen &amp; Rückgabewerte'!$H$108,"")</f>
        <v/>
      </c>
      <c r="G21" s="65"/>
      <c r="H21" s="656">
        <v>85</v>
      </c>
      <c r="I21" s="656"/>
      <c r="J21" s="66"/>
      <c r="K21" s="66"/>
      <c r="L21" s="656"/>
      <c r="M21" s="656"/>
      <c r="N21" s="657"/>
      <c r="O21" s="657"/>
      <c r="P21" s="656"/>
      <c r="Q21" s="656"/>
      <c r="R21" s="693"/>
      <c r="S21" s="693"/>
      <c r="T21" s="656"/>
      <c r="U21" s="656"/>
      <c r="V21" s="657"/>
      <c r="W21" s="657"/>
      <c r="X21" s="656"/>
      <c r="Y21" s="656"/>
      <c r="Z21" s="657"/>
      <c r="AA21" s="657"/>
      <c r="AB21" s="656"/>
      <c r="AC21" s="656"/>
      <c r="AD21" s="657"/>
      <c r="AE21" s="657"/>
      <c r="AF21" s="656"/>
      <c r="AG21" s="656"/>
      <c r="AH21" s="657"/>
      <c r="AI21" s="657"/>
      <c r="AJ21" s="656"/>
      <c r="AK21" s="656"/>
      <c r="AL21" s="657"/>
      <c r="AM21" s="657"/>
      <c r="AN21" s="656"/>
      <c r="AO21" s="656"/>
      <c r="AP21" s="61"/>
      <c r="AQ21" s="61"/>
      <c r="AR21" s="62"/>
      <c r="AS21" s="61"/>
      <c r="AT21" s="110"/>
      <c r="AU21" s="110"/>
      <c r="AW21" s="146"/>
      <c r="AY21" s="184"/>
      <c r="AZ21" s="184"/>
      <c r="BA21" s="184"/>
    </row>
    <row r="22" spans="1:54" ht="9.75" customHeight="1" thickTop="1" x14ac:dyDescent="0.2">
      <c r="B22" s="60"/>
      <c r="C22" s="60"/>
      <c r="D22" s="61"/>
      <c r="E22" s="655"/>
      <c r="F22" s="655"/>
      <c r="G22" s="655"/>
      <c r="H22" s="655"/>
      <c r="I22" s="655"/>
      <c r="J22" s="655"/>
      <c r="K22" s="655"/>
      <c r="L22" s="655"/>
      <c r="M22" s="655"/>
      <c r="N22" s="655"/>
      <c r="O22" s="655"/>
      <c r="P22" s="655"/>
      <c r="Q22" s="655"/>
      <c r="R22" s="655"/>
      <c r="S22" s="655"/>
      <c r="T22" s="655"/>
      <c r="U22" s="655"/>
      <c r="V22" s="655"/>
      <c r="W22" s="655"/>
      <c r="X22" s="655"/>
      <c r="Y22" s="655"/>
      <c r="Z22" s="655"/>
      <c r="AA22" s="655"/>
      <c r="AB22" s="655"/>
      <c r="AC22" s="655"/>
      <c r="AD22" s="655"/>
      <c r="AE22" s="655"/>
      <c r="AF22" s="655"/>
      <c r="AG22" s="655"/>
      <c r="AH22" s="655"/>
      <c r="AI22" s="655"/>
      <c r="AJ22" s="655"/>
      <c r="AK22" s="655"/>
      <c r="AL22" s="655"/>
      <c r="AM22" s="655"/>
      <c r="AN22" s="655"/>
      <c r="AO22" s="655"/>
      <c r="AP22" s="655"/>
      <c r="AQ22" s="655"/>
      <c r="AR22" s="655"/>
      <c r="AS22" s="61"/>
      <c r="AT22" s="110"/>
      <c r="AU22" s="110"/>
      <c r="AW22" s="232"/>
      <c r="AX22" s="696" t="str">
        <f>'Sprachen &amp; Rückgabewerte'!H157</f>
        <v>B2B-Login Projektnr:</v>
      </c>
      <c r="AY22" s="696"/>
      <c r="AZ22" s="696"/>
      <c r="BA22" s="696"/>
      <c r="BB22" s="234"/>
    </row>
    <row r="23" spans="1:54" ht="9.9499999999999993" customHeight="1" x14ac:dyDescent="0.2">
      <c r="B23" s="60"/>
      <c r="C23" s="60"/>
      <c r="D23" s="61"/>
      <c r="E23" s="571"/>
      <c r="F23" s="571"/>
      <c r="G23" s="571"/>
      <c r="H23" s="571"/>
      <c r="I23" s="571"/>
      <c r="J23" s="571"/>
      <c r="K23" s="571"/>
      <c r="L23" s="571"/>
      <c r="M23" s="571"/>
      <c r="N23" s="571"/>
      <c r="O23" s="571"/>
      <c r="P23" s="571"/>
      <c r="Q23" s="571"/>
      <c r="R23" s="571"/>
      <c r="S23" s="571"/>
      <c r="T23" s="571"/>
      <c r="U23" s="571"/>
      <c r="V23" s="571"/>
      <c r="W23" s="571"/>
      <c r="X23" s="571"/>
      <c r="Y23" s="571"/>
      <c r="Z23" s="571"/>
      <c r="AA23" s="571"/>
      <c r="AB23" s="571"/>
      <c r="AC23" s="571"/>
      <c r="AD23" s="571"/>
      <c r="AE23" s="571"/>
      <c r="AF23" s="571"/>
      <c r="AG23" s="571"/>
      <c r="AH23" s="571"/>
      <c r="AI23" s="571"/>
      <c r="AJ23" s="571"/>
      <c r="AK23" s="571"/>
      <c r="AL23" s="571"/>
      <c r="AM23" s="571"/>
      <c r="AN23" s="571"/>
      <c r="AO23" s="571"/>
      <c r="AP23" s="571"/>
      <c r="AQ23" s="571"/>
      <c r="AR23" s="571"/>
      <c r="AS23" s="67"/>
      <c r="AT23" s="110"/>
      <c r="AU23" s="110"/>
      <c r="AW23" s="235"/>
      <c r="AX23" s="697"/>
      <c r="AY23" s="697"/>
      <c r="AZ23" s="697"/>
      <c r="BA23" s="697"/>
      <c r="BB23" s="237"/>
    </row>
    <row r="24" spans="1:54" ht="9.9499999999999993" customHeight="1" x14ac:dyDescent="0.2">
      <c r="B24" s="60"/>
      <c r="C24" s="60"/>
      <c r="D24" s="61"/>
      <c r="E24" s="571"/>
      <c r="F24" s="571"/>
      <c r="G24" s="571"/>
      <c r="H24" s="571"/>
      <c r="I24" s="571"/>
      <c r="J24" s="571"/>
      <c r="K24" s="571"/>
      <c r="L24" s="571"/>
      <c r="M24" s="571"/>
      <c r="N24" s="571"/>
      <c r="O24" s="571"/>
      <c r="P24" s="571"/>
      <c r="Q24" s="571"/>
      <c r="R24" s="571"/>
      <c r="S24" s="571"/>
      <c r="T24" s="571"/>
      <c r="U24" s="571"/>
      <c r="V24" s="571"/>
      <c r="W24" s="571"/>
      <c r="X24" s="571"/>
      <c r="Y24" s="571"/>
      <c r="Z24" s="571"/>
      <c r="AA24" s="571"/>
      <c r="AB24" s="571"/>
      <c r="AC24" s="571"/>
      <c r="AD24" s="571"/>
      <c r="AE24" s="571"/>
      <c r="AF24" s="571"/>
      <c r="AG24" s="571"/>
      <c r="AH24" s="571"/>
      <c r="AI24" s="571"/>
      <c r="AJ24" s="571"/>
      <c r="AK24" s="571"/>
      <c r="AL24" s="571"/>
      <c r="AM24" s="571"/>
      <c r="AN24" s="571"/>
      <c r="AO24" s="571"/>
      <c r="AP24" s="571"/>
      <c r="AQ24" s="571"/>
      <c r="AR24" s="571"/>
      <c r="AS24" s="67"/>
      <c r="AT24" s="110"/>
      <c r="AU24" s="110"/>
      <c r="AW24" s="235"/>
      <c r="AX24" s="697"/>
      <c r="AY24" s="697"/>
      <c r="AZ24" s="697"/>
      <c r="BA24" s="697"/>
      <c r="BB24" s="237"/>
    </row>
    <row r="25" spans="1:54" ht="9.9499999999999993" customHeight="1" x14ac:dyDescent="0.2">
      <c r="B25" s="60"/>
      <c r="C25" s="60"/>
      <c r="D25" s="61"/>
      <c r="E25" s="571"/>
      <c r="F25" s="571"/>
      <c r="G25" s="571"/>
      <c r="H25" s="571"/>
      <c r="I25" s="571"/>
      <c r="J25" s="571"/>
      <c r="K25" s="571"/>
      <c r="L25" s="571"/>
      <c r="M25" s="571"/>
      <c r="N25" s="571"/>
      <c r="O25" s="571"/>
      <c r="P25" s="571"/>
      <c r="Q25" s="571"/>
      <c r="R25" s="571"/>
      <c r="S25" s="571"/>
      <c r="T25" s="571"/>
      <c r="U25" s="571"/>
      <c r="V25" s="571"/>
      <c r="W25" s="571"/>
      <c r="X25" s="571"/>
      <c r="Y25" s="571"/>
      <c r="Z25" s="571"/>
      <c r="AA25" s="571"/>
      <c r="AB25" s="571"/>
      <c r="AC25" s="571"/>
      <c r="AD25" s="571"/>
      <c r="AE25" s="571"/>
      <c r="AF25" s="571"/>
      <c r="AG25" s="571"/>
      <c r="AH25" s="571"/>
      <c r="AI25" s="571"/>
      <c r="AJ25" s="571"/>
      <c r="AK25" s="571"/>
      <c r="AL25" s="571"/>
      <c r="AM25" s="571"/>
      <c r="AN25" s="571"/>
      <c r="AO25" s="571"/>
      <c r="AP25" s="571"/>
      <c r="AQ25" s="571"/>
      <c r="AR25" s="571"/>
      <c r="AS25" s="67"/>
      <c r="AT25" s="110"/>
      <c r="AU25" s="110"/>
      <c r="AW25" s="235"/>
      <c r="AX25" s="565"/>
      <c r="AY25" s="566"/>
      <c r="AZ25" s="567"/>
      <c r="BA25" s="184"/>
      <c r="BB25" s="237"/>
    </row>
    <row r="26" spans="1:54" ht="9.9499999999999993" customHeight="1" x14ac:dyDescent="0.2">
      <c r="B26" s="60"/>
      <c r="C26" s="60"/>
      <c r="D26" s="61"/>
      <c r="E26" s="571"/>
      <c r="F26" s="571"/>
      <c r="G26" s="571"/>
      <c r="H26" s="571"/>
      <c r="I26" s="571"/>
      <c r="J26" s="571"/>
      <c r="K26" s="571"/>
      <c r="L26" s="571"/>
      <c r="M26" s="571"/>
      <c r="N26" s="571"/>
      <c r="O26" s="571"/>
      <c r="P26" s="571"/>
      <c r="Q26" s="571"/>
      <c r="R26" s="571"/>
      <c r="S26" s="571"/>
      <c r="T26" s="571"/>
      <c r="U26" s="571"/>
      <c r="V26" s="571"/>
      <c r="W26" s="571"/>
      <c r="X26" s="571"/>
      <c r="Y26" s="571"/>
      <c r="Z26" s="571"/>
      <c r="AA26" s="571"/>
      <c r="AB26" s="571"/>
      <c r="AC26" s="571"/>
      <c r="AD26" s="571"/>
      <c r="AE26" s="571"/>
      <c r="AF26" s="571"/>
      <c r="AG26" s="571"/>
      <c r="AH26" s="571"/>
      <c r="AI26" s="571"/>
      <c r="AJ26" s="571"/>
      <c r="AK26" s="571"/>
      <c r="AL26" s="571"/>
      <c r="AM26" s="571"/>
      <c r="AN26" s="571"/>
      <c r="AO26" s="571"/>
      <c r="AP26" s="571"/>
      <c r="AQ26" s="571"/>
      <c r="AR26" s="571"/>
      <c r="AS26" s="67"/>
      <c r="AT26" s="110"/>
      <c r="AU26" s="110"/>
      <c r="AW26" s="235"/>
      <c r="AX26" s="568"/>
      <c r="AY26" s="569"/>
      <c r="AZ26" s="570"/>
      <c r="BA26" s="184"/>
      <c r="BB26" s="237"/>
    </row>
    <row r="27" spans="1:54" ht="15.75" customHeight="1" thickBot="1" x14ac:dyDescent="0.25">
      <c r="B27" s="60"/>
      <c r="C27" s="60"/>
      <c r="D27" s="61"/>
      <c r="E27" s="91"/>
      <c r="F27" s="92"/>
      <c r="G27" s="92"/>
      <c r="H27" s="93"/>
      <c r="I27" s="91"/>
      <c r="J27" s="92"/>
      <c r="K27" s="92"/>
      <c r="L27" s="93"/>
      <c r="M27" s="91"/>
      <c r="N27" s="92"/>
      <c r="O27" s="92"/>
      <c r="P27" s="93"/>
      <c r="Q27" s="91"/>
      <c r="R27" s="92"/>
      <c r="S27" s="92"/>
      <c r="T27" s="93"/>
      <c r="U27" s="91"/>
      <c r="V27" s="92"/>
      <c r="W27" s="92"/>
      <c r="X27" s="93"/>
      <c r="Y27" s="91"/>
      <c r="Z27" s="92"/>
      <c r="AA27" s="92"/>
      <c r="AB27" s="93"/>
      <c r="AC27" s="91"/>
      <c r="AD27" s="92"/>
      <c r="AE27" s="92"/>
      <c r="AF27" s="93"/>
      <c r="AG27" s="91"/>
      <c r="AH27" s="92"/>
      <c r="AI27" s="92"/>
      <c r="AJ27" s="93"/>
      <c r="AK27" s="91"/>
      <c r="AL27" s="92"/>
      <c r="AM27" s="92"/>
      <c r="AN27" s="93"/>
      <c r="AO27" s="91"/>
      <c r="AP27" s="92"/>
      <c r="AQ27" s="92"/>
      <c r="AR27" s="93"/>
      <c r="AS27" s="67"/>
      <c r="AT27" s="110"/>
      <c r="AU27" s="110"/>
      <c r="AW27" s="235"/>
      <c r="AX27" s="311"/>
      <c r="AY27" s="184"/>
      <c r="AZ27" s="184"/>
      <c r="BA27" s="184"/>
      <c r="BB27" s="237"/>
    </row>
    <row r="28" spans="1:54" ht="18" customHeight="1" thickBot="1" x14ac:dyDescent="0.25">
      <c r="A28" s="151" t="str">
        <f>IF('Sprachen &amp; Rückgabewerte'!$I$13=TRUE,'Sprachen &amp; Rückgabewerte'!$H$58,"")</f>
        <v/>
      </c>
      <c r="B28" s="220"/>
      <c r="C28" s="60"/>
      <c r="D28" s="84"/>
      <c r="E28" s="572"/>
      <c r="F28" s="573"/>
      <c r="G28" s="573"/>
      <c r="H28" s="574"/>
      <c r="I28" s="572"/>
      <c r="J28" s="573"/>
      <c r="K28" s="573"/>
      <c r="L28" s="574"/>
      <c r="M28" s="572"/>
      <c r="N28" s="573"/>
      <c r="O28" s="573"/>
      <c r="P28" s="574"/>
      <c r="Q28" s="572"/>
      <c r="R28" s="573"/>
      <c r="S28" s="573"/>
      <c r="T28" s="574"/>
      <c r="U28" s="572"/>
      <c r="V28" s="573"/>
      <c r="W28" s="573"/>
      <c r="X28" s="574"/>
      <c r="Y28" s="572"/>
      <c r="Z28" s="573"/>
      <c r="AA28" s="573"/>
      <c r="AB28" s="574"/>
      <c r="AC28" s="572"/>
      <c r="AD28" s="573"/>
      <c r="AE28" s="573"/>
      <c r="AF28" s="574"/>
      <c r="AG28" s="572"/>
      <c r="AH28" s="573"/>
      <c r="AI28" s="573"/>
      <c r="AJ28" s="574"/>
      <c r="AK28" s="572"/>
      <c r="AL28" s="573"/>
      <c r="AM28" s="573"/>
      <c r="AN28" s="574"/>
      <c r="AO28" s="572"/>
      <c r="AP28" s="573"/>
      <c r="AQ28" s="573"/>
      <c r="AR28" s="574"/>
      <c r="AS28" s="68"/>
      <c r="AT28" s="110"/>
      <c r="AU28" s="110"/>
      <c r="AW28" s="251"/>
      <c r="AX28" s="241"/>
      <c r="AY28" s="242"/>
      <c r="AZ28" s="242"/>
      <c r="BA28" s="242"/>
      <c r="BB28" s="243"/>
    </row>
    <row r="29" spans="1:54" ht="7.5" customHeight="1" x14ac:dyDescent="0.2">
      <c r="B29" s="60"/>
      <c r="C29" s="60"/>
      <c r="D29" s="61"/>
      <c r="E29" s="69"/>
      <c r="F29" s="70"/>
      <c r="G29" s="70"/>
      <c r="H29" s="71"/>
      <c r="I29" s="70"/>
      <c r="J29" s="70"/>
      <c r="K29" s="70"/>
      <c r="L29" s="71"/>
      <c r="M29" s="70"/>
      <c r="N29" s="70"/>
      <c r="O29" s="70"/>
      <c r="P29" s="71"/>
      <c r="Q29" s="70"/>
      <c r="R29" s="70"/>
      <c r="S29" s="70"/>
      <c r="T29" s="71"/>
      <c r="U29" s="70"/>
      <c r="V29" s="70"/>
      <c r="W29" s="70"/>
      <c r="X29" s="71"/>
      <c r="Y29" s="70"/>
      <c r="Z29" s="70"/>
      <c r="AA29" s="70"/>
      <c r="AB29" s="71"/>
      <c r="AC29" s="70"/>
      <c r="AD29" s="70"/>
      <c r="AE29" s="70"/>
      <c r="AF29" s="71"/>
      <c r="AG29" s="70"/>
      <c r="AH29" s="70"/>
      <c r="AI29" s="70"/>
      <c r="AJ29" s="71"/>
      <c r="AK29" s="69"/>
      <c r="AL29" s="70"/>
      <c r="AM29" s="70"/>
      <c r="AN29" s="71"/>
      <c r="AO29" s="69"/>
      <c r="AP29" s="70"/>
      <c r="AQ29" s="70"/>
      <c r="AR29" s="71"/>
      <c r="AS29" s="61"/>
      <c r="AT29" s="110"/>
      <c r="AU29" s="110"/>
      <c r="AY29" s="184"/>
      <c r="AZ29" s="184"/>
      <c r="BA29" s="184"/>
    </row>
    <row r="30" spans="1:54" ht="10.5" customHeight="1" x14ac:dyDescent="0.2">
      <c r="B30" s="60"/>
      <c r="C30" s="68"/>
      <c r="D30" s="84"/>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84"/>
      <c r="AT30" s="111"/>
      <c r="AU30" s="110"/>
      <c r="AW30" s="588" t="str">
        <f>IF('Sprachen &amp; Rückgabewerte'!$I$19=TRUE,'Sprachen &amp; Rückgabewerte'!$H$137,"")</f>
        <v/>
      </c>
      <c r="AX30" s="589"/>
      <c r="AY30" s="589"/>
      <c r="AZ30" s="589"/>
      <c r="BA30" s="590"/>
    </row>
    <row r="31" spans="1:54" ht="11.25" customHeight="1" x14ac:dyDescent="0.2">
      <c r="B31" s="60"/>
      <c r="C31" s="61"/>
      <c r="D31" s="61"/>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61"/>
      <c r="AL31" s="61"/>
      <c r="AM31" s="63"/>
      <c r="AN31" s="61"/>
      <c r="AO31" s="61"/>
      <c r="AP31" s="61"/>
      <c r="AQ31" s="61"/>
      <c r="AR31" s="61"/>
      <c r="AS31" s="61"/>
      <c r="AT31" s="61"/>
      <c r="AU31" s="110"/>
      <c r="AW31" s="591"/>
      <c r="AX31" s="592"/>
      <c r="AY31" s="592"/>
      <c r="AZ31" s="592"/>
      <c r="BA31" s="593"/>
    </row>
    <row r="32" spans="1:54" ht="12.75" customHeight="1" x14ac:dyDescent="0.2">
      <c r="B32" s="60"/>
      <c r="C32" s="107"/>
      <c r="D32" s="82"/>
      <c r="E32" s="82"/>
      <c r="F32" s="82"/>
      <c r="G32" s="82"/>
      <c r="H32" s="82"/>
      <c r="I32" s="82"/>
      <c r="J32" s="82"/>
      <c r="K32" s="82"/>
      <c r="L32" s="82"/>
      <c r="M32" s="82"/>
      <c r="N32" s="82"/>
      <c r="O32" s="82"/>
      <c r="P32" s="82"/>
      <c r="Q32" s="82"/>
      <c r="R32" s="82"/>
      <c r="S32" s="82"/>
      <c r="T32" s="82"/>
      <c r="U32" s="82"/>
      <c r="V32" s="82"/>
      <c r="W32" s="82"/>
      <c r="X32" s="82"/>
      <c r="Y32" s="82"/>
      <c r="Z32" s="82"/>
      <c r="AA32" s="82"/>
      <c r="AB32" s="109"/>
      <c r="AC32" s="61"/>
      <c r="AD32" s="107"/>
      <c r="AE32" s="116" t="str">
        <f>'Sprachen &amp; Rückgabewerte'!$H$134</f>
        <v>Features</v>
      </c>
      <c r="AF32" s="116"/>
      <c r="AG32" s="82"/>
      <c r="AH32" s="82"/>
      <c r="AI32" s="82"/>
      <c r="AJ32" s="82"/>
      <c r="AK32" s="82"/>
      <c r="AL32" s="82"/>
      <c r="AM32" s="133"/>
      <c r="AN32" s="82"/>
      <c r="AO32" s="82"/>
      <c r="AP32" s="82"/>
      <c r="AQ32" s="82"/>
      <c r="AR32" s="82"/>
      <c r="AS32" s="82"/>
      <c r="AT32" s="109"/>
      <c r="AU32" s="199"/>
      <c r="AV32" s="109"/>
      <c r="AW32" s="591"/>
      <c r="AX32" s="592"/>
      <c r="AY32" s="592"/>
      <c r="AZ32" s="592"/>
      <c r="BA32" s="593"/>
    </row>
    <row r="33" spans="2:53" ht="12.75" customHeight="1" x14ac:dyDescent="0.2">
      <c r="B33" s="60"/>
      <c r="C33" s="60"/>
      <c r="D33" s="72"/>
      <c r="E33" s="97"/>
      <c r="F33" s="96" t="str">
        <f>'Sprachen &amp; Rückgabewerte'!$H$13</f>
        <v>Teilung Achsmasse</v>
      </c>
      <c r="G33" s="72"/>
      <c r="H33" s="72"/>
      <c r="I33" s="72"/>
      <c r="J33" s="72"/>
      <c r="K33" s="72"/>
      <c r="L33" s="72"/>
      <c r="M33" s="72"/>
      <c r="N33" s="72"/>
      <c r="O33" s="72"/>
      <c r="P33" s="72"/>
      <c r="Q33" s="72"/>
      <c r="R33" s="72"/>
      <c r="S33" s="72"/>
      <c r="T33" s="72"/>
      <c r="U33" s="72"/>
      <c r="V33" s="72"/>
      <c r="W33" s="72"/>
      <c r="X33" s="72"/>
      <c r="Y33" s="72"/>
      <c r="Z33" s="72"/>
      <c r="AA33" s="72"/>
      <c r="AB33" s="118"/>
      <c r="AC33" s="72"/>
      <c r="AD33" s="117"/>
      <c r="AE33" s="72"/>
      <c r="AF33" s="72" t="str">
        <f>'Sprachen &amp; Rückgabewerte'!$H$15</f>
        <v>Standard</v>
      </c>
      <c r="AH33" s="72"/>
      <c r="AI33" s="72"/>
      <c r="AJ33" s="72"/>
      <c r="AK33" s="72"/>
      <c r="AL33" s="72"/>
      <c r="AM33" s="72"/>
      <c r="AN33" s="97"/>
      <c r="AO33" s="72" t="str">
        <f>'Sprachen &amp; Rückgabewerte'!$H$25</f>
        <v>Pool</v>
      </c>
      <c r="AQ33" s="72"/>
      <c r="AR33" s="72"/>
      <c r="AS33" s="96"/>
      <c r="AT33" s="110"/>
      <c r="AU33" s="110"/>
      <c r="AW33" s="185" t="str">
        <f>IF(AND(F$10&gt;0,'Sprachen &amp; Rückgabewerte'!$I$19=TRUE),CONCATENATE("Pos. ",'Pos. 1'!$B$2,".1"),"")</f>
        <v/>
      </c>
      <c r="AX33" s="563"/>
      <c r="AY33" s="564"/>
      <c r="AZ33" s="184"/>
      <c r="BA33" s="186"/>
    </row>
    <row r="34" spans="2:53" ht="12.75" customHeight="1" x14ac:dyDescent="0.2">
      <c r="B34" s="60"/>
      <c r="C34" s="60"/>
      <c r="D34" s="72"/>
      <c r="E34" s="97"/>
      <c r="F34" s="73" t="str">
        <f>'Sprachen &amp; Rückgabewerte'!$H$14</f>
        <v>alle Gläser gleiche Breite (Empfehlung)</v>
      </c>
      <c r="G34" s="72"/>
      <c r="H34" s="72"/>
      <c r="I34" s="72"/>
      <c r="J34" s="72"/>
      <c r="K34" s="72"/>
      <c r="L34" s="72"/>
      <c r="M34" s="72"/>
      <c r="N34" s="72"/>
      <c r="O34" s="72"/>
      <c r="P34" s="72"/>
      <c r="Q34" s="72"/>
      <c r="R34" s="72"/>
      <c r="S34" s="72"/>
      <c r="T34" s="72"/>
      <c r="U34" s="72"/>
      <c r="V34" s="72"/>
      <c r="W34" s="72"/>
      <c r="X34" s="72"/>
      <c r="Y34" s="72"/>
      <c r="Z34" s="72"/>
      <c r="AA34" s="72"/>
      <c r="AB34" s="118"/>
      <c r="AC34" s="72"/>
      <c r="AD34" s="117"/>
      <c r="AE34" s="72"/>
      <c r="AF34" s="72" t="str">
        <f>'Sprachen &amp; Rückgabewerte'!$H$16</f>
        <v>Einbruchschutz RC2</v>
      </c>
      <c r="AH34" s="72"/>
      <c r="AI34" s="72"/>
      <c r="AJ34" s="72"/>
      <c r="AK34" s="72"/>
      <c r="AL34" s="72"/>
      <c r="AM34" s="72"/>
      <c r="AN34" s="97"/>
      <c r="AO34" s="72" t="str">
        <f>'Sprachen &amp; Rückgabewerte'!H125</f>
        <v>NFRC (USA)</v>
      </c>
      <c r="AQ34" s="72"/>
      <c r="AR34" s="72"/>
      <c r="AS34" s="96"/>
      <c r="AT34" s="110"/>
      <c r="AU34" s="110"/>
      <c r="AW34" s="185" t="str">
        <f>IF(AND(J10&gt;0,'Sprachen &amp; Rückgabewerte'!$I$19=TRUE),CONCATENATE("Pos. ",'Pos. 1'!$B$2,".2"),"")</f>
        <v/>
      </c>
      <c r="AX34" s="563"/>
      <c r="AY34" s="564"/>
      <c r="AZ34" s="184"/>
      <c r="BA34" s="186"/>
    </row>
    <row r="35" spans="2:53" ht="12.75" customHeight="1" x14ac:dyDescent="0.2">
      <c r="B35" s="60"/>
      <c r="C35" s="60"/>
      <c r="D35" s="72"/>
      <c r="E35" s="72"/>
      <c r="F35" s="72"/>
      <c r="G35" s="72"/>
      <c r="H35" s="72"/>
      <c r="I35" s="72"/>
      <c r="J35" s="72"/>
      <c r="K35" s="72"/>
      <c r="L35" s="72"/>
      <c r="M35" s="72"/>
      <c r="N35" s="72"/>
      <c r="O35" s="72"/>
      <c r="P35" s="72"/>
      <c r="Q35" s="72"/>
      <c r="R35" s="72"/>
      <c r="S35" s="72"/>
      <c r="T35" s="72"/>
      <c r="U35" s="72"/>
      <c r="V35" s="72"/>
      <c r="W35" s="72"/>
      <c r="X35" s="72"/>
      <c r="Y35" s="72"/>
      <c r="Z35" s="72"/>
      <c r="AA35" s="72"/>
      <c r="AB35" s="118"/>
      <c r="AC35" s="72"/>
      <c r="AD35" s="117"/>
      <c r="AE35" s="72"/>
      <c r="AF35" s="72" t="str">
        <f>'Sprachen &amp; Rückgabewerte'!$H$17</f>
        <v>Positionsüberwachung (P)</v>
      </c>
      <c r="AH35" s="72"/>
      <c r="AI35" s="72"/>
      <c r="AJ35" s="72"/>
      <c r="AK35" s="72"/>
      <c r="AL35" s="72"/>
      <c r="AM35" s="72"/>
      <c r="AN35" s="97"/>
      <c r="AO35" s="72" t="str">
        <f>'Sprachen &amp; Rückgabewerte'!H26</f>
        <v>Schallschutz</v>
      </c>
      <c r="AQ35" s="72"/>
      <c r="AR35" s="72"/>
      <c r="AS35" s="74"/>
      <c r="AT35" s="110"/>
      <c r="AU35" s="110"/>
      <c r="AW35" s="185" t="str">
        <f>IF(AND(N10&gt;0,'Sprachen &amp; Rückgabewerte'!$I$19=TRUE),CONCATENATE("Pos. ",'Pos. 1'!$B$2,".3"),"")</f>
        <v/>
      </c>
      <c r="AX35" s="563"/>
      <c r="AY35" s="564"/>
      <c r="AZ35" s="184"/>
      <c r="BA35" s="186"/>
    </row>
    <row r="36" spans="2:53" ht="12.75" customHeight="1" x14ac:dyDescent="0.2">
      <c r="B36" s="60"/>
      <c r="C36" s="60"/>
      <c r="D36" s="72"/>
      <c r="E36" s="72"/>
      <c r="F36" s="72"/>
      <c r="G36" s="72"/>
      <c r="H36" s="72"/>
      <c r="I36" s="72"/>
      <c r="J36" s="72"/>
      <c r="K36" s="72"/>
      <c r="L36" s="72"/>
      <c r="M36" s="72"/>
      <c r="N36" s="72"/>
      <c r="O36" s="72"/>
      <c r="P36" s="72"/>
      <c r="Q36" s="72"/>
      <c r="R36" s="72"/>
      <c r="S36" s="72"/>
      <c r="T36" s="72"/>
      <c r="U36" s="72"/>
      <c r="V36" s="72"/>
      <c r="W36" s="72"/>
      <c r="X36" s="72"/>
      <c r="Y36" s="72"/>
      <c r="Z36" s="72"/>
      <c r="AA36" s="72"/>
      <c r="AB36" s="118"/>
      <c r="AC36" s="72"/>
      <c r="AD36" s="117"/>
      <c r="AE36" s="72"/>
      <c r="AF36" s="72" t="str">
        <f>'Sprachen &amp; Rückgabewerte'!$H$18</f>
        <v xml:space="preserve">Riegelüberwachung (R) </v>
      </c>
      <c r="AH36" s="72"/>
      <c r="AI36" s="72"/>
      <c r="AJ36" s="72"/>
      <c r="AK36" s="72"/>
      <c r="AL36" s="72"/>
      <c r="AM36" s="72"/>
      <c r="AN36" s="97"/>
      <c r="AO36" s="72" t="str">
        <f>'Sprachen &amp; Rückgabewerte'!H27</f>
        <v>MINERGIE Modul</v>
      </c>
      <c r="AP36" s="72"/>
      <c r="AQ36" s="72"/>
      <c r="AR36" s="72"/>
      <c r="AS36" s="74"/>
      <c r="AT36" s="110"/>
      <c r="AU36" s="110"/>
      <c r="AW36" s="185" t="str">
        <f>IF(AND(R10&gt;0,'Sprachen &amp; Rückgabewerte'!$I$19=TRUE),CONCATENATE("Pos. ",'Pos. 1'!$B$2,".4"),"")</f>
        <v/>
      </c>
      <c r="AX36" s="563"/>
      <c r="AY36" s="564"/>
      <c r="AZ36" s="184"/>
      <c r="BA36" s="186"/>
    </row>
    <row r="37" spans="2:53" ht="12.75" customHeight="1" x14ac:dyDescent="0.2">
      <c r="B37" s="60"/>
      <c r="C37" s="60"/>
      <c r="D37" s="72"/>
      <c r="E37" s="72"/>
      <c r="F37" s="72"/>
      <c r="G37" s="72"/>
      <c r="H37" s="72"/>
      <c r="I37" s="72"/>
      <c r="J37" s="72"/>
      <c r="K37" s="72"/>
      <c r="L37" s="72"/>
      <c r="M37" s="72"/>
      <c r="N37" s="72"/>
      <c r="O37" s="72"/>
      <c r="P37" s="72"/>
      <c r="Q37" s="72"/>
      <c r="R37" s="72"/>
      <c r="S37" s="72"/>
      <c r="T37" s="72"/>
      <c r="U37" s="72"/>
      <c r="V37" s="72"/>
      <c r="W37" s="72"/>
      <c r="X37" s="72"/>
      <c r="Y37" s="72"/>
      <c r="Z37" s="72"/>
      <c r="AA37" s="72"/>
      <c r="AB37" s="118"/>
      <c r="AC37" s="72"/>
      <c r="AD37" s="117"/>
      <c r="AE37" s="72"/>
      <c r="AF37" s="72" t="str">
        <f>'Sprachen &amp; Rückgabewerte'!$H$19</f>
        <v>Glasbruchüberwachung (G)</v>
      </c>
      <c r="AH37" s="72"/>
      <c r="AI37" s="72"/>
      <c r="AJ37" s="72"/>
      <c r="AK37" s="72"/>
      <c r="AL37" s="72"/>
      <c r="AM37" s="72"/>
      <c r="AN37" s="97"/>
      <c r="AO37" s="72" t="str">
        <f>'Sprachen &amp; Rückgabewerte'!H28</f>
        <v>MINERGIE-P Modul</v>
      </c>
      <c r="AP37" s="72"/>
      <c r="AQ37" s="72"/>
      <c r="AR37" s="72"/>
      <c r="AS37" s="74"/>
      <c r="AT37" s="110"/>
      <c r="AU37" s="110"/>
      <c r="AW37" s="185" t="str">
        <f>IF(AND(V10&gt;0,'Sprachen &amp; Rückgabewerte'!$I$19=TRUE),CONCATENATE("Pos. ",'Pos. 1'!$B$2,".5"),"")</f>
        <v/>
      </c>
      <c r="AX37" s="563"/>
      <c r="AY37" s="564"/>
      <c r="AZ37" s="184"/>
      <c r="BA37" s="186"/>
    </row>
    <row r="38" spans="2:53" ht="12.75" customHeight="1" x14ac:dyDescent="0.2">
      <c r="B38" s="60"/>
      <c r="C38" s="60"/>
      <c r="D38" s="72"/>
      <c r="E38" s="72"/>
      <c r="F38" s="72"/>
      <c r="G38" s="72"/>
      <c r="H38" s="72"/>
      <c r="I38" s="72"/>
      <c r="J38" s="72"/>
      <c r="K38" s="72"/>
      <c r="L38" s="72"/>
      <c r="M38" s="72"/>
      <c r="N38" s="72"/>
      <c r="O38" s="72"/>
      <c r="P38" s="72"/>
      <c r="Q38" s="72"/>
      <c r="R38" s="72"/>
      <c r="S38" s="72"/>
      <c r="T38" s="72"/>
      <c r="U38" s="72"/>
      <c r="V38" s="72"/>
      <c r="W38" s="72"/>
      <c r="X38" s="72"/>
      <c r="Y38" s="72"/>
      <c r="Z38" s="72"/>
      <c r="AA38" s="72"/>
      <c r="AB38" s="118"/>
      <c r="AC38" s="72"/>
      <c r="AD38" s="117"/>
      <c r="AE38" s="72"/>
      <c r="AF38" s="662" t="str">
        <f>'Sprachen &amp; Rückgabewerte'!$H$20</f>
        <v>Elektrischer Antrieb, Anzahl</v>
      </c>
      <c r="AG38" s="662"/>
      <c r="AH38" s="662"/>
      <c r="AI38" s="662"/>
      <c r="AJ38" s="662"/>
      <c r="AK38" s="662"/>
      <c r="AL38" s="662"/>
      <c r="AM38" s="661">
        <f>IF('Sprachen &amp; Rückgabewerte'!I20=FALSE,0,COUNTIF(F13:AQ19,"E"))</f>
        <v>0</v>
      </c>
      <c r="AN38" s="661"/>
      <c r="AO38" s="72" t="str">
        <f>'Sprachen &amp; Rückgabewerte'!$H$21</f>
        <v>Stk.</v>
      </c>
      <c r="AQ38" s="72"/>
      <c r="AR38" s="72"/>
      <c r="AS38" s="96"/>
      <c r="AT38" s="110"/>
      <c r="AU38" s="110"/>
      <c r="AW38" s="185" t="str">
        <f>IF(AND(Z10&gt;0,'Sprachen &amp; Rückgabewerte'!$I$19=TRUE),CONCATENATE("Pos. ",'Pos. 1'!$B$2,".6"),"")</f>
        <v/>
      </c>
      <c r="AX38" s="563"/>
      <c r="AY38" s="564"/>
      <c r="AZ38" s="61"/>
      <c r="BA38" s="110"/>
    </row>
    <row r="39" spans="2:53" ht="12.75" customHeight="1" x14ac:dyDescent="0.2">
      <c r="B39" s="60"/>
      <c r="C39" s="60"/>
      <c r="D39" s="72"/>
      <c r="E39" s="72"/>
      <c r="F39" s="72"/>
      <c r="G39" s="72"/>
      <c r="H39" s="72"/>
      <c r="I39" s="72"/>
      <c r="J39" s="72"/>
      <c r="K39" s="72"/>
      <c r="L39" s="72"/>
      <c r="M39" s="72"/>
      <c r="N39" s="72"/>
      <c r="O39" s="72"/>
      <c r="P39" s="72"/>
      <c r="Q39" s="72"/>
      <c r="R39" s="72"/>
      <c r="S39" s="72"/>
      <c r="T39" s="72"/>
      <c r="U39" s="72"/>
      <c r="V39" s="72"/>
      <c r="W39" s="72"/>
      <c r="X39" s="72"/>
      <c r="Y39" s="72"/>
      <c r="Z39" s="72"/>
      <c r="AA39" s="72"/>
      <c r="AB39" s="118"/>
      <c r="AC39" s="72"/>
      <c r="AD39" s="117"/>
      <c r="AE39" s="72"/>
      <c r="AF39" s="72" t="str">
        <f>'Sprachen &amp; Rückgabewerte'!$H$22</f>
        <v>geforderte Klassen:</v>
      </c>
      <c r="AH39" s="72"/>
      <c r="AI39" s="72"/>
      <c r="AJ39" s="72"/>
      <c r="AK39" s="72"/>
      <c r="AL39" s="639"/>
      <c r="AM39" s="640"/>
      <c r="AN39" s="640"/>
      <c r="AO39" s="640"/>
      <c r="AP39" s="640"/>
      <c r="AQ39" s="640"/>
      <c r="AR39" s="640"/>
      <c r="AS39" s="641"/>
      <c r="AT39" s="110"/>
      <c r="AU39" s="110"/>
      <c r="AW39" s="185" t="str">
        <f>IF(AND(AD10&gt;0,'Sprachen &amp; Rückgabewerte'!$I$19=TRUE),CONCATENATE("Pos. ",'Pos. 1'!$B$2,".7"),"")</f>
        <v/>
      </c>
      <c r="AX39" s="563"/>
      <c r="AY39" s="564"/>
      <c r="AZ39" s="61"/>
      <c r="BA39" s="110"/>
    </row>
    <row r="40" spans="2:53" ht="12.75" customHeight="1" x14ac:dyDescent="0.2">
      <c r="B40" s="60"/>
      <c r="C40" s="60"/>
      <c r="D40" s="72"/>
      <c r="E40" s="95"/>
      <c r="F40" s="73" t="str">
        <f>'Sprachen &amp; Rückgabewerte'!H30</f>
        <v>nach rechts</v>
      </c>
      <c r="G40" s="72"/>
      <c r="H40" s="72"/>
      <c r="I40" s="72"/>
      <c r="J40" s="72"/>
      <c r="K40" s="72"/>
      <c r="L40" s="72"/>
      <c r="M40" s="72"/>
      <c r="N40" s="75" t="str">
        <f>'Sprachen &amp; Rückgabewerte'!H31</f>
        <v>nach links</v>
      </c>
      <c r="O40" s="95"/>
      <c r="P40" s="75"/>
      <c r="Q40" s="97"/>
      <c r="R40" s="72"/>
      <c r="S40" s="72"/>
      <c r="T40" s="72"/>
      <c r="U40" s="72"/>
      <c r="V40" s="72"/>
      <c r="W40" s="72"/>
      <c r="X40" s="72"/>
      <c r="Y40" s="72"/>
      <c r="Z40" s="632" t="s">
        <v>176</v>
      </c>
      <c r="AA40" s="72"/>
      <c r="AB40" s="118"/>
      <c r="AC40" s="72"/>
      <c r="AD40" s="119"/>
      <c r="AE40" s="120"/>
      <c r="AF40" s="120" t="str">
        <f>'Sprachen &amp; Rückgabewerte'!H29</f>
        <v>Sky-Frame Gun</v>
      </c>
      <c r="AG40" s="316"/>
      <c r="AH40" s="316"/>
      <c r="AI40" s="316"/>
      <c r="AJ40" s="316"/>
      <c r="AK40" s="316"/>
      <c r="AL40" s="316"/>
      <c r="AM40" s="316"/>
      <c r="AN40" s="316"/>
      <c r="AO40" s="316"/>
      <c r="AP40" s="316"/>
      <c r="AQ40" s="316"/>
      <c r="AR40" s="316"/>
      <c r="AS40" s="120"/>
      <c r="AT40" s="111"/>
      <c r="AU40" s="110"/>
      <c r="AW40" s="185" t="str">
        <f>IF(AND(AH10&gt;0,'Sprachen &amp; Rückgabewerte'!$I$19=TRUE),CONCATENATE("Pos. ",'Pos. 1'!$B$2,".8"),"")</f>
        <v/>
      </c>
      <c r="AX40" s="563"/>
      <c r="AY40" s="564"/>
      <c r="AZ40" s="61"/>
      <c r="BA40" s="110"/>
    </row>
    <row r="41" spans="2:53" ht="12.75" customHeight="1" x14ac:dyDescent="0.2">
      <c r="B41" s="60"/>
      <c r="C41" s="60"/>
      <c r="D41" s="72"/>
      <c r="E41" s="95"/>
      <c r="F41" s="73"/>
      <c r="G41" s="72"/>
      <c r="H41" s="72"/>
      <c r="I41" s="72"/>
      <c r="J41" s="72"/>
      <c r="K41" s="72"/>
      <c r="L41" s="72"/>
      <c r="M41" s="72"/>
      <c r="N41" s="75"/>
      <c r="O41" s="95"/>
      <c r="P41" s="75"/>
      <c r="Q41" s="97"/>
      <c r="R41" s="72"/>
      <c r="S41" s="72"/>
      <c r="T41" s="72"/>
      <c r="U41" s="72"/>
      <c r="V41" s="72"/>
      <c r="W41" s="72"/>
      <c r="X41" s="72"/>
      <c r="Y41" s="72"/>
      <c r="Z41" s="633"/>
      <c r="AA41" s="72"/>
      <c r="AB41" s="118"/>
      <c r="AC41" s="72"/>
      <c r="AD41" s="72"/>
      <c r="AE41" s="72"/>
      <c r="AF41" s="72"/>
      <c r="AG41" s="76"/>
      <c r="AH41" s="76"/>
      <c r="AI41" s="76"/>
      <c r="AJ41" s="76"/>
      <c r="AK41" s="76"/>
      <c r="AL41" s="76"/>
      <c r="AM41" s="76"/>
      <c r="AN41" s="76"/>
      <c r="AO41" s="76"/>
      <c r="AP41" s="76"/>
      <c r="AQ41" s="76"/>
      <c r="AR41" s="76"/>
      <c r="AS41" s="72"/>
      <c r="AT41" s="61"/>
      <c r="AU41" s="110"/>
      <c r="AW41" s="185" t="str">
        <f>IF(AND(AL10&gt;0,'Sprachen &amp; Rückgabewerte'!$I$19=TRUE),CONCATENATE("Pos. ",'Pos. 1'!$B$2,".9"),"")</f>
        <v/>
      </c>
      <c r="AX41" s="563"/>
      <c r="AY41" s="564"/>
      <c r="AZ41" s="61"/>
      <c r="BA41" s="110"/>
    </row>
    <row r="42" spans="2:53" ht="12.75" customHeight="1" x14ac:dyDescent="0.2">
      <c r="B42" s="60"/>
      <c r="C42" s="60"/>
      <c r="D42" s="72"/>
      <c r="E42" s="72"/>
      <c r="F42" s="72"/>
      <c r="G42" s="72"/>
      <c r="H42" s="72"/>
      <c r="I42" s="72"/>
      <c r="J42" s="72"/>
      <c r="K42" s="72"/>
      <c r="L42" s="72"/>
      <c r="M42" s="72"/>
      <c r="N42" s="72"/>
      <c r="O42" s="72"/>
      <c r="P42" s="72"/>
      <c r="Q42" s="72"/>
      <c r="R42" s="72"/>
      <c r="S42" s="72"/>
      <c r="T42" s="72"/>
      <c r="U42" s="72"/>
      <c r="V42" s="72"/>
      <c r="W42" s="72"/>
      <c r="X42" s="72"/>
      <c r="Y42" s="72"/>
      <c r="Z42" s="636"/>
      <c r="AA42" s="72"/>
      <c r="AB42" s="118"/>
      <c r="AC42" s="77"/>
      <c r="AD42" s="114"/>
      <c r="AE42" s="116" t="str">
        <f>'Sprachen &amp; Rückgabewerte'!$H$35</f>
        <v>Oberfläche:</v>
      </c>
      <c r="AF42" s="116"/>
      <c r="AG42" s="115"/>
      <c r="AH42" s="115"/>
      <c r="AI42" s="115"/>
      <c r="AJ42" s="115"/>
      <c r="AK42" s="115"/>
      <c r="AL42" s="115"/>
      <c r="AM42" s="134"/>
      <c r="AN42" s="115"/>
      <c r="AO42" s="115"/>
      <c r="AP42" s="115"/>
      <c r="AQ42" s="115"/>
      <c r="AR42" s="115"/>
      <c r="AS42" s="115"/>
      <c r="AT42" s="109"/>
      <c r="AU42" s="110"/>
      <c r="AW42" s="185" t="str">
        <f>IF(AND(AP10&gt;0,'Sprachen &amp; Rückgabewerte'!$I$19=TRUE),CONCATENATE("Pos. ",'Pos. 1'!$B$2,".10"),"")</f>
        <v/>
      </c>
      <c r="AX42" s="563"/>
      <c r="AY42" s="564"/>
      <c r="AZ42" s="61"/>
      <c r="BA42" s="110"/>
    </row>
    <row r="43" spans="2:53" ht="12.75" customHeight="1" x14ac:dyDescent="0.2">
      <c r="B43" s="60"/>
      <c r="C43" s="60"/>
      <c r="D43" s="72"/>
      <c r="E43" s="72"/>
      <c r="F43" s="72"/>
      <c r="G43" s="72"/>
      <c r="H43" s="72"/>
      <c r="I43" s="72"/>
      <c r="J43" s="72"/>
      <c r="K43" s="72"/>
      <c r="L43" s="72"/>
      <c r="M43" s="72"/>
      <c r="N43" s="72"/>
      <c r="O43" s="72"/>
      <c r="P43" s="72"/>
      <c r="Q43" s="72"/>
      <c r="R43" s="72"/>
      <c r="S43" s="72"/>
      <c r="T43" s="72"/>
      <c r="U43" s="72"/>
      <c r="V43" s="72"/>
      <c r="W43" s="72"/>
      <c r="X43" s="72"/>
      <c r="Y43" s="72"/>
      <c r="Z43" s="637"/>
      <c r="AA43" s="72"/>
      <c r="AB43" s="118"/>
      <c r="AC43" s="77"/>
      <c r="AD43" s="117"/>
      <c r="AE43" s="72"/>
      <c r="AF43" s="174" t="str">
        <f>'Sprachen &amp; Rückgabewerte'!H36</f>
        <v>eloxiert (Qualanod):</v>
      </c>
      <c r="AG43" s="72"/>
      <c r="AH43" s="72"/>
      <c r="AI43" s="72"/>
      <c r="AJ43" s="72"/>
      <c r="AK43" s="72"/>
      <c r="AL43" s="72"/>
      <c r="AM43" s="604"/>
      <c r="AN43" s="604"/>
      <c r="AO43" s="604"/>
      <c r="AP43" s="604"/>
      <c r="AQ43" s="604"/>
      <c r="AR43" s="604"/>
      <c r="AS43" s="604"/>
      <c r="AT43" s="110"/>
      <c r="AU43" s="110"/>
      <c r="AW43" s="200">
        <f>COUNTBLANK(AW33:AW42)</f>
        <v>10</v>
      </c>
      <c r="AX43" s="201">
        <f>COUNTBLANK(AX33:AX42)</f>
        <v>10</v>
      </c>
      <c r="AY43" s="201">
        <f>AW43-AX43</f>
        <v>0</v>
      </c>
      <c r="AZ43" s="84"/>
      <c r="BA43" s="111"/>
    </row>
    <row r="44" spans="2:53" ht="12.75" customHeight="1" x14ac:dyDescent="0.2">
      <c r="B44" s="60"/>
      <c r="C44" s="60"/>
      <c r="D44" s="72"/>
      <c r="E44" s="72"/>
      <c r="F44" s="72"/>
      <c r="G44" s="72"/>
      <c r="H44" s="72"/>
      <c r="I44" s="72"/>
      <c r="J44" s="72"/>
      <c r="K44" s="72"/>
      <c r="L44" s="72"/>
      <c r="M44" s="72"/>
      <c r="N44" s="72"/>
      <c r="O44" s="72"/>
      <c r="P44" s="722" t="str">
        <f>'Sprachen &amp; Rückgabewerte'!$H$33</f>
        <v>Griffhöhe:</v>
      </c>
      <c r="Q44" s="722"/>
      <c r="R44" s="722"/>
      <c r="S44" s="722"/>
      <c r="T44" s="72"/>
      <c r="U44" s="72"/>
      <c r="V44" s="72"/>
      <c r="W44" s="72"/>
      <c r="X44" s="72"/>
      <c r="Y44" s="72"/>
      <c r="Z44" s="637"/>
      <c r="AA44" s="72"/>
      <c r="AB44" s="118"/>
      <c r="AC44" s="77"/>
      <c r="AD44" s="117"/>
      <c r="AE44" s="72"/>
      <c r="AF44" s="97"/>
      <c r="AG44" s="73"/>
      <c r="AH44" s="72"/>
      <c r="AI44" s="72"/>
      <c r="AJ44" s="72"/>
      <c r="AK44" s="72"/>
      <c r="AL44" s="72"/>
      <c r="AM44" s="96"/>
      <c r="AN44" s="97"/>
      <c r="AO44" s="613"/>
      <c r="AP44" s="613"/>
      <c r="AQ44" s="613"/>
      <c r="AR44" s="613"/>
      <c r="AS44" s="613"/>
      <c r="AT44" s="110"/>
      <c r="AU44" s="110"/>
    </row>
    <row r="45" spans="2:53" ht="12.75" customHeight="1" x14ac:dyDescent="0.2">
      <c r="B45" s="60"/>
      <c r="C45" s="60"/>
      <c r="D45" s="72"/>
      <c r="E45" s="72"/>
      <c r="F45" s="72"/>
      <c r="G45" s="72"/>
      <c r="H45" s="72"/>
      <c r="I45" s="72"/>
      <c r="J45" s="72"/>
      <c r="K45" s="72"/>
      <c r="L45" s="72"/>
      <c r="M45" s="72"/>
      <c r="N45" s="72"/>
      <c r="O45" s="72"/>
      <c r="P45" s="722"/>
      <c r="Q45" s="722"/>
      <c r="R45" s="722"/>
      <c r="S45" s="722"/>
      <c r="T45" s="598"/>
      <c r="U45" s="599"/>
      <c r="V45" s="73" t="s">
        <v>176</v>
      </c>
      <c r="W45" s="72"/>
      <c r="X45" s="72"/>
      <c r="Y45" s="72"/>
      <c r="Z45" s="638"/>
      <c r="AA45" s="72"/>
      <c r="AB45" s="118"/>
      <c r="AC45" s="77"/>
      <c r="AD45" s="117"/>
      <c r="AE45" s="72"/>
      <c r="AF45" s="96" t="str">
        <f>'Sprachen &amp; Rückgabewerte'!$H$39</f>
        <v>pulverbeschichtet:</v>
      </c>
      <c r="AG45" s="147"/>
      <c r="AH45" s="147"/>
      <c r="AI45" s="147"/>
      <c r="AJ45" s="147"/>
      <c r="AK45" s="147"/>
      <c r="AL45" s="147"/>
      <c r="AM45" s="629"/>
      <c r="AN45" s="630"/>
      <c r="AO45" s="630"/>
      <c r="AP45" s="630"/>
      <c r="AQ45" s="630"/>
      <c r="AR45" s="630"/>
      <c r="AS45" s="631"/>
      <c r="AT45" s="110"/>
      <c r="AU45" s="199"/>
      <c r="AV45" s="109"/>
      <c r="AW45" s="107"/>
      <c r="AX45" s="109"/>
    </row>
    <row r="46" spans="2:53" ht="12.75" customHeight="1" x14ac:dyDescent="0.2">
      <c r="B46" s="60"/>
      <c r="C46" s="60"/>
      <c r="D46" s="72"/>
      <c r="E46" s="72"/>
      <c r="F46" s="72"/>
      <c r="G46" s="72"/>
      <c r="H46" s="72"/>
      <c r="I46" s="716"/>
      <c r="J46" s="716"/>
      <c r="K46" s="716"/>
      <c r="L46" s="157" t="s">
        <v>190</v>
      </c>
      <c r="M46" s="72"/>
      <c r="N46" s="72"/>
      <c r="O46" s="72"/>
      <c r="P46" s="72"/>
      <c r="Q46" s="72"/>
      <c r="R46" s="72"/>
      <c r="S46" s="72"/>
      <c r="T46" s="72"/>
      <c r="U46" s="72"/>
      <c r="V46" s="72"/>
      <c r="W46" s="72"/>
      <c r="X46" s="72"/>
      <c r="Y46" s="72"/>
      <c r="Z46" s="634" t="str">
        <f>'Sprachen &amp; Rückgabewerte'!$H$34</f>
        <v xml:space="preserve">Höhe = </v>
      </c>
      <c r="AA46" s="72"/>
      <c r="AB46" s="118"/>
      <c r="AC46" s="77"/>
      <c r="AD46" s="117"/>
      <c r="AE46" s="72"/>
      <c r="AF46" s="365" t="str">
        <f>'Sprachen &amp; Rückgabewerte'!$H$40</f>
        <v>Vorbehandlung:</v>
      </c>
      <c r="AG46" s="72"/>
      <c r="AH46" s="72"/>
      <c r="AI46" s="72"/>
      <c r="AJ46" s="72"/>
      <c r="AK46" s="72"/>
      <c r="AL46" s="72"/>
      <c r="AM46" s="642"/>
      <c r="AN46" s="643"/>
      <c r="AO46" s="643"/>
      <c r="AP46" s="643"/>
      <c r="AQ46" s="643"/>
      <c r="AR46" s="643"/>
      <c r="AS46" s="644"/>
      <c r="AT46" s="110"/>
      <c r="AU46" s="110"/>
      <c r="AW46" s="229" t="str">
        <f>'Sprachen &amp; Rückgabewerte'!$H$150</f>
        <v>Farbe Panele:</v>
      </c>
      <c r="AX46" s="110"/>
    </row>
    <row r="47" spans="2:53" ht="12.75" customHeight="1" x14ac:dyDescent="0.2">
      <c r="B47" s="60"/>
      <c r="C47" s="60"/>
      <c r="D47" s="72"/>
      <c r="E47" s="72"/>
      <c r="F47" s="72"/>
      <c r="G47" s="72"/>
      <c r="H47" s="72"/>
      <c r="I47" s="716"/>
      <c r="J47" s="716"/>
      <c r="K47" s="716"/>
      <c r="L47" s="157" t="s">
        <v>190</v>
      </c>
      <c r="M47" s="72"/>
      <c r="N47" s="72"/>
      <c r="O47" s="95"/>
      <c r="P47" s="72"/>
      <c r="Q47" s="72"/>
      <c r="R47" s="72"/>
      <c r="S47" s="72"/>
      <c r="T47" s="72"/>
      <c r="U47" s="72"/>
      <c r="V47" s="72"/>
      <c r="W47" s="72"/>
      <c r="X47" s="72"/>
      <c r="Y47" s="72"/>
      <c r="Z47" s="635"/>
      <c r="AA47" s="95"/>
      <c r="AB47" s="118"/>
      <c r="AC47" s="78"/>
      <c r="AD47" s="117"/>
      <c r="AE47" s="72"/>
      <c r="AF47" s="366" t="str">
        <f>'Sprachen &amp; Rückgabewerte'!H176</f>
        <v>Pulverlack Klasse:</v>
      </c>
      <c r="AG47" s="72"/>
      <c r="AH47" s="72"/>
      <c r="AI47" s="72"/>
      <c r="AJ47" s="72"/>
      <c r="AK47" s="72"/>
      <c r="AL47" s="72"/>
      <c r="AM47" s="619"/>
      <c r="AN47" s="620"/>
      <c r="AO47" s="620"/>
      <c r="AP47" s="620"/>
      <c r="AQ47" s="620"/>
      <c r="AR47" s="620"/>
      <c r="AS47" s="621"/>
      <c r="AT47" s="110"/>
      <c r="AU47" s="110"/>
      <c r="AW47" s="60"/>
      <c r="AX47" s="110"/>
    </row>
    <row r="48" spans="2:53" ht="12.75" customHeight="1" x14ac:dyDescent="0.2">
      <c r="B48" s="60"/>
      <c r="C48" s="60"/>
      <c r="D48" s="72"/>
      <c r="E48" s="72"/>
      <c r="F48" s="72"/>
      <c r="G48" s="72"/>
      <c r="H48" s="72"/>
      <c r="I48" s="721"/>
      <c r="J48" s="721"/>
      <c r="K48" s="721"/>
      <c r="L48" s="157" t="s">
        <v>190</v>
      </c>
      <c r="M48" s="72"/>
      <c r="N48" s="72"/>
      <c r="O48" s="95"/>
      <c r="P48" s="72"/>
      <c r="Q48" s="72"/>
      <c r="R48" s="72"/>
      <c r="S48" s="72"/>
      <c r="T48" s="72"/>
      <c r="U48" s="72"/>
      <c r="V48" s="72"/>
      <c r="W48" s="72"/>
      <c r="X48" s="72"/>
      <c r="Y48" s="72"/>
      <c r="Z48" s="635"/>
      <c r="AA48" s="95"/>
      <c r="AB48" s="118"/>
      <c r="AC48" s="78"/>
      <c r="AD48" s="117"/>
      <c r="AE48" s="72"/>
      <c r="AF48" s="627" t="str">
        <f>'Sprachen &amp; Rückgabewerte'!$H$91</f>
        <v>Farbe Laufschiene + Schraubenarretierungen:</v>
      </c>
      <c r="AG48" s="627"/>
      <c r="AH48" s="627"/>
      <c r="AI48" s="627"/>
      <c r="AJ48" s="627"/>
      <c r="AK48" s="627"/>
      <c r="AL48" s="627"/>
      <c r="AM48" s="61"/>
      <c r="AN48" s="61"/>
      <c r="AO48" s="96"/>
      <c r="AP48" s="72"/>
      <c r="AQ48" s="72"/>
      <c r="AR48" s="72"/>
      <c r="AS48" s="72"/>
      <c r="AT48" s="110"/>
      <c r="AU48" s="110"/>
      <c r="AW48" s="586"/>
      <c r="AX48" s="587"/>
    </row>
    <row r="49" spans="2:50" ht="12.75" customHeight="1" x14ac:dyDescent="0.2">
      <c r="B49" s="60"/>
      <c r="C49" s="60"/>
      <c r="D49" s="72"/>
      <c r="E49" s="72"/>
      <c r="F49" s="72"/>
      <c r="G49" s="72"/>
      <c r="H49" s="75" t="str">
        <f>'Sprachen &amp; Rückgabewerte'!$H$32</f>
        <v>Breite =</v>
      </c>
      <c r="I49" s="718"/>
      <c r="J49" s="719"/>
      <c r="K49" s="720"/>
      <c r="L49" s="73" t="s">
        <v>176</v>
      </c>
      <c r="M49" s="72"/>
      <c r="N49" s="72"/>
      <c r="O49" s="95"/>
      <c r="P49" s="72"/>
      <c r="Q49" s="72"/>
      <c r="R49" s="72"/>
      <c r="S49" s="72"/>
      <c r="T49" s="72"/>
      <c r="U49" s="72"/>
      <c r="V49" s="72"/>
      <c r="W49" s="72"/>
      <c r="X49" s="72"/>
      <c r="Y49" s="72"/>
      <c r="Z49" s="635"/>
      <c r="AA49" s="95"/>
      <c r="AB49" s="118"/>
      <c r="AC49" s="78"/>
      <c r="AD49" s="117"/>
      <c r="AE49" s="72"/>
      <c r="AF49" s="627"/>
      <c r="AG49" s="627"/>
      <c r="AH49" s="627"/>
      <c r="AI49" s="627"/>
      <c r="AJ49" s="627"/>
      <c r="AK49" s="627"/>
      <c r="AL49" s="627"/>
      <c r="AM49" s="723"/>
      <c r="AN49" s="724"/>
      <c r="AO49" s="724"/>
      <c r="AP49" s="725"/>
      <c r="AQ49" s="72"/>
      <c r="AR49" s="72"/>
      <c r="AS49" s="72"/>
      <c r="AT49" s="110"/>
      <c r="AU49" s="110"/>
      <c r="AW49" s="68"/>
      <c r="AX49" s="111"/>
    </row>
    <row r="50" spans="2:50" ht="12.75" customHeight="1" x14ac:dyDescent="0.2">
      <c r="B50" s="60"/>
      <c r="C50" s="60"/>
      <c r="D50" s="72"/>
      <c r="E50" s="72"/>
      <c r="F50" s="72"/>
      <c r="G50" s="72"/>
      <c r="H50" s="61"/>
      <c r="I50" s="61"/>
      <c r="J50" s="61"/>
      <c r="K50" s="61"/>
      <c r="L50" s="61"/>
      <c r="M50" s="72"/>
      <c r="N50" s="72"/>
      <c r="O50" s="72"/>
      <c r="P50" s="72"/>
      <c r="Q50" s="72"/>
      <c r="R50" s="72"/>
      <c r="S50" s="72"/>
      <c r="T50" s="72"/>
      <c r="U50" s="72"/>
      <c r="V50" s="72"/>
      <c r="W50" s="72"/>
      <c r="X50" s="72"/>
      <c r="Y50" s="72"/>
      <c r="Z50" s="635"/>
      <c r="AA50" s="72"/>
      <c r="AB50" s="118"/>
      <c r="AC50" s="78"/>
      <c r="AD50" s="119"/>
      <c r="AE50" s="120"/>
      <c r="AF50" s="628"/>
      <c r="AG50" s="628"/>
      <c r="AH50" s="628"/>
      <c r="AI50" s="628"/>
      <c r="AJ50" s="628"/>
      <c r="AK50" s="628"/>
      <c r="AL50" s="628"/>
      <c r="AM50" s="135"/>
      <c r="AN50" s="120"/>
      <c r="AO50" s="120"/>
      <c r="AP50" s="120"/>
      <c r="AQ50" s="120"/>
      <c r="AR50" s="120"/>
      <c r="AS50" s="120"/>
      <c r="AT50" s="111"/>
      <c r="AU50" s="110"/>
    </row>
    <row r="51" spans="2:50" ht="12.75" customHeight="1" x14ac:dyDescent="0.2">
      <c r="B51" s="60"/>
      <c r="C51" s="60"/>
      <c r="D51" s="72"/>
      <c r="E51" s="72"/>
      <c r="F51" s="72"/>
      <c r="G51" s="72"/>
      <c r="H51" s="61"/>
      <c r="I51" s="61"/>
      <c r="J51" s="61"/>
      <c r="K51" s="61"/>
      <c r="L51" s="61"/>
      <c r="M51" s="72"/>
      <c r="N51" s="72"/>
      <c r="O51" s="72"/>
      <c r="P51" s="72"/>
      <c r="Q51" s="72"/>
      <c r="R51" s="72"/>
      <c r="S51" s="72"/>
      <c r="T51" s="72"/>
      <c r="U51" s="72"/>
      <c r="V51" s="72"/>
      <c r="W51" s="72"/>
      <c r="X51" s="72"/>
      <c r="Y51" s="72"/>
      <c r="Z51" s="635"/>
      <c r="AA51" s="72"/>
      <c r="AB51" s="118"/>
      <c r="AC51" s="78"/>
      <c r="AD51" s="72"/>
      <c r="AE51" s="72"/>
      <c r="AF51" s="72"/>
      <c r="AG51" s="72"/>
      <c r="AH51" s="72"/>
      <c r="AI51" s="72"/>
      <c r="AJ51" s="72"/>
      <c r="AK51" s="72"/>
      <c r="AL51" s="72"/>
      <c r="AM51" s="96"/>
      <c r="AN51" s="72"/>
      <c r="AO51" s="72"/>
      <c r="AP51" s="72"/>
      <c r="AQ51" s="72"/>
      <c r="AR51" s="72"/>
      <c r="AS51" s="72"/>
      <c r="AT51" s="61"/>
      <c r="AU51" s="110"/>
    </row>
    <row r="52" spans="2:50" ht="12.75" customHeight="1" x14ac:dyDescent="0.2">
      <c r="B52" s="60"/>
      <c r="C52" s="60"/>
      <c r="D52" s="72"/>
      <c r="E52" s="72"/>
      <c r="F52" s="72"/>
      <c r="G52" s="72"/>
      <c r="H52" s="72"/>
      <c r="I52" s="75"/>
      <c r="J52" s="72"/>
      <c r="K52" s="72"/>
      <c r="L52" s="73"/>
      <c r="M52" s="72"/>
      <c r="N52" s="72"/>
      <c r="O52" s="72"/>
      <c r="P52" s="72"/>
      <c r="Q52" s="72"/>
      <c r="R52" s="72"/>
      <c r="S52" s="72"/>
      <c r="T52" s="72"/>
      <c r="U52" s="72"/>
      <c r="V52" s="72"/>
      <c r="W52" s="72"/>
      <c r="X52" s="72"/>
      <c r="Y52" s="72"/>
      <c r="Z52" s="635"/>
      <c r="AA52" s="72"/>
      <c r="AB52" s="118"/>
      <c r="AC52" s="78"/>
      <c r="AD52" s="114"/>
      <c r="AE52" s="116" t="str">
        <f>'Sprachen &amp; Rückgabewerte'!$H$42</f>
        <v>Glas-Typ: SG = "Sky-Glass"</v>
      </c>
      <c r="AF52" s="116"/>
      <c r="AG52" s="115"/>
      <c r="AH52" s="115"/>
      <c r="AI52" s="115"/>
      <c r="AJ52" s="115"/>
      <c r="AK52" s="115"/>
      <c r="AL52" s="115"/>
      <c r="AM52" s="134"/>
      <c r="AN52" s="115"/>
      <c r="AO52" s="115"/>
      <c r="AP52" s="115"/>
      <c r="AQ52" s="115"/>
      <c r="AR52" s="115"/>
      <c r="AS52" s="115"/>
      <c r="AT52" s="324"/>
      <c r="AU52" s="110"/>
    </row>
    <row r="53" spans="2:50" ht="12.75" customHeight="1" x14ac:dyDescent="0.2">
      <c r="B53" s="60"/>
      <c r="C53" s="60"/>
      <c r="D53" s="72"/>
      <c r="E53" s="72"/>
      <c r="F53" s="72"/>
      <c r="G53" s="72"/>
      <c r="H53" s="61"/>
      <c r="I53" s="61"/>
      <c r="J53" s="61"/>
      <c r="K53" s="61"/>
      <c r="L53" s="72"/>
      <c r="M53" s="73"/>
      <c r="N53" s="72"/>
      <c r="O53" s="72"/>
      <c r="P53" s="72"/>
      <c r="Q53" s="72"/>
      <c r="R53" s="72"/>
      <c r="S53" s="72"/>
      <c r="T53" s="72"/>
      <c r="U53" s="72"/>
      <c r="V53" s="72"/>
      <c r="W53" s="72"/>
      <c r="X53" s="72"/>
      <c r="Y53" s="72"/>
      <c r="Z53" s="635"/>
      <c r="AA53" s="72"/>
      <c r="AB53" s="118"/>
      <c r="AC53" s="78"/>
      <c r="AD53" s="117"/>
      <c r="AE53" s="610"/>
      <c r="AF53" s="611"/>
      <c r="AG53" s="612"/>
      <c r="AH53" s="72" t="str">
        <f>'Sprachen &amp; Rückgabewerte'!$AJ$1</f>
        <v>Ug=</v>
      </c>
      <c r="AI53" s="626">
        <f>LOOKUP($AE$53,'Sprachen &amp; Rückgabewerte'!$AI$3:$AI$45,'Sprachen &amp; Rückgabewerte'!AJ3:AJ45)</f>
        <v>0</v>
      </c>
      <c r="AJ53" s="626"/>
      <c r="AK53" s="726" t="str">
        <f>'Sprachen &amp; Rückgabewerte'!$AK$1</f>
        <v>Lt=</v>
      </c>
      <c r="AL53" s="726"/>
      <c r="AM53" s="625">
        <f>LOOKUP(AE53,'Sprachen &amp; Rückgabewerte'!AI3:AI45,'Sprachen &amp; Rückgabewerte'!AK3:AK45)</f>
        <v>0</v>
      </c>
      <c r="AN53" s="625"/>
      <c r="AO53" s="203" t="str">
        <f>'Sprachen &amp; Rückgabewerte'!$AL$1</f>
        <v>g=</v>
      </c>
      <c r="AP53" s="625">
        <f>LOOKUP(AE53,'Sprachen &amp; Rückgabewerte'!AI3:AI45,'Sprachen &amp; Rückgabewerte'!AL3:AL45)</f>
        <v>0</v>
      </c>
      <c r="AQ53" s="625"/>
      <c r="AR53" s="72"/>
      <c r="AS53" s="72"/>
      <c r="AT53" s="110"/>
      <c r="AU53" s="110"/>
    </row>
    <row r="54" spans="2:50" ht="12.75" customHeight="1" x14ac:dyDescent="0.2">
      <c r="B54" s="60"/>
      <c r="C54" s="60"/>
      <c r="D54" s="72"/>
      <c r="E54" s="72"/>
      <c r="F54" s="72"/>
      <c r="G54" s="72"/>
      <c r="H54" s="72"/>
      <c r="I54" s="72"/>
      <c r="J54" s="72"/>
      <c r="K54" s="72"/>
      <c r="L54" s="72"/>
      <c r="M54" s="72"/>
      <c r="N54" s="72"/>
      <c r="O54" s="72"/>
      <c r="P54" s="72"/>
      <c r="Q54" s="72"/>
      <c r="R54" s="72"/>
      <c r="S54" s="72"/>
      <c r="T54" s="72"/>
      <c r="U54" s="72"/>
      <c r="V54" s="72"/>
      <c r="W54" s="72"/>
      <c r="X54" s="72"/>
      <c r="Y54" s="72"/>
      <c r="Z54" s="635"/>
      <c r="AA54" s="72"/>
      <c r="AB54" s="118"/>
      <c r="AC54" s="72"/>
      <c r="AD54" s="117"/>
      <c r="AE54" s="72"/>
      <c r="AF54" s="72"/>
      <c r="AG54" s="72"/>
      <c r="AH54" s="73" t="str">
        <f>IF(AT52=1,'Sprachen &amp; Rückgabewerte'!H158,LOOKUP(AE53,'Sprachen &amp; Rückgabewerte'!AI3:AI45,'Sprachen &amp; Rückgabewerte'!AM3:AM45))</f>
        <v>Glastyp wählen</v>
      </c>
      <c r="AI54" s="72"/>
      <c r="AJ54" s="72"/>
      <c r="AK54" s="72"/>
      <c r="AL54" s="72"/>
      <c r="AM54" s="96"/>
      <c r="AN54" s="79"/>
      <c r="AO54" s="79"/>
      <c r="AP54" s="72"/>
      <c r="AQ54" s="72"/>
      <c r="AR54" s="72"/>
      <c r="AS54" s="72"/>
      <c r="AT54" s="110"/>
      <c r="AU54" s="110"/>
    </row>
    <row r="55" spans="2:50" ht="12.75" customHeight="1" x14ac:dyDescent="0.2">
      <c r="B55" s="60"/>
      <c r="C55" s="60"/>
      <c r="D55" s="72"/>
      <c r="E55" s="72"/>
      <c r="F55" s="72"/>
      <c r="G55" s="72"/>
      <c r="H55" s="72"/>
      <c r="I55" s="72"/>
      <c r="J55" s="72"/>
      <c r="K55" s="72"/>
      <c r="L55" s="72"/>
      <c r="M55" s="72"/>
      <c r="N55" s="72"/>
      <c r="O55" s="72"/>
      <c r="P55" s="72"/>
      <c r="Q55" s="72"/>
      <c r="R55" s="72"/>
      <c r="S55" s="72"/>
      <c r="T55" s="72"/>
      <c r="U55" s="72"/>
      <c r="V55" s="72"/>
      <c r="W55" s="72"/>
      <c r="X55" s="72"/>
      <c r="Y55" s="72"/>
      <c r="Z55" s="72"/>
      <c r="AA55" s="72"/>
      <c r="AB55" s="118"/>
      <c r="AC55" s="72"/>
      <c r="AD55" s="117"/>
      <c r="AE55" s="662" t="str">
        <f>'Sprachen &amp; Rückgabewerte'!$H$94</f>
        <v>Druckausgleichsventile :</v>
      </c>
      <c r="AF55" s="662"/>
      <c r="AG55" s="662"/>
      <c r="AH55" s="662"/>
      <c r="AI55" s="662"/>
      <c r="AJ55" s="662"/>
      <c r="AK55" s="662"/>
      <c r="AL55" s="662"/>
      <c r="AM55" s="662"/>
      <c r="AN55" s="717"/>
      <c r="AO55" s="560"/>
      <c r="AP55" s="562"/>
      <c r="AQ55" s="72"/>
      <c r="AR55" s="80" t="s">
        <v>347</v>
      </c>
      <c r="AS55" s="72"/>
      <c r="AT55" s="110"/>
      <c r="AU55" s="110"/>
    </row>
    <row r="56" spans="2:50" ht="12.75" customHeight="1" x14ac:dyDescent="0.2">
      <c r="B56" s="60"/>
      <c r="C56" s="60"/>
      <c r="D56" s="72"/>
      <c r="E56" s="72"/>
      <c r="F56" s="72"/>
      <c r="G56" s="72"/>
      <c r="H56" s="72"/>
      <c r="I56" s="72"/>
      <c r="J56" s="72"/>
      <c r="K56" s="72"/>
      <c r="L56" s="72"/>
      <c r="M56" s="72"/>
      <c r="N56" s="72"/>
      <c r="O56" s="72"/>
      <c r="P56" s="72"/>
      <c r="Q56" s="72"/>
      <c r="R56" s="72"/>
      <c r="S56" s="72"/>
      <c r="T56" s="72"/>
      <c r="U56" s="72"/>
      <c r="V56" s="72"/>
      <c r="W56" s="72"/>
      <c r="X56" s="72"/>
      <c r="Y56" s="72"/>
      <c r="Z56" s="72"/>
      <c r="AA56" s="72"/>
      <c r="AB56" s="118"/>
      <c r="AC56" s="72"/>
      <c r="AD56" s="117"/>
      <c r="AE56" s="72"/>
      <c r="AF56" s="127" t="str">
        <f>'Sprachen &amp; Rückgabewerte'!$H$43</f>
        <v>Swisspacer-U schwarz</v>
      </c>
      <c r="AG56" s="72"/>
      <c r="AH56" s="72"/>
      <c r="AI56" s="72"/>
      <c r="AJ56" s="72"/>
      <c r="AK56" s="72"/>
      <c r="AL56" s="72"/>
      <c r="AM56" s="72"/>
      <c r="AN56" s="127" t="str">
        <f>'Sprachen &amp; Rückgabewerte'!$H$44</f>
        <v>Swisspacer-U grau</v>
      </c>
      <c r="AQ56" s="72"/>
      <c r="AS56" s="80"/>
      <c r="AT56" s="110"/>
      <c r="AU56" s="110"/>
    </row>
    <row r="57" spans="2:50" ht="12.75" customHeight="1" x14ac:dyDescent="0.2">
      <c r="B57" s="60"/>
      <c r="C57" s="60"/>
      <c r="D57" s="72"/>
      <c r="E57" s="72"/>
      <c r="F57" s="72"/>
      <c r="G57" s="72"/>
      <c r="H57" s="72"/>
      <c r="I57" s="72"/>
      <c r="J57" s="72"/>
      <c r="K57" s="72"/>
      <c r="L57" s="72"/>
      <c r="M57" s="72"/>
      <c r="N57" s="72"/>
      <c r="O57" s="72"/>
      <c r="P57" s="72"/>
      <c r="Q57" s="72"/>
      <c r="R57" s="72"/>
      <c r="S57" s="72"/>
      <c r="T57" s="72"/>
      <c r="U57" s="72"/>
      <c r="V57" s="72"/>
      <c r="W57" s="72"/>
      <c r="X57" s="72"/>
      <c r="Y57" s="72"/>
      <c r="Z57" s="72"/>
      <c r="AA57" s="72"/>
      <c r="AB57" s="118"/>
      <c r="AC57" s="72"/>
      <c r="AD57" s="117"/>
      <c r="AE57" s="72"/>
      <c r="AF57" s="127" t="str">
        <f>'Sprachen &amp; Rückgabewerte'!$H$45</f>
        <v>Speziell:</v>
      </c>
      <c r="AG57" s="72"/>
      <c r="AH57" s="72"/>
      <c r="AI57" s="622"/>
      <c r="AJ57" s="623"/>
      <c r="AK57" s="623"/>
      <c r="AL57" s="623"/>
      <c r="AM57" s="623"/>
      <c r="AN57" s="623"/>
      <c r="AO57" s="623"/>
      <c r="AP57" s="623"/>
      <c r="AQ57" s="623"/>
      <c r="AR57" s="623"/>
      <c r="AS57" s="624"/>
      <c r="AT57" s="110"/>
      <c r="AU57" s="110"/>
    </row>
    <row r="58" spans="2:50" ht="12.75" customHeight="1" x14ac:dyDescent="0.2">
      <c r="B58" s="60"/>
      <c r="C58" s="60"/>
      <c r="D58" s="72"/>
      <c r="E58" s="72"/>
      <c r="F58" s="72"/>
      <c r="G58" s="72"/>
      <c r="H58" s="72"/>
      <c r="I58" s="75"/>
      <c r="J58" s="73"/>
      <c r="K58" s="73"/>
      <c r="L58" s="73"/>
      <c r="M58" s="73"/>
      <c r="N58" s="73"/>
      <c r="O58" s="72"/>
      <c r="P58" s="72"/>
      <c r="Q58" s="72"/>
      <c r="R58" s="72"/>
      <c r="S58" s="72"/>
      <c r="T58" s="72"/>
      <c r="U58" s="72"/>
      <c r="V58" s="72"/>
      <c r="W58" s="72"/>
      <c r="X58" s="72"/>
      <c r="Y58" s="72"/>
      <c r="Z58" s="72"/>
      <c r="AA58" s="72"/>
      <c r="AB58" s="118"/>
      <c r="AC58" s="72"/>
      <c r="AD58" s="119"/>
      <c r="AE58" s="120"/>
      <c r="AF58" s="120"/>
      <c r="AG58" s="120"/>
      <c r="AH58" s="120"/>
      <c r="AI58" s="148"/>
      <c r="AJ58" s="148"/>
      <c r="AK58" s="148"/>
      <c r="AL58" s="148"/>
      <c r="AM58" s="148"/>
      <c r="AN58" s="148"/>
      <c r="AO58" s="148"/>
      <c r="AP58" s="148"/>
      <c r="AQ58" s="148"/>
      <c r="AR58" s="148"/>
      <c r="AS58" s="148"/>
      <c r="AT58" s="111"/>
      <c r="AU58" s="110"/>
    </row>
    <row r="59" spans="2:50" ht="12.75" customHeight="1" x14ac:dyDescent="0.2">
      <c r="B59" s="60"/>
      <c r="C59" s="60"/>
      <c r="D59" s="72"/>
      <c r="E59" s="72"/>
      <c r="F59" s="72"/>
      <c r="G59" s="72"/>
      <c r="H59" s="72"/>
      <c r="I59" s="75"/>
      <c r="J59" s="73"/>
      <c r="K59" s="73"/>
      <c r="L59" s="73"/>
      <c r="M59" s="73"/>
      <c r="N59" s="73"/>
      <c r="O59" s="72"/>
      <c r="P59" s="72"/>
      <c r="Q59" s="600" t="str">
        <f>IF('Sprachen &amp; Rückgabewerte'!C54=TRUE,'Sprachen &amp; Rückgabewerte'!H160,"")</f>
        <v/>
      </c>
      <c r="R59" s="600"/>
      <c r="S59" s="600"/>
      <c r="T59" s="600"/>
      <c r="U59" s="600"/>
      <c r="V59" s="600"/>
      <c r="W59" s="600"/>
      <c r="X59" s="600"/>
      <c r="Y59" s="600"/>
      <c r="Z59" s="600"/>
      <c r="AA59" s="600"/>
      <c r="AB59" s="601"/>
      <c r="AC59" s="72"/>
      <c r="AD59" s="72"/>
      <c r="AE59" s="72"/>
      <c r="AF59" s="72"/>
      <c r="AG59" s="72"/>
      <c r="AH59" s="72"/>
      <c r="AI59" s="79"/>
      <c r="AJ59" s="79"/>
      <c r="AK59" s="79"/>
      <c r="AL59" s="79"/>
      <c r="AM59" s="79"/>
      <c r="AN59" s="79"/>
      <c r="AO59" s="79"/>
      <c r="AP59" s="79"/>
      <c r="AQ59" s="79"/>
      <c r="AR59" s="79"/>
      <c r="AS59" s="79"/>
      <c r="AT59" s="61"/>
      <c r="AU59" s="110"/>
    </row>
    <row r="60" spans="2:50" ht="12.75" customHeight="1" x14ac:dyDescent="0.2">
      <c r="B60" s="60"/>
      <c r="C60" s="68"/>
      <c r="D60" s="120"/>
      <c r="E60" s="120"/>
      <c r="F60" s="177" t="str">
        <f>'Sprachen &amp; Rückgabewerte'!$H$110</f>
        <v>KABA (22)</v>
      </c>
      <c r="G60" s="120"/>
      <c r="H60" s="120"/>
      <c r="I60" s="120"/>
      <c r="J60" s="120"/>
      <c r="K60" s="120"/>
      <c r="L60" s="177" t="str">
        <f>'Sprachen &amp; Rückgabewerte'!$H$111</f>
        <v>PZ / Euro (17)</v>
      </c>
      <c r="M60" s="120"/>
      <c r="N60" s="120"/>
      <c r="O60" s="120"/>
      <c r="P60" s="120"/>
      <c r="Q60" s="602"/>
      <c r="R60" s="602"/>
      <c r="S60" s="602"/>
      <c r="T60" s="602"/>
      <c r="U60" s="602"/>
      <c r="V60" s="602"/>
      <c r="W60" s="602"/>
      <c r="X60" s="602"/>
      <c r="Y60" s="602"/>
      <c r="Z60" s="602"/>
      <c r="AA60" s="602"/>
      <c r="AB60" s="603"/>
      <c r="AC60" s="72"/>
      <c r="AD60" s="114"/>
      <c r="AE60" s="116" t="str">
        <f>'Sprachen &amp; Rückgabewerte'!$H$64</f>
        <v>Verschlussgriffe:</v>
      </c>
      <c r="AF60" s="116"/>
      <c r="AG60" s="115"/>
      <c r="AH60" s="115"/>
      <c r="AI60" s="115"/>
      <c r="AJ60" s="115"/>
      <c r="AK60" s="115"/>
      <c r="AL60" s="115"/>
      <c r="AM60" s="134"/>
      <c r="AN60" s="115"/>
      <c r="AO60" s="115"/>
      <c r="AP60" s="115"/>
      <c r="AQ60" s="115"/>
      <c r="AR60" s="115"/>
      <c r="AS60" s="115"/>
      <c r="AT60" s="109"/>
      <c r="AU60" s="110"/>
    </row>
    <row r="61" spans="2:50" ht="12.75" customHeight="1" x14ac:dyDescent="0.2">
      <c r="B61" s="60"/>
      <c r="C61" s="61"/>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117"/>
      <c r="AE61" s="72"/>
      <c r="AF61" s="81"/>
      <c r="AG61" s="72"/>
      <c r="AH61" s="72"/>
      <c r="AI61" s="72"/>
      <c r="AJ61" s="72"/>
      <c r="AK61" s="72"/>
      <c r="AL61" s="72"/>
      <c r="AM61" s="96"/>
      <c r="AN61" s="72"/>
      <c r="AO61" s="72"/>
      <c r="AP61" s="72"/>
      <c r="AQ61" s="72"/>
      <c r="AR61" s="72"/>
      <c r="AS61" s="72"/>
      <c r="AT61" s="110"/>
      <c r="AU61" s="110"/>
    </row>
    <row r="62" spans="2:50" ht="12.75" customHeight="1" x14ac:dyDescent="0.2">
      <c r="B62" s="60"/>
      <c r="C62" s="107"/>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408"/>
      <c r="AC62" s="72"/>
      <c r="AD62" s="117"/>
      <c r="AE62" s="72"/>
      <c r="AF62" s="81"/>
      <c r="AG62" s="72"/>
      <c r="AH62" s="72"/>
      <c r="AI62" s="72"/>
      <c r="AJ62" s="72"/>
      <c r="AK62" s="72"/>
      <c r="AL62" s="72"/>
      <c r="AM62" s="96"/>
      <c r="AN62" s="72"/>
      <c r="AO62" s="72"/>
      <c r="AP62" s="72"/>
      <c r="AQ62" s="72"/>
      <c r="AR62" s="72"/>
      <c r="AS62" s="72"/>
      <c r="AT62" s="110"/>
      <c r="AU62" s="110"/>
    </row>
    <row r="63" spans="2:50" ht="12.75" customHeight="1" x14ac:dyDescent="0.2">
      <c r="B63" s="60"/>
      <c r="C63" s="60"/>
      <c r="D63" s="72"/>
      <c r="E63" s="72"/>
      <c r="F63" s="61"/>
      <c r="G63" s="72"/>
      <c r="H63" s="72"/>
      <c r="I63" s="72"/>
      <c r="J63" s="72"/>
      <c r="K63" s="72"/>
      <c r="L63" s="61"/>
      <c r="M63" s="72"/>
      <c r="N63" s="72"/>
      <c r="O63" s="72"/>
      <c r="P63" s="72"/>
      <c r="Q63" s="72"/>
      <c r="R63" s="72"/>
      <c r="S63" s="72"/>
      <c r="T63" s="72"/>
      <c r="U63" s="72"/>
      <c r="V63" s="72"/>
      <c r="W63" s="72"/>
      <c r="X63" s="72"/>
      <c r="Y63" s="72"/>
      <c r="Z63" s="72"/>
      <c r="AA63" s="72"/>
      <c r="AB63" s="118"/>
      <c r="AC63" s="72"/>
      <c r="AD63" s="117"/>
      <c r="AE63" s="72"/>
      <c r="AF63" s="72"/>
      <c r="AG63" s="72"/>
      <c r="AH63" s="72"/>
      <c r="AI63" s="72"/>
      <c r="AJ63" s="72"/>
      <c r="AK63" s="72"/>
      <c r="AL63" s="72"/>
      <c r="AM63" s="96"/>
      <c r="AN63" s="72"/>
      <c r="AO63" s="72"/>
      <c r="AP63" s="72"/>
      <c r="AQ63" s="72"/>
      <c r="AR63" s="72"/>
      <c r="AS63" s="72"/>
      <c r="AT63" s="110"/>
      <c r="AU63" s="110"/>
    </row>
    <row r="64" spans="2:50" ht="12.75" customHeight="1" x14ac:dyDescent="0.2">
      <c r="B64" s="60"/>
      <c r="C64" s="60"/>
      <c r="D64" s="72"/>
      <c r="E64" s="73"/>
      <c r="F64" s="73"/>
      <c r="G64" s="72"/>
      <c r="H64" s="72"/>
      <c r="I64" s="72"/>
      <c r="J64" s="72"/>
      <c r="K64" s="72"/>
      <c r="L64" s="73"/>
      <c r="M64" s="72"/>
      <c r="N64" s="72"/>
      <c r="O64" s="72"/>
      <c r="P64" s="72"/>
      <c r="Q64" s="72"/>
      <c r="R64" s="72"/>
      <c r="S64" s="72"/>
      <c r="T64" s="72"/>
      <c r="U64" s="72"/>
      <c r="V64" s="72"/>
      <c r="W64" s="72"/>
      <c r="X64" s="72"/>
      <c r="Y64" s="72"/>
      <c r="Z64" s="72"/>
      <c r="AA64" s="72"/>
      <c r="AB64" s="118"/>
      <c r="AC64" s="72"/>
      <c r="AD64" s="117"/>
      <c r="AE64" s="72"/>
      <c r="AF64" s="72"/>
      <c r="AG64" s="72"/>
      <c r="AH64" s="72"/>
      <c r="AI64" s="72"/>
      <c r="AJ64" s="72"/>
      <c r="AK64" s="72"/>
      <c r="AL64" s="72"/>
      <c r="AM64" s="96"/>
      <c r="AN64" s="72"/>
      <c r="AO64" s="72"/>
      <c r="AP64" s="72"/>
      <c r="AQ64" s="72"/>
      <c r="AR64" s="72"/>
      <c r="AS64" s="72"/>
      <c r="AT64" s="110"/>
      <c r="AU64" s="110"/>
    </row>
    <row r="65" spans="2:50" ht="12.75" customHeight="1" x14ac:dyDescent="0.2">
      <c r="B65" s="60"/>
      <c r="C65" s="60"/>
      <c r="D65" s="72"/>
      <c r="E65" s="72"/>
      <c r="F65" s="72"/>
      <c r="G65" s="72"/>
      <c r="H65" s="72"/>
      <c r="I65" s="72"/>
      <c r="J65" s="72"/>
      <c r="K65" s="72"/>
      <c r="L65" s="72"/>
      <c r="M65" s="72"/>
      <c r="N65" s="72"/>
      <c r="O65" s="72"/>
      <c r="P65" s="72"/>
      <c r="Q65" s="72"/>
      <c r="R65" s="72"/>
      <c r="S65" s="72"/>
      <c r="T65" s="72"/>
      <c r="U65" s="72"/>
      <c r="V65" s="72"/>
      <c r="W65" s="72"/>
      <c r="X65" s="72"/>
      <c r="Y65" s="72"/>
      <c r="Z65" s="72"/>
      <c r="AA65" s="72"/>
      <c r="AB65" s="118"/>
      <c r="AC65" s="72"/>
      <c r="AD65" s="117"/>
      <c r="AE65" s="72"/>
      <c r="AF65" s="72"/>
      <c r="AG65" s="72"/>
      <c r="AH65" s="72"/>
      <c r="AI65" s="72"/>
      <c r="AJ65" s="72"/>
      <c r="AK65" s="72"/>
      <c r="AL65" s="72"/>
      <c r="AM65" s="72"/>
      <c r="AN65" s="72"/>
      <c r="AO65" s="72"/>
      <c r="AP65" s="72"/>
      <c r="AQ65" s="72"/>
      <c r="AR65" s="72"/>
      <c r="AS65" s="72"/>
      <c r="AT65" s="110"/>
      <c r="AU65" s="110"/>
    </row>
    <row r="66" spans="2:50" ht="12.75" customHeight="1" x14ac:dyDescent="0.2">
      <c r="B66" s="60"/>
      <c r="C66" s="60"/>
      <c r="D66" s="72"/>
      <c r="E66" s="72"/>
      <c r="F66" s="72"/>
      <c r="G66" s="72"/>
      <c r="H66" s="72"/>
      <c r="I66" s="72"/>
      <c r="J66" s="72"/>
      <c r="K66" s="72"/>
      <c r="L66" s="72"/>
      <c r="M66" s="72"/>
      <c r="N66" s="72"/>
      <c r="O66" s="72"/>
      <c r="P66" s="72"/>
      <c r="Q66" s="72"/>
      <c r="R66" s="72"/>
      <c r="S66" s="72"/>
      <c r="T66" s="72"/>
      <c r="U66" s="72"/>
      <c r="V66" s="72"/>
      <c r="W66" s="72"/>
      <c r="X66" s="72"/>
      <c r="Y66" s="72"/>
      <c r="Z66" s="72"/>
      <c r="AA66" s="72"/>
      <c r="AB66" s="118"/>
      <c r="AC66" s="72"/>
      <c r="AD66" s="117"/>
      <c r="AE66" s="72"/>
      <c r="AF66" s="72"/>
      <c r="AG66" s="72"/>
      <c r="AH66" s="72"/>
      <c r="AI66" s="72"/>
      <c r="AJ66" s="72"/>
      <c r="AK66" s="72"/>
      <c r="AL66" s="72"/>
      <c r="AM66" s="72"/>
      <c r="AN66" s="72"/>
      <c r="AO66" s="72"/>
      <c r="AP66" s="72"/>
      <c r="AQ66" s="72"/>
      <c r="AR66" s="72"/>
      <c r="AS66" s="72"/>
      <c r="AT66" s="110"/>
      <c r="AU66" s="110"/>
    </row>
    <row r="67" spans="2:50" ht="12.75" customHeight="1" x14ac:dyDescent="0.2">
      <c r="B67" s="60"/>
      <c r="C67" s="60"/>
      <c r="D67" s="72"/>
      <c r="E67" s="72"/>
      <c r="F67" s="72"/>
      <c r="G67" s="72"/>
      <c r="H67" s="72"/>
      <c r="I67" s="72"/>
      <c r="J67" s="72"/>
      <c r="K67" s="72"/>
      <c r="L67" s="72"/>
      <c r="M67" s="72"/>
      <c r="N67" s="72"/>
      <c r="O67" s="72"/>
      <c r="P67" s="72"/>
      <c r="Q67" s="72"/>
      <c r="R67" s="72"/>
      <c r="S67" s="72"/>
      <c r="T67" s="72"/>
      <c r="U67" s="72"/>
      <c r="V67" s="72"/>
      <c r="W67" s="72"/>
      <c r="X67" s="72"/>
      <c r="Y67" s="72"/>
      <c r="Z67" s="72"/>
      <c r="AA67" s="72"/>
      <c r="AB67" s="118"/>
      <c r="AC67" s="72"/>
      <c r="AD67" s="117"/>
      <c r="AE67" s="72"/>
      <c r="AF67" s="72"/>
      <c r="AG67" s="72"/>
      <c r="AH67" s="72"/>
      <c r="AI67" s="72"/>
      <c r="AJ67" s="72"/>
      <c r="AK67" s="72"/>
      <c r="AL67" s="72"/>
      <c r="AM67" s="72"/>
      <c r="AN67" s="72"/>
      <c r="AO67" s="72"/>
      <c r="AP67" s="72"/>
      <c r="AQ67" s="72"/>
      <c r="AR67" s="72"/>
      <c r="AS67" s="72"/>
      <c r="AT67" s="110"/>
      <c r="AU67" s="110"/>
    </row>
    <row r="68" spans="2:50" ht="12.75" customHeight="1" x14ac:dyDescent="0.2">
      <c r="B68" s="60"/>
      <c r="C68" s="60"/>
      <c r="D68" s="72"/>
      <c r="E68" s="72"/>
      <c r="F68" s="72"/>
      <c r="G68" s="72"/>
      <c r="H68" s="72"/>
      <c r="I68" s="72"/>
      <c r="J68" s="72"/>
      <c r="K68" s="72"/>
      <c r="L68" s="72"/>
      <c r="M68" s="72"/>
      <c r="N68" s="72"/>
      <c r="O68" s="72"/>
      <c r="P68" s="72"/>
      <c r="Q68" s="72"/>
      <c r="R68" s="72"/>
      <c r="S68" s="72"/>
      <c r="T68" s="72"/>
      <c r="U68" s="72"/>
      <c r="V68" s="72"/>
      <c r="W68" s="72"/>
      <c r="X68" s="72"/>
      <c r="Y68" s="72"/>
      <c r="Z68" s="72"/>
      <c r="AA68" s="72"/>
      <c r="AB68" s="118"/>
      <c r="AC68" s="72"/>
      <c r="AD68" s="117"/>
      <c r="AE68" s="72"/>
      <c r="AF68" s="72"/>
      <c r="AG68" s="72"/>
      <c r="AH68" s="72"/>
      <c r="AI68" s="72"/>
      <c r="AJ68" s="72"/>
      <c r="AK68" s="72"/>
      <c r="AL68" s="72"/>
      <c r="AM68" s="72"/>
      <c r="AN68" s="72"/>
      <c r="AO68" s="72"/>
      <c r="AP68" s="72"/>
      <c r="AQ68" s="72"/>
      <c r="AR68" s="72"/>
      <c r="AS68" s="72"/>
      <c r="AT68" s="110"/>
      <c r="AU68" s="110"/>
    </row>
    <row r="69" spans="2:50" ht="12.75" customHeight="1" x14ac:dyDescent="0.2">
      <c r="B69" s="60"/>
      <c r="C69" s="60"/>
      <c r="D69" s="72"/>
      <c r="E69" s="72"/>
      <c r="F69" s="72"/>
      <c r="G69" s="72"/>
      <c r="H69" s="72"/>
      <c r="I69" s="72"/>
      <c r="J69" s="72"/>
      <c r="K69" s="72"/>
      <c r="L69" s="72"/>
      <c r="M69" s="72"/>
      <c r="N69" s="72"/>
      <c r="O69" s="72"/>
      <c r="P69" s="72"/>
      <c r="Q69" s="72"/>
      <c r="R69" s="72"/>
      <c r="S69" s="72"/>
      <c r="T69" s="72"/>
      <c r="U69" s="72"/>
      <c r="V69" s="72"/>
      <c r="W69" s="72"/>
      <c r="X69" s="72"/>
      <c r="Y69" s="72"/>
      <c r="Z69" s="72"/>
      <c r="AA69" s="72"/>
      <c r="AB69" s="118"/>
      <c r="AC69" s="72"/>
      <c r="AD69" s="117"/>
      <c r="AE69" s="72"/>
      <c r="AF69" s="72"/>
      <c r="AG69" s="72"/>
      <c r="AH69" s="72"/>
      <c r="AI69" s="72"/>
      <c r="AJ69" s="72"/>
      <c r="AK69" s="72"/>
      <c r="AL69" s="72"/>
      <c r="AM69" s="72"/>
      <c r="AN69" s="72"/>
      <c r="AO69" s="72"/>
      <c r="AP69" s="72"/>
      <c r="AQ69" s="72"/>
      <c r="AR69" s="72"/>
      <c r="AS69" s="72"/>
      <c r="AT69" s="110"/>
      <c r="AU69" s="110"/>
    </row>
    <row r="70" spans="2:50" ht="12.75" customHeight="1" x14ac:dyDescent="0.2">
      <c r="B70" s="60"/>
      <c r="C70" s="60"/>
      <c r="D70" s="72"/>
      <c r="E70" s="72"/>
      <c r="F70" s="72"/>
      <c r="G70" s="72"/>
      <c r="H70" s="72"/>
      <c r="I70" s="72"/>
      <c r="J70" s="72"/>
      <c r="K70" s="72"/>
      <c r="L70" s="72"/>
      <c r="M70" s="72"/>
      <c r="N70" s="72"/>
      <c r="O70" s="72"/>
      <c r="P70" s="72"/>
      <c r="Q70" s="72"/>
      <c r="R70" s="72"/>
      <c r="S70" s="72"/>
      <c r="T70" s="72"/>
      <c r="U70" s="72"/>
      <c r="V70" s="72"/>
      <c r="W70" s="72"/>
      <c r="X70" s="72"/>
      <c r="Y70" s="72"/>
      <c r="Z70" s="72"/>
      <c r="AA70" s="72"/>
      <c r="AB70" s="118"/>
      <c r="AC70" s="72"/>
      <c r="AD70" s="117"/>
      <c r="AE70" s="575"/>
      <c r="AF70" s="576"/>
      <c r="AG70" s="576"/>
      <c r="AH70" s="576"/>
      <c r="AI70" s="576"/>
      <c r="AJ70" s="576"/>
      <c r="AK70" s="576"/>
      <c r="AL70" s="577"/>
      <c r="AM70" s="72"/>
      <c r="AN70" s="616"/>
      <c r="AO70" s="617"/>
      <c r="AP70" s="617"/>
      <c r="AQ70" s="617"/>
      <c r="AR70" s="617"/>
      <c r="AS70" s="618"/>
      <c r="AT70" s="110"/>
      <c r="AU70" s="110"/>
    </row>
    <row r="71" spans="2:50" ht="12.75" customHeight="1" x14ac:dyDescent="0.2">
      <c r="B71" s="60"/>
      <c r="C71" s="60"/>
      <c r="D71" s="72"/>
      <c r="E71" s="72"/>
      <c r="F71" s="73" t="str">
        <f>'Sprachen &amp; Rückgabewerte'!$B$41</f>
        <v>320101/320101</v>
      </c>
      <c r="G71" s="72"/>
      <c r="H71" s="72"/>
      <c r="I71" s="72"/>
      <c r="J71" s="72"/>
      <c r="K71" s="72"/>
      <c r="L71" s="73" t="str">
        <f>'Sprachen &amp; Rückgabewerte'!$B$42</f>
        <v>320401/320401</v>
      </c>
      <c r="M71" s="61"/>
      <c r="N71" s="72"/>
      <c r="O71" s="72"/>
      <c r="P71" s="72"/>
      <c r="Q71" s="72"/>
      <c r="R71" s="73" t="str">
        <f>'Sprachen &amp; Rückgabewerte'!$B$43</f>
        <v>360001/360001</v>
      </c>
      <c r="S71" s="72"/>
      <c r="T71" s="72"/>
      <c r="U71" s="72"/>
      <c r="V71" s="72"/>
      <c r="W71" s="72"/>
      <c r="X71" s="73" t="str">
        <f>'Sprachen &amp; Rückgabewerte'!$B$44</f>
        <v>321101/321101</v>
      </c>
      <c r="Y71" s="61"/>
      <c r="Z71" s="72"/>
      <c r="AA71" s="72"/>
      <c r="AB71" s="118"/>
      <c r="AC71" s="72"/>
      <c r="AD71" s="119"/>
      <c r="AE71" s="120"/>
      <c r="AF71" s="120"/>
      <c r="AG71" s="120"/>
      <c r="AH71" s="120"/>
      <c r="AI71" s="120"/>
      <c r="AJ71" s="120"/>
      <c r="AK71" s="120"/>
      <c r="AL71" s="120"/>
      <c r="AM71" s="120"/>
      <c r="AN71" s="120"/>
      <c r="AO71" s="120"/>
      <c r="AP71" s="120"/>
      <c r="AQ71" s="120"/>
      <c r="AR71" s="120"/>
      <c r="AS71" s="120"/>
      <c r="AT71" s="111"/>
      <c r="AU71" s="110"/>
    </row>
    <row r="72" spans="2:50" ht="12.75" customHeight="1" x14ac:dyDescent="0.2">
      <c r="B72" s="60"/>
      <c r="C72" s="60"/>
      <c r="D72" s="72"/>
      <c r="E72" s="72"/>
      <c r="F72" s="699"/>
      <c r="G72" s="700"/>
      <c r="H72" s="700"/>
      <c r="I72" s="701"/>
      <c r="J72" s="72"/>
      <c r="K72" s="72"/>
      <c r="L72" s="699"/>
      <c r="M72" s="700"/>
      <c r="N72" s="700"/>
      <c r="O72" s="701"/>
      <c r="P72" s="72"/>
      <c r="Q72" s="72"/>
      <c r="R72" s="72"/>
      <c r="S72" s="424"/>
      <c r="T72" s="424"/>
      <c r="U72" s="424"/>
      <c r="V72" s="72"/>
      <c r="W72" s="72"/>
      <c r="X72" s="699"/>
      <c r="Y72" s="700"/>
      <c r="Z72" s="700"/>
      <c r="AA72" s="701"/>
      <c r="AB72" s="118"/>
      <c r="AC72" s="72"/>
      <c r="AD72" s="72"/>
      <c r="AE72" s="72"/>
      <c r="AF72" s="72"/>
      <c r="AG72" s="72"/>
      <c r="AH72" s="72"/>
      <c r="AI72" s="72"/>
      <c r="AJ72" s="72"/>
      <c r="AK72" s="72"/>
      <c r="AL72" s="72"/>
      <c r="AM72" s="72"/>
      <c r="AN72" s="72"/>
      <c r="AO72" s="72"/>
      <c r="AP72" s="72"/>
      <c r="AQ72" s="72"/>
      <c r="AR72" s="72"/>
      <c r="AS72" s="72"/>
      <c r="AT72" s="61"/>
      <c r="AU72" s="110"/>
    </row>
    <row r="73" spans="2:50" ht="12.75" customHeight="1" x14ac:dyDescent="0.2">
      <c r="B73" s="60"/>
      <c r="C73" s="60"/>
      <c r="D73" s="72"/>
      <c r="E73" s="72"/>
      <c r="F73" s="72"/>
      <c r="G73" s="72"/>
      <c r="H73" s="72"/>
      <c r="I73" s="72"/>
      <c r="J73" s="72"/>
      <c r="K73" s="72"/>
      <c r="L73" s="72"/>
      <c r="M73" s="72"/>
      <c r="N73" s="72"/>
      <c r="O73" s="72"/>
      <c r="P73" s="72"/>
      <c r="Q73" s="72"/>
      <c r="R73" s="72"/>
      <c r="S73" s="72"/>
      <c r="T73" s="72"/>
      <c r="U73" s="72"/>
      <c r="V73" s="72"/>
      <c r="W73" s="72"/>
      <c r="X73" s="72"/>
      <c r="Y73" s="72"/>
      <c r="Z73" s="72"/>
      <c r="AA73" s="72"/>
      <c r="AB73" s="407"/>
      <c r="AC73" s="72"/>
      <c r="AD73" s="114"/>
      <c r="AE73" s="116" t="str">
        <f>'Sprachen &amp; Rückgabewerte'!$H$70</f>
        <v>Befestigung:</v>
      </c>
      <c r="AF73" s="116"/>
      <c r="AG73" s="115"/>
      <c r="AH73" s="115"/>
      <c r="AI73" s="115"/>
      <c r="AJ73" s="115"/>
      <c r="AK73" s="115"/>
      <c r="AL73" s="115"/>
      <c r="AM73" s="115"/>
      <c r="AN73" s="115"/>
      <c r="AO73" s="115"/>
      <c r="AP73" s="115"/>
      <c r="AQ73" s="115"/>
      <c r="AR73" s="115"/>
      <c r="AS73" s="115"/>
      <c r="AT73" s="109"/>
      <c r="AU73" s="110"/>
    </row>
    <row r="74" spans="2:50" ht="12.75" customHeight="1" x14ac:dyDescent="0.2">
      <c r="B74" s="60"/>
      <c r="C74" s="60"/>
      <c r="D74" s="72"/>
      <c r="E74" s="72"/>
      <c r="F74" s="72"/>
      <c r="G74" s="72"/>
      <c r="H74" s="72"/>
      <c r="I74" s="72"/>
      <c r="J74" s="72"/>
      <c r="K74" s="72"/>
      <c r="L74" s="72"/>
      <c r="M74" s="72"/>
      <c r="N74" s="72"/>
      <c r="O74" s="72"/>
      <c r="P74" s="72"/>
      <c r="Q74" s="72"/>
      <c r="R74" s="72"/>
      <c r="S74" s="72"/>
      <c r="T74" s="72"/>
      <c r="U74" s="72"/>
      <c r="V74" s="72"/>
      <c r="W74" s="72"/>
      <c r="X74" s="72"/>
      <c r="Y74" s="72"/>
      <c r="Z74" s="72"/>
      <c r="AA74" s="72"/>
      <c r="AB74" s="118"/>
      <c r="AC74" s="72"/>
      <c r="AD74" s="117"/>
      <c r="AE74" s="72"/>
      <c r="AF74" s="72" t="str">
        <f>'Sprachen &amp; Rückgabewerte'!$H$71</f>
        <v>Universalschrauben (A2):</v>
      </c>
      <c r="AG74" s="72"/>
      <c r="AH74" s="72"/>
      <c r="AI74" s="72"/>
      <c r="AJ74" s="72"/>
      <c r="AK74" s="72"/>
      <c r="AL74" s="72"/>
      <c r="AM74" s="72" t="str">
        <f>'Sprachen &amp; Rückgabewerte'!H72</f>
        <v>L=52mm</v>
      </c>
      <c r="AN74" s="382"/>
      <c r="AO74" s="382"/>
      <c r="AP74" s="384"/>
      <c r="AQ74" s="72" t="str">
        <f>'Sprachen &amp; Rückgabewerte'!$H$180</f>
        <v>VE</v>
      </c>
      <c r="AR74" s="72"/>
      <c r="AS74" s="72"/>
      <c r="AT74" s="110"/>
      <c r="AU74" s="110"/>
    </row>
    <row r="75" spans="2:50" ht="12.75" customHeight="1" thickBot="1" x14ac:dyDescent="0.25">
      <c r="B75" s="60"/>
      <c r="C75" s="60"/>
      <c r="D75" s="72"/>
      <c r="E75" s="72"/>
      <c r="F75" s="72"/>
      <c r="G75" s="72"/>
      <c r="H75" s="72"/>
      <c r="I75" s="72"/>
      <c r="J75" s="72"/>
      <c r="K75" s="72"/>
      <c r="L75" s="72"/>
      <c r="M75" s="72"/>
      <c r="N75" s="72"/>
      <c r="O75" s="72"/>
      <c r="P75" s="72"/>
      <c r="Q75" s="72"/>
      <c r="R75" s="72"/>
      <c r="S75" s="72"/>
      <c r="T75" s="72"/>
      <c r="U75" s="72"/>
      <c r="V75" s="72"/>
      <c r="W75" s="72"/>
      <c r="X75" s="72"/>
      <c r="Y75" s="72"/>
      <c r="Z75" s="72"/>
      <c r="AA75" s="72"/>
      <c r="AB75" s="118"/>
      <c r="AC75" s="72"/>
      <c r="AD75" s="117"/>
      <c r="AE75" s="72"/>
      <c r="AF75" s="72"/>
      <c r="AG75" s="79" t="str">
        <f>'Sprachen &amp; Rückgabewerte'!H75</f>
        <v>(VE à 100 Stk.)</v>
      </c>
      <c r="AH75" s="72"/>
      <c r="AI75" s="72"/>
      <c r="AJ75" s="72"/>
      <c r="AK75" s="72"/>
      <c r="AL75" s="72"/>
      <c r="AM75" s="72" t="str">
        <f>'Sprachen &amp; Rückgabewerte'!H73</f>
        <v>L=82mm</v>
      </c>
      <c r="AN75" s="383"/>
      <c r="AO75" s="382"/>
      <c r="AP75" s="384"/>
      <c r="AQ75" s="72" t="str">
        <f>'Sprachen &amp; Rückgabewerte'!$H$180</f>
        <v>VE</v>
      </c>
      <c r="AR75" s="72"/>
      <c r="AS75" s="72"/>
      <c r="AT75" s="110"/>
      <c r="AU75" s="110"/>
    </row>
    <row r="76" spans="2:50" ht="12.75" customHeight="1" x14ac:dyDescent="0.2">
      <c r="B76" s="60"/>
      <c r="C76" s="60"/>
      <c r="D76" s="72"/>
      <c r="E76" s="72"/>
      <c r="F76" s="72"/>
      <c r="G76" s="72"/>
      <c r="H76" s="72"/>
      <c r="I76" s="72"/>
      <c r="J76" s="72"/>
      <c r="K76" s="72"/>
      <c r="L76" s="72"/>
      <c r="M76" s="72"/>
      <c r="N76" s="72"/>
      <c r="O76" s="72"/>
      <c r="P76" s="72"/>
      <c r="Q76" s="72"/>
      <c r="R76" s="72"/>
      <c r="S76" s="72"/>
      <c r="T76" s="72"/>
      <c r="U76" s="72"/>
      <c r="V76" s="72"/>
      <c r="W76" s="72"/>
      <c r="X76" s="72"/>
      <c r="Y76" s="72"/>
      <c r="Z76" s="72"/>
      <c r="AA76" s="72"/>
      <c r="AB76" s="118"/>
      <c r="AC76" s="72"/>
      <c r="AD76" s="117"/>
      <c r="AE76" s="72"/>
      <c r="AF76" s="72"/>
      <c r="AG76" s="72"/>
      <c r="AH76" s="72"/>
      <c r="AI76" s="72"/>
      <c r="AJ76" s="72"/>
      <c r="AK76" s="72"/>
      <c r="AL76" s="72"/>
      <c r="AM76" s="72" t="str">
        <f>'Sprachen &amp; Rückgabewerte'!H74</f>
        <v>L=112mm</v>
      </c>
      <c r="AN76" s="383"/>
      <c r="AO76" s="382"/>
      <c r="AP76" s="384"/>
      <c r="AQ76" s="72" t="str">
        <f>'Sprachen &amp; Rückgabewerte'!$H$180</f>
        <v>VE</v>
      </c>
      <c r="AR76" s="72"/>
      <c r="AS76" s="72"/>
      <c r="AT76" s="110"/>
      <c r="AU76" s="110"/>
      <c r="AW76" s="320"/>
      <c r="AX76" s="320"/>
    </row>
    <row r="77" spans="2:50" ht="12.75" customHeight="1" x14ac:dyDescent="0.2">
      <c r="B77" s="60"/>
      <c r="C77" s="60"/>
      <c r="D77" s="72"/>
      <c r="E77" s="72"/>
      <c r="F77" s="72"/>
      <c r="G77" s="72"/>
      <c r="H77" s="72"/>
      <c r="I77" s="72"/>
      <c r="J77" s="72"/>
      <c r="K77" s="72"/>
      <c r="L77" s="72"/>
      <c r="M77" s="72"/>
      <c r="N77" s="72"/>
      <c r="O77" s="72"/>
      <c r="P77" s="72"/>
      <c r="Q77" s="72"/>
      <c r="R77" s="72"/>
      <c r="S77" s="72"/>
      <c r="T77" s="72"/>
      <c r="U77" s="72"/>
      <c r="V77" s="72"/>
      <c r="W77" s="72"/>
      <c r="X77" s="72"/>
      <c r="Y77" s="72"/>
      <c r="Z77" s="72"/>
      <c r="AA77" s="72"/>
      <c r="AB77" s="118"/>
      <c r="AC77" s="72"/>
      <c r="AD77" s="117"/>
      <c r="AE77" s="81" t="str">
        <f>'Sprachen &amp; Rückgabewerte'!$H$76</f>
        <v>Sockelbefestigung:</v>
      </c>
      <c r="AF77" s="81"/>
      <c r="AG77" s="72"/>
      <c r="AH77" s="72"/>
      <c r="AI77" s="72"/>
      <c r="AJ77" s="72"/>
      <c r="AK77" s="72"/>
      <c r="AL77" s="72"/>
      <c r="AM77" s="72"/>
      <c r="AN77" s="72"/>
      <c r="AO77" s="72"/>
      <c r="AP77" s="72"/>
      <c r="AQ77" s="72"/>
      <c r="AR77" s="72"/>
      <c r="AS77" s="72"/>
      <c r="AT77" s="110"/>
      <c r="AU77" s="110"/>
      <c r="AW77" s="321"/>
      <c r="AX77" s="321"/>
    </row>
    <row r="78" spans="2:50" ht="12.75" customHeight="1" x14ac:dyDescent="0.2">
      <c r="B78" s="60"/>
      <c r="C78" s="60"/>
      <c r="D78" s="72"/>
      <c r="E78" s="72"/>
      <c r="F78" s="72"/>
      <c r="G78" s="72"/>
      <c r="H78" s="72"/>
      <c r="I78" s="72"/>
      <c r="J78" s="72"/>
      <c r="K78" s="72"/>
      <c r="L78" s="72"/>
      <c r="M78" s="72"/>
      <c r="N78" s="72"/>
      <c r="O78" s="72"/>
      <c r="P78" s="72"/>
      <c r="Q78" s="72"/>
      <c r="R78" s="72"/>
      <c r="S78" s="72"/>
      <c r="T78" s="72"/>
      <c r="U78" s="72"/>
      <c r="V78" s="72"/>
      <c r="W78" s="72"/>
      <c r="X78" s="72"/>
      <c r="Y78" s="72"/>
      <c r="Z78" s="72"/>
      <c r="AA78" s="72"/>
      <c r="AB78" s="118"/>
      <c r="AC78" s="72"/>
      <c r="AD78" s="117"/>
      <c r="AE78" s="72" t="str">
        <f>'Sprachen &amp; Rückgabewerte'!$H$77</f>
        <v>Verstellschrauben M10 x</v>
      </c>
      <c r="AF78" s="72"/>
      <c r="AG78" s="72"/>
      <c r="AH78" s="72"/>
      <c r="AI78" s="72"/>
      <c r="AJ78" s="72"/>
      <c r="AK78" s="72"/>
      <c r="AL78" s="72"/>
      <c r="AM78" s="72"/>
      <c r="AN78" s="606"/>
      <c r="AO78" s="606"/>
      <c r="AP78" s="606"/>
      <c r="AQ78" s="72"/>
      <c r="AR78" s="72"/>
      <c r="AS78" s="72"/>
      <c r="AT78" s="110"/>
      <c r="AU78" s="110"/>
      <c r="AW78" s="321"/>
      <c r="AX78" s="321"/>
    </row>
    <row r="79" spans="2:50" ht="12.75" customHeight="1" x14ac:dyDescent="0.2">
      <c r="B79" s="60"/>
      <c r="C79" s="60"/>
      <c r="D79" s="72"/>
      <c r="E79" s="72"/>
      <c r="F79" s="72"/>
      <c r="G79" s="72"/>
      <c r="H79" s="72"/>
      <c r="I79" s="72"/>
      <c r="J79" s="72"/>
      <c r="K79" s="72"/>
      <c r="L79" s="72"/>
      <c r="M79" s="72"/>
      <c r="N79" s="72"/>
      <c r="O79" s="72"/>
      <c r="P79" s="72"/>
      <c r="Q79" s="72"/>
      <c r="R79" s="72"/>
      <c r="S79" s="72"/>
      <c r="T79" s="72"/>
      <c r="U79" s="72"/>
      <c r="V79" s="72"/>
      <c r="W79" s="72"/>
      <c r="X79" s="72"/>
      <c r="Y79" s="72"/>
      <c r="Z79" s="72"/>
      <c r="AA79" s="72"/>
      <c r="AB79" s="118"/>
      <c r="AC79" s="72"/>
      <c r="AD79" s="117"/>
      <c r="AE79" s="72" t="str">
        <f>'Sprachen &amp; Rückgabewerte'!$H$52</f>
        <v>Standardgrundplatten:</v>
      </c>
      <c r="AF79" s="72"/>
      <c r="AG79" s="72"/>
      <c r="AH79" s="72"/>
      <c r="AI79" s="72"/>
      <c r="AJ79" s="72"/>
      <c r="AK79" s="72"/>
      <c r="AL79" s="72"/>
      <c r="AM79" s="72"/>
      <c r="AN79" s="606"/>
      <c r="AO79" s="606"/>
      <c r="AP79" s="606"/>
      <c r="AQ79" s="72"/>
      <c r="AR79" s="72"/>
      <c r="AS79" s="72"/>
      <c r="AT79" s="110"/>
      <c r="AU79" s="110"/>
      <c r="AW79" s="321"/>
      <c r="AX79" s="321"/>
    </row>
    <row r="80" spans="2:50" ht="12" customHeight="1" thickBot="1" x14ac:dyDescent="0.25">
      <c r="B80" s="60"/>
      <c r="C80" s="60"/>
      <c r="D80" s="72"/>
      <c r="E80" s="72"/>
      <c r="F80" s="72"/>
      <c r="G80" s="72"/>
      <c r="H80" s="72"/>
      <c r="I80" s="72"/>
      <c r="J80" s="72"/>
      <c r="K80" s="72"/>
      <c r="L80" s="72"/>
      <c r="M80" s="72"/>
      <c r="N80" s="72"/>
      <c r="O80" s="72"/>
      <c r="P80" s="72"/>
      <c r="Q80" s="72"/>
      <c r="R80" s="72"/>
      <c r="S80" s="72"/>
      <c r="T80" s="72"/>
      <c r="U80" s="72"/>
      <c r="V80" s="72"/>
      <c r="W80" s="72"/>
      <c r="X80" s="72"/>
      <c r="Y80" s="72"/>
      <c r="Z80" s="72"/>
      <c r="AA80" s="72"/>
      <c r="AB80" s="118"/>
      <c r="AC80" s="72"/>
      <c r="AD80" s="117"/>
      <c r="AE80" s="182" t="str">
        <f>'Sprachen &amp; Rückgabewerte'!$H$84</f>
        <v>Rahmenzusammenbau:</v>
      </c>
      <c r="AF80" s="72"/>
      <c r="AG80" s="72"/>
      <c r="AH80" s="72"/>
      <c r="AI80" s="72"/>
      <c r="AJ80" s="72"/>
      <c r="AK80" s="72"/>
      <c r="AL80" s="72"/>
      <c r="AM80" s="72"/>
      <c r="AN80" s="607"/>
      <c r="AO80" s="608"/>
      <c r="AP80" s="608"/>
      <c r="AQ80" s="608"/>
      <c r="AR80" s="608"/>
      <c r="AS80" s="609"/>
      <c r="AT80" s="110"/>
      <c r="AU80" s="319"/>
      <c r="AV80" s="84"/>
      <c r="AW80" s="322"/>
      <c r="AX80" s="322"/>
    </row>
    <row r="81" spans="2:50" ht="12.75" customHeight="1" x14ac:dyDescent="0.2">
      <c r="B81" s="60"/>
      <c r="C81" s="60"/>
      <c r="D81" s="72"/>
      <c r="E81" s="72"/>
      <c r="F81" s="72"/>
      <c r="G81" s="72"/>
      <c r="H81" s="72"/>
      <c r="I81" s="72"/>
      <c r="J81" s="72"/>
      <c r="K81" s="72"/>
      <c r="L81" s="72"/>
      <c r="M81" s="72"/>
      <c r="N81" s="72"/>
      <c r="O81" s="72"/>
      <c r="P81" s="72"/>
      <c r="Q81" s="72"/>
      <c r="R81" s="72"/>
      <c r="S81" s="72"/>
      <c r="T81" s="72"/>
      <c r="U81" s="72"/>
      <c r="V81" s="72"/>
      <c r="W81" s="72"/>
      <c r="X81" s="72"/>
      <c r="Y81" s="72"/>
      <c r="Z81" s="72"/>
      <c r="AA81" s="72"/>
      <c r="AB81" s="118"/>
      <c r="AC81" s="72"/>
      <c r="AD81" s="119"/>
      <c r="AE81" s="120"/>
      <c r="AF81" s="120"/>
      <c r="AG81" s="120"/>
      <c r="AH81" s="120"/>
      <c r="AI81" s="120"/>
      <c r="AJ81" s="120"/>
      <c r="AK81" s="120"/>
      <c r="AL81" s="120"/>
      <c r="AM81" s="120"/>
      <c r="AN81" s="120"/>
      <c r="AO81" s="120"/>
      <c r="AP81" s="120"/>
      <c r="AQ81" s="120"/>
      <c r="AR81" s="120"/>
      <c r="AS81" s="120"/>
      <c r="AT81" s="111"/>
      <c r="AU81" s="110"/>
    </row>
    <row r="82" spans="2:50" ht="12.75" customHeight="1" x14ac:dyDescent="0.2">
      <c r="B82" s="60"/>
      <c r="C82" s="60"/>
      <c r="D82" s="72"/>
      <c r="E82" s="72"/>
      <c r="F82" s="72"/>
      <c r="G82" s="72"/>
      <c r="H82" s="72"/>
      <c r="I82" s="72"/>
      <c r="J82" s="72"/>
      <c r="K82" s="72"/>
      <c r="L82" s="72"/>
      <c r="M82" s="72"/>
      <c r="N82" s="72"/>
      <c r="O82" s="72"/>
      <c r="P82" s="72"/>
      <c r="Q82" s="72"/>
      <c r="R82" s="72"/>
      <c r="S82" s="72"/>
      <c r="T82" s="72"/>
      <c r="U82" s="72"/>
      <c r="V82" s="72"/>
      <c r="W82" s="72"/>
      <c r="X82" s="72"/>
      <c r="Y82" s="72"/>
      <c r="Z82" s="72"/>
      <c r="AA82" s="72"/>
      <c r="AB82" s="118"/>
      <c r="AC82" s="72"/>
      <c r="AD82" s="72"/>
      <c r="AE82" s="72"/>
      <c r="AF82" s="72"/>
      <c r="AG82" s="72"/>
      <c r="AH82" s="72"/>
      <c r="AI82" s="72"/>
      <c r="AJ82" s="72"/>
      <c r="AK82" s="72"/>
      <c r="AL82" s="72"/>
      <c r="AM82" s="72"/>
      <c r="AN82" s="72"/>
      <c r="AO82" s="72"/>
      <c r="AP82" s="72"/>
      <c r="AQ82" s="72"/>
      <c r="AR82" s="72"/>
      <c r="AS82" s="72"/>
      <c r="AT82" s="61"/>
      <c r="AU82" s="110"/>
    </row>
    <row r="83" spans="2:50" ht="12.75" customHeight="1" x14ac:dyDescent="0.2">
      <c r="B83" s="60"/>
      <c r="C83" s="60"/>
      <c r="D83" s="72"/>
      <c r="E83" s="72"/>
      <c r="F83" s="72"/>
      <c r="G83" s="72"/>
      <c r="H83" s="72"/>
      <c r="I83" s="72"/>
      <c r="J83" s="72"/>
      <c r="K83" s="72"/>
      <c r="L83" s="72"/>
      <c r="M83" s="72"/>
      <c r="N83" s="72"/>
      <c r="O83" s="72"/>
      <c r="P83" s="72"/>
      <c r="Q83" s="72"/>
      <c r="R83" s="72"/>
      <c r="S83" s="72"/>
      <c r="T83" s="72"/>
      <c r="U83" s="72"/>
      <c r="V83" s="72"/>
      <c r="W83" s="72"/>
      <c r="X83" s="72"/>
      <c r="Y83" s="72"/>
      <c r="Z83" s="72"/>
      <c r="AA83" s="72"/>
      <c r="AB83" s="118"/>
      <c r="AC83" s="72"/>
      <c r="AD83" s="114"/>
      <c r="AE83" s="116" t="str">
        <f>'Sprachen &amp; Rückgabewerte'!$H$87</f>
        <v>Logistik:</v>
      </c>
      <c r="AF83" s="116"/>
      <c r="AG83" s="115"/>
      <c r="AH83" s="115"/>
      <c r="AI83" s="115"/>
      <c r="AJ83" s="115"/>
      <c r="AK83" s="115"/>
      <c r="AL83" s="115"/>
      <c r="AM83" s="115"/>
      <c r="AN83" s="116" t="str">
        <f>'Sprachen &amp; Rückgabewerte'!$H$49</f>
        <v>Zubehör:</v>
      </c>
      <c r="AO83" s="115"/>
      <c r="AP83" s="115"/>
      <c r="AQ83" s="115"/>
      <c r="AR83" s="115"/>
      <c r="AS83" s="115"/>
      <c r="AT83" s="109"/>
      <c r="AU83" s="110"/>
    </row>
    <row r="84" spans="2:50" ht="12.75" customHeight="1" x14ac:dyDescent="0.2">
      <c r="B84" s="60"/>
      <c r="C84" s="60"/>
      <c r="D84" s="72"/>
      <c r="E84" s="72"/>
      <c r="F84" s="72"/>
      <c r="G84" s="72"/>
      <c r="H84" s="73" t="str">
        <f>'Sprachen &amp; Rückgabewerte'!$B$45</f>
        <v>321801/321801</v>
      </c>
      <c r="I84" s="72"/>
      <c r="J84" s="72"/>
      <c r="K84" s="72"/>
      <c r="L84" s="72"/>
      <c r="M84" s="72"/>
      <c r="N84" s="61"/>
      <c r="O84" s="73" t="str">
        <f>'Sprachen &amp; Rückgabewerte'!$B$46</f>
        <v>321801/322201</v>
      </c>
      <c r="P84" s="72"/>
      <c r="Q84" s="72"/>
      <c r="R84" s="72"/>
      <c r="S84" s="72"/>
      <c r="T84" s="72"/>
      <c r="U84" s="61"/>
      <c r="V84" s="73" t="str">
        <f>'Sprachen &amp; Rückgabewerte'!$B$47</f>
        <v>322201/322201</v>
      </c>
      <c r="W84" s="72"/>
      <c r="X84" s="72"/>
      <c r="Y84" s="72"/>
      <c r="Z84" s="72"/>
      <c r="AA84" s="72"/>
      <c r="AB84" s="118"/>
      <c r="AC84" s="72"/>
      <c r="AD84" s="117"/>
      <c r="AE84" s="550"/>
      <c r="AF84" s="614"/>
      <c r="AG84" s="614"/>
      <c r="AH84" s="614"/>
      <c r="AI84" s="614"/>
      <c r="AJ84" s="614"/>
      <c r="AK84" s="614"/>
      <c r="AL84" s="551"/>
      <c r="AM84" s="72"/>
      <c r="AN84" s="72"/>
      <c r="AO84" s="72" t="str">
        <f>'Sprachen &amp; Rückgabewerte'!$H$50</f>
        <v>Rinne (siehe unten)</v>
      </c>
      <c r="AP84" s="72"/>
      <c r="AQ84" s="72"/>
      <c r="AR84" s="72"/>
      <c r="AS84" s="72"/>
      <c r="AT84" s="110"/>
      <c r="AU84" s="199"/>
      <c r="AV84" s="199"/>
    </row>
    <row r="85" spans="2:50" ht="12.75" customHeight="1" x14ac:dyDescent="0.2">
      <c r="B85" s="60"/>
      <c r="C85" s="60"/>
      <c r="D85" s="72"/>
      <c r="E85" s="72"/>
      <c r="F85" s="72"/>
      <c r="G85" s="72"/>
      <c r="H85" s="699"/>
      <c r="I85" s="700"/>
      <c r="J85" s="700"/>
      <c r="K85" s="701"/>
      <c r="L85" s="72"/>
      <c r="M85" s="72"/>
      <c r="N85" s="72"/>
      <c r="O85" s="699"/>
      <c r="P85" s="700"/>
      <c r="Q85" s="700"/>
      <c r="R85" s="701"/>
      <c r="S85" s="72"/>
      <c r="T85" s="72"/>
      <c r="U85" s="72"/>
      <c r="V85" s="699"/>
      <c r="W85" s="700"/>
      <c r="X85" s="700"/>
      <c r="Y85" s="701"/>
      <c r="Z85" s="72"/>
      <c r="AA85" s="72"/>
      <c r="AB85" s="118"/>
      <c r="AC85" s="72"/>
      <c r="AD85" s="117"/>
      <c r="AE85" s="615"/>
      <c r="AF85" s="615"/>
      <c r="AG85" s="615"/>
      <c r="AH85" s="615"/>
      <c r="AI85" s="615"/>
      <c r="AJ85" s="615"/>
      <c r="AK85" s="615"/>
      <c r="AL85" s="615"/>
      <c r="AM85" s="72"/>
      <c r="AN85" s="72"/>
      <c r="AO85" s="72" t="str">
        <f>'Sprachen &amp; Rückgabewerte'!$H$51</f>
        <v>Wetterschenkel</v>
      </c>
      <c r="AP85" s="72"/>
      <c r="AQ85" s="72"/>
      <c r="AR85" s="72"/>
      <c r="AS85" s="72"/>
      <c r="AT85" s="110"/>
      <c r="AU85" s="110"/>
      <c r="AV85" s="220"/>
    </row>
    <row r="86" spans="2:50" ht="12.75" customHeight="1" x14ac:dyDescent="0.2">
      <c r="B86" s="60"/>
      <c r="C86" s="60"/>
      <c r="D86" s="61"/>
      <c r="E86" s="61"/>
      <c r="F86" s="61"/>
      <c r="G86" s="61"/>
      <c r="H86" s="61"/>
      <c r="I86" s="61"/>
      <c r="J86" s="61"/>
      <c r="K86" s="61"/>
      <c r="L86" s="61"/>
      <c r="M86" s="61"/>
      <c r="N86" s="61"/>
      <c r="O86" s="61"/>
      <c r="P86" s="61"/>
      <c r="Q86" s="61"/>
      <c r="R86" s="61"/>
      <c r="S86" s="61"/>
      <c r="T86" s="61"/>
      <c r="U86" s="61"/>
      <c r="V86" s="61"/>
      <c r="W86" s="61"/>
      <c r="X86" s="61"/>
      <c r="Y86" s="61"/>
      <c r="Z86" s="61"/>
      <c r="AA86" s="61"/>
      <c r="AB86" s="110"/>
      <c r="AC86" s="61"/>
      <c r="AD86" s="60"/>
      <c r="AE86" s="61"/>
      <c r="AF86" s="61"/>
      <c r="AG86" s="61"/>
      <c r="AH86" s="61"/>
      <c r="AI86" s="61"/>
      <c r="AJ86" s="61"/>
      <c r="AK86" s="61"/>
      <c r="AL86" s="61"/>
      <c r="AM86" s="61"/>
      <c r="AN86" s="61"/>
      <c r="AO86" s="61" t="str">
        <f>IF('Sprachen &amp; Rückgabewerte'!$I$51=TRUE,"L=","")</f>
        <v/>
      </c>
      <c r="AP86" s="605"/>
      <c r="AQ86" s="605"/>
      <c r="AR86" s="605"/>
      <c r="AS86" s="61" t="str">
        <f>IF('Sprachen &amp; Rückgabewerte'!$I$51=TRUE,"mm","")</f>
        <v/>
      </c>
      <c r="AT86" s="110"/>
      <c r="AU86" s="110"/>
      <c r="AV86" s="220"/>
    </row>
    <row r="87" spans="2:50" ht="12.75" customHeight="1" x14ac:dyDescent="0.2">
      <c r="B87" s="60"/>
      <c r="C87" s="60"/>
      <c r="D87" s="61"/>
      <c r="E87" s="61"/>
      <c r="F87" s="61"/>
      <c r="G87" s="61"/>
      <c r="H87" s="61"/>
      <c r="I87" s="61"/>
      <c r="J87" s="61"/>
      <c r="K87" s="61"/>
      <c r="L87" s="61"/>
      <c r="M87" s="61"/>
      <c r="N87" s="61"/>
      <c r="O87" s="61"/>
      <c r="P87" s="61"/>
      <c r="Q87" s="61"/>
      <c r="R87" s="61"/>
      <c r="S87" s="61"/>
      <c r="T87" s="61"/>
      <c r="U87" s="61"/>
      <c r="V87" s="61"/>
      <c r="W87" s="61"/>
      <c r="X87" s="61"/>
      <c r="Y87" s="61"/>
      <c r="Z87" s="712" t="str">
        <f>'Sprachen &amp; Rückgabewerte'!$H$118</f>
        <v>Standard (RC2 in Anlehnung)</v>
      </c>
      <c r="AA87" s="712"/>
      <c r="AB87" s="713"/>
      <c r="AC87" s="61"/>
      <c r="AD87" s="60"/>
      <c r="AE87" s="313" t="str">
        <f>'Sprachen &amp; Rückgabewerte'!$H$47</f>
        <v>Windlast:</v>
      </c>
      <c r="AF87" s="81"/>
      <c r="AG87" s="149"/>
      <c r="AH87" s="61"/>
      <c r="AI87" s="61"/>
      <c r="AJ87" s="61"/>
      <c r="AK87" s="61"/>
      <c r="AL87" s="61"/>
      <c r="AM87" s="583"/>
      <c r="AN87" s="584"/>
      <c r="AO87" s="585"/>
      <c r="AP87" s="314" t="s">
        <v>704</v>
      </c>
      <c r="AS87" s="178"/>
      <c r="AT87" s="110"/>
      <c r="AU87" s="110"/>
      <c r="AV87" s="220"/>
    </row>
    <row r="88" spans="2:50" ht="12.75" customHeight="1" x14ac:dyDescent="0.2">
      <c r="B88" s="60"/>
      <c r="C88" s="60"/>
      <c r="D88" s="61"/>
      <c r="E88" s="61"/>
      <c r="F88" s="61"/>
      <c r="G88" s="61"/>
      <c r="H88" s="61"/>
      <c r="I88" s="61"/>
      <c r="J88" s="61"/>
      <c r="K88" s="61"/>
      <c r="L88" s="61"/>
      <c r="M88" s="61"/>
      <c r="N88" s="61"/>
      <c r="O88" s="61"/>
      <c r="P88" s="61"/>
      <c r="Q88" s="61"/>
      <c r="R88" s="61"/>
      <c r="S88" s="61"/>
      <c r="T88" s="61"/>
      <c r="U88" s="61"/>
      <c r="V88" s="61"/>
      <c r="W88" s="61"/>
      <c r="X88" s="61"/>
      <c r="Y88" s="61"/>
      <c r="Z88" s="712"/>
      <c r="AA88" s="712"/>
      <c r="AB88" s="713"/>
      <c r="AC88" s="61"/>
      <c r="AD88" s="60"/>
      <c r="AE88" s="182" t="str">
        <f>'Sprachen &amp; Rückgabewerte'!$H$90</f>
        <v>Wunschtermin:</v>
      </c>
      <c r="AF88" s="312"/>
      <c r="AG88" s="312"/>
      <c r="AH88" s="312"/>
      <c r="AI88" s="312"/>
      <c r="AJ88" s="312"/>
      <c r="AK88" s="312"/>
      <c r="AL88" s="312"/>
      <c r="AM88" s="578"/>
      <c r="AN88" s="579"/>
      <c r="AO88" s="579"/>
      <c r="AP88" s="580"/>
      <c r="AQ88" s="580"/>
      <c r="AR88" s="581"/>
      <c r="AS88" s="312"/>
      <c r="AT88" s="110"/>
      <c r="AU88" s="110"/>
      <c r="AV88" s="220"/>
    </row>
    <row r="89" spans="2:50" ht="12.75" customHeight="1" x14ac:dyDescent="0.2">
      <c r="B89" s="60"/>
      <c r="C89" s="60"/>
      <c r="D89" s="61"/>
      <c r="E89" s="61"/>
      <c r="F89" s="61"/>
      <c r="G89" s="61"/>
      <c r="H89" s="61"/>
      <c r="I89" s="61"/>
      <c r="J89" s="61"/>
      <c r="K89" s="61"/>
      <c r="L89" s="61"/>
      <c r="M89" s="61"/>
      <c r="N89" s="61"/>
      <c r="O89" s="61"/>
      <c r="P89" s="61"/>
      <c r="Q89" s="61"/>
      <c r="R89" s="61"/>
      <c r="S89" s="61"/>
      <c r="T89" s="61"/>
      <c r="U89" s="61"/>
      <c r="V89" s="61"/>
      <c r="W89" s="61"/>
      <c r="X89" s="61"/>
      <c r="Y89" s="61"/>
      <c r="Z89" s="712"/>
      <c r="AA89" s="712"/>
      <c r="AB89" s="713"/>
      <c r="AC89" s="61"/>
      <c r="AD89" s="60"/>
      <c r="AF89" s="312"/>
      <c r="AG89" s="312"/>
      <c r="AH89" s="312"/>
      <c r="AI89" s="312"/>
      <c r="AJ89" s="312"/>
      <c r="AK89" s="312"/>
      <c r="AL89" s="312"/>
      <c r="AS89" s="312"/>
      <c r="AT89" s="110"/>
      <c r="AU89" s="110"/>
      <c r="AV89" s="220"/>
    </row>
    <row r="90" spans="2:50" ht="12.75" customHeight="1" x14ac:dyDescent="0.2">
      <c r="B90" s="60"/>
      <c r="C90" s="60"/>
      <c r="D90" s="61"/>
      <c r="E90" s="61"/>
      <c r="F90" s="61"/>
      <c r="G90" s="61"/>
      <c r="H90" s="61"/>
      <c r="I90" s="61"/>
      <c r="J90" s="61"/>
      <c r="K90" s="61"/>
      <c r="L90" s="61"/>
      <c r="M90" s="61"/>
      <c r="N90" s="61"/>
      <c r="O90" s="61"/>
      <c r="P90" s="61"/>
      <c r="Q90" s="61"/>
      <c r="R90" s="61"/>
      <c r="S90" s="61"/>
      <c r="T90" s="61"/>
      <c r="U90" s="61"/>
      <c r="V90" s="150" t="str">
        <f>'Sprachen &amp; Rückgabewerte'!$H$116</f>
        <v>Ganzglas-Ecke</v>
      </c>
      <c r="W90" s="61"/>
      <c r="X90" s="61"/>
      <c r="Y90" s="61"/>
      <c r="Z90" s="61"/>
      <c r="AA90" s="61"/>
      <c r="AB90" s="110"/>
      <c r="AC90" s="61"/>
      <c r="AD90" s="60"/>
      <c r="AE90" s="582" t="str">
        <f>'Sprachen &amp; Rückgabewerte'!$H$102</f>
        <v>Diese Bestellung ist verbindlich und muss komplett ausgefüllt werden. Änderungen werden als Mehraufwand verrechnet.</v>
      </c>
      <c r="AF90" s="582"/>
      <c r="AG90" s="582"/>
      <c r="AH90" s="582"/>
      <c r="AI90" s="582"/>
      <c r="AJ90" s="582"/>
      <c r="AK90" s="582"/>
      <c r="AL90" s="582"/>
      <c r="AM90" s="582"/>
      <c r="AN90" s="582"/>
      <c r="AO90" s="582"/>
      <c r="AP90" s="582"/>
      <c r="AQ90" s="582"/>
      <c r="AR90" s="582"/>
      <c r="AS90" s="582"/>
      <c r="AT90" s="110"/>
      <c r="AU90" s="110"/>
      <c r="AV90" s="220"/>
    </row>
    <row r="91" spans="2:50" ht="12.75" customHeight="1" x14ac:dyDescent="0.2">
      <c r="B91" s="60"/>
      <c r="C91" s="60"/>
      <c r="D91" s="61"/>
      <c r="E91" s="61"/>
      <c r="F91" s="61"/>
      <c r="G91" s="61"/>
      <c r="H91" s="61"/>
      <c r="I91" s="61"/>
      <c r="J91" s="61"/>
      <c r="K91" s="61"/>
      <c r="L91" s="61"/>
      <c r="M91" s="61"/>
      <c r="N91" s="61"/>
      <c r="O91" s="61"/>
      <c r="P91" s="61"/>
      <c r="Q91" s="61"/>
      <c r="R91" s="61"/>
      <c r="S91" s="61"/>
      <c r="T91" s="61"/>
      <c r="U91" s="61"/>
      <c r="V91" s="61"/>
      <c r="W91" s="61"/>
      <c r="X91" s="61"/>
      <c r="Y91" s="61"/>
      <c r="Z91" s="714" t="str">
        <f>'Sprachen &amp; Rückgabewerte'!$H$119</f>
        <v>RC2 mit Blech</v>
      </c>
      <c r="AA91" s="714"/>
      <c r="AB91" s="715"/>
      <c r="AC91" s="61"/>
      <c r="AD91" s="60"/>
      <c r="AE91" s="582"/>
      <c r="AF91" s="582"/>
      <c r="AG91" s="582"/>
      <c r="AH91" s="582"/>
      <c r="AI91" s="582"/>
      <c r="AJ91" s="582"/>
      <c r="AK91" s="582"/>
      <c r="AL91" s="582"/>
      <c r="AM91" s="582"/>
      <c r="AN91" s="582"/>
      <c r="AO91" s="582"/>
      <c r="AP91" s="582"/>
      <c r="AQ91" s="582"/>
      <c r="AR91" s="582"/>
      <c r="AS91" s="582"/>
      <c r="AT91" s="110"/>
      <c r="AU91" s="110"/>
      <c r="AV91" s="220"/>
    </row>
    <row r="92" spans="2:50" ht="12.75" customHeight="1" x14ac:dyDescent="0.2">
      <c r="B92" s="60"/>
      <c r="C92" s="60"/>
      <c r="D92" s="61"/>
      <c r="E92" s="61"/>
      <c r="F92" s="61"/>
      <c r="G92" s="61"/>
      <c r="H92" s="61"/>
      <c r="I92" s="61"/>
      <c r="J92" s="61"/>
      <c r="K92" s="61"/>
      <c r="L92" s="61"/>
      <c r="M92" s="61"/>
      <c r="N92" s="61"/>
      <c r="O92" s="61"/>
      <c r="P92" s="61"/>
      <c r="Q92" s="61"/>
      <c r="R92" s="61"/>
      <c r="S92" s="61"/>
      <c r="T92" s="61"/>
      <c r="U92" s="61"/>
      <c r="V92" s="61"/>
      <c r="W92" s="61"/>
      <c r="X92" s="61"/>
      <c r="Y92" s="61"/>
      <c r="Z92" s="714"/>
      <c r="AA92" s="714"/>
      <c r="AB92" s="715"/>
      <c r="AC92" s="61"/>
      <c r="AD92" s="60"/>
      <c r="AE92" s="582"/>
      <c r="AF92" s="582"/>
      <c r="AG92" s="582"/>
      <c r="AH92" s="582"/>
      <c r="AI92" s="582"/>
      <c r="AJ92" s="582"/>
      <c r="AK92" s="582"/>
      <c r="AL92" s="582"/>
      <c r="AM92" s="582"/>
      <c r="AN92" s="582"/>
      <c r="AO92" s="582"/>
      <c r="AP92" s="582"/>
      <c r="AQ92" s="582"/>
      <c r="AR92" s="582"/>
      <c r="AS92" s="582"/>
      <c r="AT92" s="110"/>
      <c r="AU92" s="110"/>
      <c r="AV92" s="220"/>
    </row>
    <row r="93" spans="2:50" ht="12.75" customHeight="1" x14ac:dyDescent="0.2">
      <c r="B93" s="60"/>
      <c r="C93" s="60"/>
      <c r="D93" s="61"/>
      <c r="E93" s="61"/>
      <c r="F93" s="61"/>
      <c r="G93" s="61"/>
      <c r="H93" s="61"/>
      <c r="I93" s="61"/>
      <c r="J93" s="61"/>
      <c r="K93" s="61"/>
      <c r="L93" s="61"/>
      <c r="M93" s="61"/>
      <c r="N93" s="61"/>
      <c r="O93" s="61"/>
      <c r="P93" s="61"/>
      <c r="Q93" s="61"/>
      <c r="R93" s="61"/>
      <c r="S93" s="61"/>
      <c r="T93" s="61"/>
      <c r="U93" s="61"/>
      <c r="V93" s="61"/>
      <c r="W93" s="61"/>
      <c r="X93" s="61"/>
      <c r="Y93" s="61"/>
      <c r="Z93" s="714"/>
      <c r="AA93" s="714"/>
      <c r="AB93" s="715"/>
      <c r="AC93" s="61"/>
      <c r="AD93" s="68"/>
      <c r="AE93" s="84"/>
      <c r="AF93" s="84"/>
      <c r="AG93" s="84"/>
      <c r="AH93" s="84"/>
      <c r="AI93" s="84"/>
      <c r="AJ93" s="84"/>
      <c r="AK93" s="84"/>
      <c r="AL93" s="84"/>
      <c r="AM93" s="84"/>
      <c r="AN93" s="84"/>
      <c r="AO93" s="84"/>
      <c r="AP93" s="84"/>
      <c r="AQ93" s="84"/>
      <c r="AR93" s="84"/>
      <c r="AS93" s="84"/>
      <c r="AT93" s="111"/>
      <c r="AU93" s="110"/>
      <c r="AV93" s="220"/>
    </row>
    <row r="94" spans="2:50" ht="12.75" customHeight="1" x14ac:dyDescent="0.2">
      <c r="B94" s="60"/>
      <c r="C94" s="60"/>
      <c r="D94" s="61"/>
      <c r="E94" s="61"/>
      <c r="F94" s="61"/>
      <c r="G94" s="61"/>
      <c r="H94" s="61"/>
      <c r="I94" s="61"/>
      <c r="J94" s="61"/>
      <c r="K94" s="61"/>
      <c r="L94" s="61"/>
      <c r="M94" s="61"/>
      <c r="N94" s="61"/>
      <c r="O94" s="61"/>
      <c r="P94" s="61"/>
      <c r="Q94" s="61"/>
      <c r="R94" s="61"/>
      <c r="S94" s="61"/>
      <c r="T94" s="61"/>
      <c r="U94" s="61"/>
      <c r="V94" s="61"/>
      <c r="W94" s="61"/>
      <c r="X94" s="61"/>
      <c r="Y94" s="61"/>
      <c r="Z94" s="61"/>
      <c r="AA94" s="61"/>
      <c r="AB94" s="110"/>
      <c r="AC94" s="61"/>
      <c r="AD94" s="61"/>
      <c r="AE94" s="61"/>
      <c r="AF94" s="61"/>
      <c r="AG94" s="61"/>
      <c r="AH94" s="61"/>
      <c r="AI94" s="61"/>
      <c r="AJ94" s="61"/>
      <c r="AK94" s="72"/>
      <c r="AL94" s="72"/>
      <c r="AM94" s="72"/>
      <c r="AN94" s="72"/>
      <c r="AO94" s="72"/>
      <c r="AP94" s="72"/>
      <c r="AQ94" s="72"/>
      <c r="AR94" s="61"/>
      <c r="AS94" s="61"/>
      <c r="AT94" s="61"/>
      <c r="AU94" s="110"/>
      <c r="AV94" s="220"/>
    </row>
    <row r="95" spans="2:50" ht="12.75" customHeight="1" x14ac:dyDescent="0.2">
      <c r="B95" s="60"/>
      <c r="C95" s="60"/>
      <c r="D95" s="61"/>
      <c r="E95" s="61"/>
      <c r="F95" s="61"/>
      <c r="G95" s="61"/>
      <c r="H95" s="150" t="str">
        <f>'Sprachen &amp; Rückgabewerte'!$B$48</f>
        <v>310101/310301</v>
      </c>
      <c r="I95" s="61"/>
      <c r="J95" s="61"/>
      <c r="K95" s="61"/>
      <c r="L95" s="61"/>
      <c r="M95" s="61"/>
      <c r="N95" s="61"/>
      <c r="O95" s="150" t="str">
        <f>'Sprachen &amp; Rückgabewerte'!$B$49</f>
        <v>310101/310501</v>
      </c>
      <c r="P95" s="61"/>
      <c r="Q95" s="61"/>
      <c r="R95" s="61"/>
      <c r="S95" s="61"/>
      <c r="T95" s="61"/>
      <c r="U95" s="61"/>
      <c r="W95" s="61"/>
      <c r="X95" s="61"/>
      <c r="Y95" s="61"/>
      <c r="Z95" s="61"/>
      <c r="AA95" s="61"/>
      <c r="AB95" s="110"/>
      <c r="AC95" s="61"/>
      <c r="AD95" s="107"/>
      <c r="AE95" s="115"/>
      <c r="AF95" s="115"/>
      <c r="AG95" s="115"/>
      <c r="AH95" s="115"/>
      <c r="AI95" s="115"/>
      <c r="AJ95" s="115"/>
      <c r="AK95" s="115"/>
      <c r="AL95" s="115"/>
      <c r="AM95" s="115"/>
      <c r="AN95" s="115"/>
      <c r="AO95" s="115"/>
      <c r="AP95" s="115"/>
      <c r="AQ95" s="115"/>
      <c r="AR95" s="115"/>
      <c r="AS95" s="115"/>
      <c r="AT95" s="409"/>
      <c r="AU95" s="110"/>
      <c r="AV95" s="220"/>
      <c r="AW95" s="411" t="str">
        <f>IF(OR(AQ96="",AQ96='Sprachen &amp; Rückgabewerte'!H96),"",'Sprachen &amp; Rückgabewerte'!H182)</f>
        <v/>
      </c>
    </row>
    <row r="96" spans="2:50" ht="12.75" customHeight="1" x14ac:dyDescent="0.2">
      <c r="B96" s="60"/>
      <c r="C96" s="60"/>
      <c r="D96" s="61"/>
      <c r="E96" s="61"/>
      <c r="F96" s="61"/>
      <c r="G96" s="61"/>
      <c r="H96" s="699"/>
      <c r="I96" s="700"/>
      <c r="J96" s="700"/>
      <c r="K96" s="701"/>
      <c r="L96" s="61"/>
      <c r="M96" s="61"/>
      <c r="N96" s="61"/>
      <c r="O96" s="711"/>
      <c r="P96" s="711"/>
      <c r="Q96" s="711"/>
      <c r="R96" s="711"/>
      <c r="S96" s="61"/>
      <c r="T96" s="61"/>
      <c r="U96" s="61"/>
      <c r="V96" s="150" t="str">
        <f>'Sprachen &amp; Rückgabewerte'!$H$117</f>
        <v>Ecke RC2 (WK2)</v>
      </c>
      <c r="W96" s="61"/>
      <c r="X96" s="61"/>
      <c r="Y96" s="61"/>
      <c r="Z96" s="61"/>
      <c r="AA96" s="61"/>
      <c r="AB96" s="110"/>
      <c r="AC96" s="61"/>
      <c r="AD96" s="60"/>
      <c r="AE96" s="73" t="str">
        <f>'Sprachen &amp; Rückgabewerte'!H181</f>
        <v>Sky-Frame Beratung vorhanden:</v>
      </c>
      <c r="AF96" s="72"/>
      <c r="AG96" s="72"/>
      <c r="AH96" s="72"/>
      <c r="AI96" s="72"/>
      <c r="AJ96" s="72"/>
      <c r="AK96" s="72"/>
      <c r="AL96" s="72"/>
      <c r="AM96" s="72"/>
      <c r="AN96" s="72"/>
      <c r="AO96" s="72"/>
      <c r="AP96" s="72"/>
      <c r="AQ96" s="594"/>
      <c r="AR96" s="595"/>
      <c r="AS96" s="412"/>
      <c r="AT96" s="410"/>
      <c r="AU96" s="111"/>
      <c r="AV96" s="413"/>
      <c r="AW96" s="596"/>
      <c r="AX96" s="597"/>
    </row>
    <row r="97" spans="2:48" ht="12.75" customHeight="1" x14ac:dyDescent="0.2">
      <c r="B97" s="60"/>
      <c r="C97" s="68"/>
      <c r="D97" s="84"/>
      <c r="E97" s="84"/>
      <c r="F97" s="84"/>
      <c r="G97" s="84"/>
      <c r="H97" s="84"/>
      <c r="I97" s="84"/>
      <c r="J97" s="84"/>
      <c r="K97" s="84"/>
      <c r="L97" s="84"/>
      <c r="M97" s="84"/>
      <c r="N97" s="84"/>
      <c r="O97" s="84"/>
      <c r="P97" s="84"/>
      <c r="Q97" s="84"/>
      <c r="R97" s="84"/>
      <c r="S97" s="84"/>
      <c r="T97" s="84"/>
      <c r="U97" s="84"/>
      <c r="V97" s="560"/>
      <c r="W97" s="561"/>
      <c r="X97" s="561"/>
      <c r="Y97" s="562"/>
      <c r="Z97" s="84"/>
      <c r="AA97" s="84"/>
      <c r="AB97" s="111"/>
      <c r="AC97" s="61"/>
      <c r="AD97" s="68"/>
      <c r="AE97" s="120"/>
      <c r="AF97" s="120"/>
      <c r="AG97" s="120"/>
      <c r="AH97" s="120"/>
      <c r="AI97" s="120"/>
      <c r="AJ97" s="120"/>
      <c r="AK97" s="120"/>
      <c r="AL97" s="120"/>
      <c r="AM97" s="120"/>
      <c r="AN97" s="120"/>
      <c r="AO97" s="120"/>
      <c r="AP97" s="120"/>
      <c r="AQ97" s="120"/>
      <c r="AR97" s="120"/>
      <c r="AS97" s="120"/>
      <c r="AT97" s="410"/>
      <c r="AU97" s="110"/>
      <c r="AV97" s="220"/>
    </row>
    <row r="98" spans="2:48" ht="19.5" customHeight="1" x14ac:dyDescent="0.2">
      <c r="B98" s="68"/>
      <c r="C98" s="710" t="s">
        <v>935</v>
      </c>
      <c r="D98" s="710"/>
      <c r="E98" s="710"/>
      <c r="F98" s="710"/>
      <c r="G98" s="710"/>
      <c r="H98" s="710"/>
      <c r="I98" s="710"/>
      <c r="J98" s="710"/>
      <c r="K98" s="710"/>
      <c r="L98" s="710"/>
      <c r="M98" s="710"/>
      <c r="N98" s="710"/>
      <c r="O98" s="710"/>
      <c r="P98" s="710"/>
      <c r="Q98" s="710"/>
      <c r="R98" s="710"/>
      <c r="S98" s="710"/>
      <c r="T98" s="710"/>
      <c r="U98" s="710"/>
      <c r="V98" s="710"/>
      <c r="W98" s="710"/>
      <c r="X98" s="710"/>
      <c r="Y98" s="710"/>
      <c r="Z98" s="710"/>
      <c r="AA98" s="710"/>
      <c r="AB98" s="710"/>
      <c r="AC98" s="710"/>
      <c r="AD98" s="710"/>
      <c r="AE98" s="710"/>
      <c r="AF98" s="710"/>
      <c r="AG98" s="710"/>
      <c r="AH98" s="710"/>
      <c r="AI98" s="710"/>
      <c r="AJ98" s="710"/>
      <c r="AK98" s="710"/>
      <c r="AL98" s="710"/>
      <c r="AM98" s="710"/>
      <c r="AN98" s="710"/>
      <c r="AO98" s="710"/>
      <c r="AP98" s="84"/>
      <c r="AQ98" s="84"/>
      <c r="AR98" s="84"/>
      <c r="AS98" s="84"/>
      <c r="AT98" s="152" t="s">
        <v>932</v>
      </c>
      <c r="AU98" s="111"/>
      <c r="AV98" s="220"/>
    </row>
    <row r="99" spans="2:48" ht="19.5" customHeight="1" x14ac:dyDescent="0.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247"/>
      <c r="AU99" s="61"/>
      <c r="AV99" s="110"/>
    </row>
    <row r="100" spans="2:48" x14ac:dyDescent="0.2">
      <c r="AV100" s="111"/>
    </row>
    <row r="101" spans="2:48" ht="13.5" thickBot="1" x14ac:dyDescent="0.25">
      <c r="B101" s="107"/>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109"/>
    </row>
    <row r="102" spans="2:48" ht="16.5" thickTop="1" x14ac:dyDescent="0.25">
      <c r="B102" s="60"/>
      <c r="C102" s="107"/>
      <c r="D102" s="82"/>
      <c r="E102" s="265" t="str">
        <f>'Sprachen &amp; Rückgabewerte'!$H$138</f>
        <v>Rinnenbestellung</v>
      </c>
      <c r="F102" s="82"/>
      <c r="G102" s="82"/>
      <c r="H102" s="82"/>
      <c r="I102" s="82"/>
      <c r="J102" s="82"/>
      <c r="K102" s="82"/>
      <c r="L102" s="82"/>
      <c r="M102" s="82"/>
      <c r="N102" s="82"/>
      <c r="O102" s="82"/>
      <c r="P102" s="82"/>
      <c r="Q102" s="82"/>
      <c r="R102" s="82"/>
      <c r="S102" s="82"/>
      <c r="T102" s="82"/>
      <c r="U102" s="82"/>
      <c r="V102" s="82"/>
      <c r="W102" s="82"/>
      <c r="X102" s="82"/>
      <c r="Y102" s="82"/>
      <c r="Z102" s="109"/>
      <c r="AA102" s="61"/>
      <c r="AB102" s="232"/>
      <c r="AC102" s="233"/>
      <c r="AD102" s="233"/>
      <c r="AE102" s="233"/>
      <c r="AF102" s="248"/>
      <c r="AG102" s="249"/>
      <c r="AH102" s="252"/>
      <c r="AI102" s="248"/>
      <c r="AJ102" s="248"/>
      <c r="AK102" s="248"/>
      <c r="AL102" s="248"/>
      <c r="AM102" s="249"/>
      <c r="AN102" s="252"/>
      <c r="AO102" s="248"/>
      <c r="AP102" s="248"/>
      <c r="AQ102" s="248"/>
      <c r="AR102" s="248"/>
      <c r="AS102" s="248"/>
      <c r="AT102" s="249"/>
      <c r="AU102" s="110"/>
    </row>
    <row r="103" spans="2:48" x14ac:dyDescent="0.2">
      <c r="B103" s="60"/>
      <c r="C103" s="60"/>
      <c r="D103" s="61"/>
      <c r="E103" s="61"/>
      <c r="F103" s="61"/>
      <c r="G103" s="61"/>
      <c r="H103" s="61"/>
      <c r="I103" s="61"/>
      <c r="J103" s="61"/>
      <c r="K103" s="61"/>
      <c r="L103" s="61"/>
      <c r="M103" s="61"/>
      <c r="N103" s="61"/>
      <c r="O103" s="61"/>
      <c r="P103" s="61"/>
      <c r="Q103" s="61"/>
      <c r="R103" s="61"/>
      <c r="S103" s="61"/>
      <c r="T103" s="61"/>
      <c r="U103" s="61"/>
      <c r="V103" s="61"/>
      <c r="W103" s="61"/>
      <c r="X103" s="61"/>
      <c r="Y103" s="61"/>
      <c r="Z103" s="110"/>
      <c r="AA103" s="61"/>
      <c r="AB103" s="235"/>
      <c r="AC103" s="61"/>
      <c r="AD103" s="61"/>
      <c r="AE103" s="61"/>
      <c r="AF103" s="127"/>
      <c r="AG103" s="250"/>
      <c r="AH103" s="253"/>
      <c r="AI103" s="127"/>
      <c r="AJ103" s="127"/>
      <c r="AK103" s="127"/>
      <c r="AL103" s="127"/>
      <c r="AM103" s="250"/>
      <c r="AN103" s="253"/>
      <c r="AO103" s="127"/>
      <c r="AP103" s="127"/>
      <c r="AQ103" s="127"/>
      <c r="AR103" s="127"/>
      <c r="AS103" s="127"/>
      <c r="AT103" s="250"/>
      <c r="AU103" s="128"/>
    </row>
    <row r="104" spans="2:48" ht="15" customHeight="1" x14ac:dyDescent="0.2">
      <c r="B104" s="60"/>
      <c r="C104" s="60"/>
      <c r="D104" s="61"/>
      <c r="E104" s="72" t="str">
        <f>'Sprachen &amp; Rückgabewerte'!$H$139</f>
        <v>Wahl des Rinnensystems:</v>
      </c>
      <c r="F104" s="61"/>
      <c r="G104" s="61"/>
      <c r="H104" s="61"/>
      <c r="I104" s="61"/>
      <c r="J104" s="61"/>
      <c r="K104" s="61"/>
      <c r="L104" s="61"/>
      <c r="M104" s="61"/>
      <c r="N104" s="61"/>
      <c r="O104" s="61"/>
      <c r="P104" s="61"/>
      <c r="Q104" s="61"/>
      <c r="R104" s="61"/>
      <c r="S104" s="61"/>
      <c r="T104" s="702"/>
      <c r="U104" s="703"/>
      <c r="V104" s="230"/>
      <c r="W104" s="230"/>
      <c r="X104" s="61"/>
      <c r="Y104" s="61"/>
      <c r="Z104" s="110"/>
      <c r="AB104" s="235"/>
      <c r="AC104" s="61"/>
      <c r="AD104" s="61"/>
      <c r="AE104" s="61"/>
      <c r="AF104" s="127"/>
      <c r="AG104" s="250"/>
      <c r="AH104" s="253"/>
      <c r="AI104" s="127"/>
      <c r="AJ104" s="127"/>
      <c r="AK104" s="127"/>
      <c r="AL104" s="127"/>
      <c r="AM104" s="250"/>
      <c r="AN104" s="253"/>
      <c r="AO104" s="127"/>
      <c r="AP104" s="127"/>
      <c r="AQ104" s="127"/>
      <c r="AR104" s="127"/>
      <c r="AS104" s="127"/>
      <c r="AT104" s="250"/>
      <c r="AU104" s="128"/>
    </row>
    <row r="105" spans="2:48" x14ac:dyDescent="0.2">
      <c r="B105" s="60"/>
      <c r="C105" s="60"/>
      <c r="D105" s="61"/>
      <c r="E105" s="61"/>
      <c r="F105" s="61"/>
      <c r="G105" s="61"/>
      <c r="H105" s="61"/>
      <c r="I105" s="61"/>
      <c r="J105" s="61"/>
      <c r="K105" s="61"/>
      <c r="L105" s="61"/>
      <c r="M105" s="61"/>
      <c r="N105" s="61"/>
      <c r="O105" s="61"/>
      <c r="P105" s="61"/>
      <c r="Q105" s="61"/>
      <c r="R105" s="61"/>
      <c r="S105" s="61"/>
      <c r="T105" s="61"/>
      <c r="U105" s="61"/>
      <c r="V105" s="61"/>
      <c r="W105" s="61"/>
      <c r="X105" s="61"/>
      <c r="Y105" s="61"/>
      <c r="Z105" s="110"/>
      <c r="AB105" s="235"/>
      <c r="AC105" s="61"/>
      <c r="AD105" s="61"/>
      <c r="AE105" s="61"/>
      <c r="AF105" s="127"/>
      <c r="AG105" s="250"/>
      <c r="AH105" s="253"/>
      <c r="AI105" s="127"/>
      <c r="AJ105" s="127"/>
      <c r="AK105" s="127"/>
      <c r="AL105" s="127"/>
      <c r="AM105" s="250"/>
      <c r="AN105" s="253"/>
      <c r="AO105" s="127"/>
      <c r="AP105" s="127"/>
      <c r="AQ105" s="127"/>
      <c r="AR105" s="127"/>
      <c r="AS105" s="127"/>
      <c r="AT105" s="250"/>
      <c r="AU105" s="128"/>
    </row>
    <row r="106" spans="2:48" ht="15" customHeight="1" x14ac:dyDescent="0.2">
      <c r="B106" s="60"/>
      <c r="C106" s="60"/>
      <c r="D106" s="61"/>
      <c r="E106" s="72" t="str">
        <f>'Sprachen &amp; Rückgabewerte'!$H$140</f>
        <v>Einzug an der linken Anlagenseite:</v>
      </c>
      <c r="F106" s="61"/>
      <c r="G106" s="61"/>
      <c r="H106" s="61"/>
      <c r="I106" s="61"/>
      <c r="J106" s="61"/>
      <c r="K106" s="61"/>
      <c r="L106" s="61"/>
      <c r="M106" s="61"/>
      <c r="N106" s="61"/>
      <c r="O106" s="61"/>
      <c r="P106" s="61"/>
      <c r="Q106" s="61"/>
      <c r="R106" s="61"/>
      <c r="S106" s="61"/>
      <c r="T106" s="704"/>
      <c r="U106" s="705"/>
      <c r="V106" s="61" t="s">
        <v>176</v>
      </c>
      <c r="W106" s="61"/>
      <c r="X106" s="61"/>
      <c r="Y106" s="61"/>
      <c r="Z106" s="110"/>
      <c r="AB106" s="235"/>
      <c r="AC106" s="61"/>
      <c r="AD106" s="61"/>
      <c r="AE106" s="61"/>
      <c r="AF106" s="127"/>
      <c r="AG106" s="250"/>
      <c r="AH106" s="253"/>
      <c r="AI106" s="127"/>
      <c r="AJ106" s="127"/>
      <c r="AK106" s="127"/>
      <c r="AL106" s="127"/>
      <c r="AM106" s="250"/>
      <c r="AN106" s="253"/>
      <c r="AO106" s="127"/>
      <c r="AP106" s="127"/>
      <c r="AQ106" s="127"/>
      <c r="AR106" s="127"/>
      <c r="AS106" s="127"/>
      <c r="AT106" s="250"/>
      <c r="AU106" s="128"/>
    </row>
    <row r="107" spans="2:48" x14ac:dyDescent="0.2">
      <c r="B107" s="60"/>
      <c r="C107" s="60"/>
      <c r="D107" s="61"/>
      <c r="E107" s="61"/>
      <c r="F107" s="61"/>
      <c r="G107" s="61"/>
      <c r="H107" s="61"/>
      <c r="I107" s="61"/>
      <c r="J107" s="61"/>
      <c r="K107" s="61"/>
      <c r="L107" s="61"/>
      <c r="M107" s="61"/>
      <c r="N107" s="61"/>
      <c r="O107" s="61"/>
      <c r="P107" s="61"/>
      <c r="Q107" s="61"/>
      <c r="R107" s="61"/>
      <c r="S107" s="61"/>
      <c r="T107" s="61"/>
      <c r="U107" s="61"/>
      <c r="V107" s="61"/>
      <c r="W107" s="61"/>
      <c r="X107" s="61"/>
      <c r="Y107" s="61"/>
      <c r="Z107" s="110"/>
      <c r="AB107" s="235"/>
      <c r="AC107" s="61"/>
      <c r="AD107" s="61"/>
      <c r="AE107" s="61"/>
      <c r="AF107" s="127"/>
      <c r="AG107" s="250"/>
      <c r="AH107" s="253"/>
      <c r="AI107" s="127"/>
      <c r="AJ107" s="127"/>
      <c r="AK107" s="127"/>
      <c r="AL107" s="127"/>
      <c r="AM107" s="250"/>
      <c r="AN107" s="253"/>
      <c r="AO107" s="127"/>
      <c r="AP107" s="127"/>
      <c r="AQ107" s="127"/>
      <c r="AR107" s="127"/>
      <c r="AS107" s="127"/>
      <c r="AT107" s="250"/>
      <c r="AU107" s="128"/>
    </row>
    <row r="108" spans="2:48" ht="15" customHeight="1" x14ac:dyDescent="0.2">
      <c r="B108" s="60"/>
      <c r="C108" s="60"/>
      <c r="D108" s="61"/>
      <c r="E108" s="72" t="str">
        <f>'Sprachen &amp; Rückgabewerte'!$H$141</f>
        <v>Einzug an der rechten Anlagenseite:</v>
      </c>
      <c r="F108" s="61"/>
      <c r="G108" s="61"/>
      <c r="H108" s="61"/>
      <c r="I108" s="61"/>
      <c r="J108" s="61"/>
      <c r="K108" s="61"/>
      <c r="L108" s="61"/>
      <c r="M108" s="61"/>
      <c r="N108" s="61"/>
      <c r="O108" s="61"/>
      <c r="P108" s="61"/>
      <c r="Q108" s="61"/>
      <c r="R108" s="61"/>
      <c r="S108" s="61"/>
      <c r="T108" s="704"/>
      <c r="U108" s="705"/>
      <c r="V108" s="61" t="s">
        <v>176</v>
      </c>
      <c r="W108" s="61"/>
      <c r="X108" s="61"/>
      <c r="Y108" s="61"/>
      <c r="Z108" s="110"/>
      <c r="AB108" s="235"/>
      <c r="AC108" s="61"/>
      <c r="AD108" s="61"/>
      <c r="AE108" s="61"/>
      <c r="AF108" s="127"/>
      <c r="AG108" s="250"/>
      <c r="AH108" s="253"/>
      <c r="AI108" s="127"/>
      <c r="AJ108" s="127"/>
      <c r="AK108" s="127"/>
      <c r="AL108" s="127"/>
      <c r="AM108" s="250"/>
      <c r="AN108" s="253"/>
      <c r="AO108" s="127"/>
      <c r="AP108" s="127"/>
      <c r="AQ108" s="127"/>
      <c r="AR108" s="127"/>
      <c r="AS108" s="127"/>
      <c r="AT108" s="250"/>
      <c r="AU108" s="128"/>
    </row>
    <row r="109" spans="2:48" x14ac:dyDescent="0.2">
      <c r="B109" s="60"/>
      <c r="C109" s="60"/>
      <c r="D109" s="61"/>
      <c r="E109" s="61"/>
      <c r="F109" s="61"/>
      <c r="G109" s="61"/>
      <c r="H109" s="61"/>
      <c r="I109" s="61"/>
      <c r="J109" s="61"/>
      <c r="K109" s="61"/>
      <c r="L109" s="61"/>
      <c r="M109" s="61"/>
      <c r="N109" s="61"/>
      <c r="O109" s="61"/>
      <c r="P109" s="61"/>
      <c r="Q109" s="61"/>
      <c r="R109" s="61"/>
      <c r="S109" s="61"/>
      <c r="T109" s="61"/>
      <c r="U109" s="61"/>
      <c r="V109" s="61"/>
      <c r="W109" s="61"/>
      <c r="X109" s="61"/>
      <c r="Y109" s="61"/>
      <c r="Z109" s="110"/>
      <c r="AB109" s="235"/>
      <c r="AC109" s="61"/>
      <c r="AD109" s="61"/>
      <c r="AE109" s="61"/>
      <c r="AF109" s="127"/>
      <c r="AG109" s="250"/>
      <c r="AH109" s="253"/>
      <c r="AI109" s="127"/>
      <c r="AJ109" s="127"/>
      <c r="AK109" s="127"/>
      <c r="AL109" s="127"/>
      <c r="AM109" s="250"/>
      <c r="AN109" s="253"/>
      <c r="AO109" s="127"/>
      <c r="AP109" s="127"/>
      <c r="AQ109" s="127"/>
      <c r="AR109" s="127"/>
      <c r="AS109" s="127"/>
      <c r="AT109" s="250"/>
      <c r="AU109" s="128"/>
    </row>
    <row r="110" spans="2:48" ht="15" customHeight="1" x14ac:dyDescent="0.2">
      <c r="B110" s="60"/>
      <c r="C110" s="60"/>
      <c r="D110" s="61"/>
      <c r="E110" s="72" t="str">
        <f>'Sprachen &amp; Rückgabewerte'!$H$142</f>
        <v>Anschlussstutzen:</v>
      </c>
      <c r="F110" s="61"/>
      <c r="G110" s="61"/>
      <c r="H110" s="61"/>
      <c r="I110" s="61"/>
      <c r="J110" s="61"/>
      <c r="K110" s="61"/>
      <c r="L110" s="61"/>
      <c r="M110" s="61"/>
      <c r="N110" s="61"/>
      <c r="O110" s="61"/>
      <c r="P110" s="61"/>
      <c r="Q110" s="61"/>
      <c r="R110" s="61"/>
      <c r="S110" s="61"/>
      <c r="T110" s="702"/>
      <c r="U110" s="706"/>
      <c r="V110" s="706"/>
      <c r="W110" s="706"/>
      <c r="X110" s="706"/>
      <c r="Y110" s="703"/>
      <c r="Z110" s="266"/>
      <c r="AB110" s="254"/>
      <c r="AC110" s="255"/>
      <c r="AD110" s="255"/>
      <c r="AE110" s="255"/>
      <c r="AF110" s="256"/>
      <c r="AG110" s="257"/>
      <c r="AH110" s="258"/>
      <c r="AI110" s="256"/>
      <c r="AJ110" s="256"/>
      <c r="AK110" s="256"/>
      <c r="AL110" s="256"/>
      <c r="AM110" s="257"/>
      <c r="AN110" s="258"/>
      <c r="AO110" s="256"/>
      <c r="AP110" s="256"/>
      <c r="AQ110" s="256"/>
      <c r="AR110" s="256"/>
      <c r="AS110" s="256"/>
      <c r="AT110" s="257"/>
      <c r="AU110" s="128"/>
    </row>
    <row r="111" spans="2:48" x14ac:dyDescent="0.2">
      <c r="B111" s="60"/>
      <c r="C111" s="60"/>
      <c r="D111" s="61"/>
      <c r="E111" s="61"/>
      <c r="F111" s="61"/>
      <c r="G111" s="61"/>
      <c r="H111" s="61"/>
      <c r="I111" s="61"/>
      <c r="J111" s="61"/>
      <c r="K111" s="61"/>
      <c r="L111" s="61"/>
      <c r="M111" s="61"/>
      <c r="N111" s="61"/>
      <c r="O111" s="61"/>
      <c r="P111" s="61"/>
      <c r="Q111" s="61"/>
      <c r="R111" s="61"/>
      <c r="S111" s="61"/>
      <c r="T111" s="61"/>
      <c r="U111" s="61"/>
      <c r="V111" s="61"/>
      <c r="W111" s="61"/>
      <c r="X111" s="61"/>
      <c r="Y111" s="61"/>
      <c r="Z111" s="110"/>
      <c r="AB111" s="259"/>
      <c r="AC111" s="260"/>
      <c r="AD111" s="260"/>
      <c r="AE111" s="260"/>
      <c r="AF111" s="261"/>
      <c r="AG111" s="262"/>
      <c r="AH111" s="261"/>
      <c r="AI111" s="261"/>
      <c r="AJ111" s="261"/>
      <c r="AK111" s="261"/>
      <c r="AL111" s="261"/>
      <c r="AM111" s="261"/>
      <c r="AN111" s="263"/>
      <c r="AO111" s="261"/>
      <c r="AP111" s="261"/>
      <c r="AQ111" s="261"/>
      <c r="AR111" s="261"/>
      <c r="AS111" s="261"/>
      <c r="AT111" s="262"/>
      <c r="AU111" s="128"/>
    </row>
    <row r="112" spans="2:48" ht="15" customHeight="1" x14ac:dyDescent="0.2">
      <c r="B112" s="60"/>
      <c r="C112" s="60"/>
      <c r="D112" s="61"/>
      <c r="E112" s="61"/>
      <c r="F112" s="61"/>
      <c r="G112" s="61"/>
      <c r="H112" s="61"/>
      <c r="I112" s="61"/>
      <c r="J112" s="61"/>
      <c r="K112" s="61"/>
      <c r="L112" s="61"/>
      <c r="M112" s="61"/>
      <c r="N112" s="61"/>
      <c r="O112" s="61"/>
      <c r="P112" s="61"/>
      <c r="Q112" s="61"/>
      <c r="R112" s="268" t="str">
        <f>IF($T$110='Sprachen &amp; Rückgabewerte'!$J$143,'Sprachen &amp; Rückgabewerte'!$H$145,'Sprachen &amp; Rückgabewerte'!$H$148)</f>
        <v>Abstände Ablaufstutzen (E):</v>
      </c>
      <c r="S112" s="61"/>
      <c r="T112" s="707"/>
      <c r="U112" s="708"/>
      <c r="V112" s="708"/>
      <c r="W112" s="708"/>
      <c r="X112" s="708"/>
      <c r="Y112" s="709"/>
      <c r="Z112" s="267"/>
      <c r="AB112" s="235"/>
      <c r="AC112" s="61"/>
      <c r="AD112" s="61"/>
      <c r="AE112" s="61"/>
      <c r="AF112" s="127"/>
      <c r="AG112" s="250"/>
      <c r="AH112" s="127"/>
      <c r="AI112" s="127"/>
      <c r="AJ112" s="127"/>
      <c r="AK112" s="127"/>
      <c r="AL112" s="127"/>
      <c r="AM112" s="127"/>
      <c r="AN112" s="253"/>
      <c r="AO112" s="127"/>
      <c r="AP112" s="127"/>
      <c r="AQ112" s="127"/>
      <c r="AR112" s="127"/>
      <c r="AS112" s="127"/>
      <c r="AT112" s="250"/>
      <c r="AU112" s="128"/>
    </row>
    <row r="113" spans="2:47" x14ac:dyDescent="0.2">
      <c r="B113" s="60"/>
      <c r="C113" s="60"/>
      <c r="D113" s="61"/>
      <c r="E113" s="269"/>
      <c r="F113" s="269"/>
      <c r="G113" s="269"/>
      <c r="H113" s="269"/>
      <c r="I113" s="269"/>
      <c r="J113" s="269"/>
      <c r="K113" s="269"/>
      <c r="L113" s="269"/>
      <c r="M113" s="269"/>
      <c r="N113" s="269"/>
      <c r="O113" s="269"/>
      <c r="P113" s="269"/>
      <c r="Q113" s="269"/>
      <c r="R113" s="269"/>
      <c r="S113" s="269"/>
      <c r="T113" s="61"/>
      <c r="U113" s="61"/>
      <c r="V113" s="61"/>
      <c r="W113" s="61"/>
      <c r="X113" s="61"/>
      <c r="Y113" s="61"/>
      <c r="Z113" s="110"/>
      <c r="AB113" s="235"/>
      <c r="AC113" s="61"/>
      <c r="AD113" s="61"/>
      <c r="AE113" s="61"/>
      <c r="AF113" s="127"/>
      <c r="AG113" s="250"/>
      <c r="AH113" s="127"/>
      <c r="AI113" s="127"/>
      <c r="AJ113" s="127"/>
      <c r="AK113" s="127"/>
      <c r="AL113" s="127"/>
      <c r="AM113" s="127"/>
      <c r="AN113" s="253"/>
      <c r="AO113" s="127"/>
      <c r="AP113" s="127"/>
      <c r="AQ113" s="127"/>
      <c r="AR113" s="127"/>
      <c r="AS113" s="127"/>
      <c r="AT113" s="250"/>
      <c r="AU113" s="110"/>
    </row>
    <row r="114" spans="2:47" ht="15" customHeight="1" x14ac:dyDescent="0.2">
      <c r="B114" s="60"/>
      <c r="C114" s="60"/>
      <c r="D114" s="61"/>
      <c r="E114" s="269"/>
      <c r="F114" s="269"/>
      <c r="G114" s="269"/>
      <c r="H114" s="269"/>
      <c r="I114" s="269"/>
      <c r="J114" s="269"/>
      <c r="K114" s="269"/>
      <c r="L114" s="269"/>
      <c r="M114" s="269"/>
      <c r="N114" s="269"/>
      <c r="O114" s="269"/>
      <c r="P114" s="269"/>
      <c r="Q114" s="269"/>
      <c r="R114" s="268" t="str">
        <f>'Sprachen &amp; Rückgabewerte'!H149</f>
        <v>Rinnenanschluss:</v>
      </c>
      <c r="S114" s="269"/>
      <c r="T114" s="702"/>
      <c r="U114" s="703"/>
      <c r="V114" s="61"/>
      <c r="W114" s="61"/>
      <c r="X114" s="61"/>
      <c r="Y114" s="61"/>
      <c r="Z114" s="110"/>
      <c r="AB114" s="235"/>
      <c r="AC114" s="61"/>
      <c r="AD114" s="61"/>
      <c r="AE114" s="61"/>
      <c r="AF114" s="127"/>
      <c r="AG114" s="250"/>
      <c r="AH114" s="127"/>
      <c r="AI114" s="127"/>
      <c r="AJ114" s="127"/>
      <c r="AK114" s="127"/>
      <c r="AL114" s="127"/>
      <c r="AM114" s="127"/>
      <c r="AN114" s="253"/>
      <c r="AO114" s="127"/>
      <c r="AP114" s="127"/>
      <c r="AQ114" s="127"/>
      <c r="AR114" s="127"/>
      <c r="AS114" s="127"/>
      <c r="AT114" s="250"/>
      <c r="AU114" s="110"/>
    </row>
    <row r="115" spans="2:47" x14ac:dyDescent="0.2">
      <c r="B115" s="60"/>
      <c r="C115" s="60"/>
      <c r="D115" s="61"/>
      <c r="E115" s="61"/>
      <c r="F115" s="61"/>
      <c r="G115" s="61"/>
      <c r="H115" s="61"/>
      <c r="I115" s="61"/>
      <c r="J115" s="61"/>
      <c r="K115" s="61"/>
      <c r="L115" s="61"/>
      <c r="M115" s="61"/>
      <c r="N115" s="61"/>
      <c r="O115" s="61"/>
      <c r="P115" s="61"/>
      <c r="Q115" s="61"/>
      <c r="R115" s="61"/>
      <c r="S115" s="61"/>
      <c r="T115" s="61"/>
      <c r="U115" s="61"/>
      <c r="V115" s="61"/>
      <c r="W115" s="61"/>
      <c r="X115" s="61"/>
      <c r="Y115" s="61"/>
      <c r="Z115" s="110"/>
      <c r="AA115" s="61"/>
      <c r="AB115" s="235"/>
      <c r="AC115" s="61"/>
      <c r="AD115" s="61"/>
      <c r="AE115" s="61"/>
      <c r="AF115" s="61"/>
      <c r="AG115" s="250"/>
      <c r="AH115" s="127"/>
      <c r="AI115" s="127"/>
      <c r="AJ115" s="127"/>
      <c r="AK115" s="127"/>
      <c r="AL115" s="127"/>
      <c r="AM115" s="127"/>
      <c r="AN115" s="253"/>
      <c r="AO115" s="61"/>
      <c r="AP115" s="61"/>
      <c r="AQ115" s="61"/>
      <c r="AR115" s="61"/>
      <c r="AS115" s="61"/>
      <c r="AT115" s="237"/>
      <c r="AU115" s="110"/>
    </row>
    <row r="116" spans="2:47" x14ac:dyDescent="0.2">
      <c r="B116" s="60"/>
      <c r="C116" s="60"/>
      <c r="D116" s="61"/>
      <c r="E116" s="698" t="str">
        <f>IF('Sprachen &amp; Rückgabewerte'!$I$50=TRUE,'Sprachen &amp; Rückgabewerte'!$H$102,"")</f>
        <v/>
      </c>
      <c r="F116" s="698"/>
      <c r="G116" s="698"/>
      <c r="H116" s="698"/>
      <c r="I116" s="698"/>
      <c r="J116" s="698"/>
      <c r="K116" s="698"/>
      <c r="L116" s="698"/>
      <c r="M116" s="698"/>
      <c r="N116" s="698"/>
      <c r="O116" s="698"/>
      <c r="P116" s="698"/>
      <c r="Q116" s="698"/>
      <c r="R116" s="698"/>
      <c r="S116" s="61"/>
      <c r="T116" s="61"/>
      <c r="U116" s="61"/>
      <c r="V116" s="61"/>
      <c r="W116" s="61"/>
      <c r="X116" s="61"/>
      <c r="Y116" s="61"/>
      <c r="Z116" s="110"/>
      <c r="AA116" s="61"/>
      <c r="AB116" s="235"/>
      <c r="AC116" s="61"/>
      <c r="AD116" s="61"/>
      <c r="AE116" s="61"/>
      <c r="AF116" s="61"/>
      <c r="AG116" s="250"/>
      <c r="AH116" s="127"/>
      <c r="AI116" s="127"/>
      <c r="AJ116" s="127"/>
      <c r="AK116" s="127"/>
      <c r="AL116" s="127"/>
      <c r="AM116" s="127"/>
      <c r="AN116" s="253"/>
      <c r="AO116" s="61"/>
      <c r="AP116" s="61"/>
      <c r="AQ116" s="61"/>
      <c r="AR116" s="61"/>
      <c r="AS116" s="61"/>
      <c r="AT116" s="237"/>
      <c r="AU116" s="110"/>
    </row>
    <row r="117" spans="2:47" ht="12.75" customHeight="1" x14ac:dyDescent="0.2">
      <c r="B117" s="60"/>
      <c r="C117" s="60"/>
      <c r="D117" s="61"/>
      <c r="E117" s="698"/>
      <c r="F117" s="698"/>
      <c r="G117" s="698"/>
      <c r="H117" s="698"/>
      <c r="I117" s="698"/>
      <c r="J117" s="698"/>
      <c r="K117" s="698"/>
      <c r="L117" s="698"/>
      <c r="M117" s="698"/>
      <c r="N117" s="698"/>
      <c r="O117" s="698"/>
      <c r="P117" s="698"/>
      <c r="Q117" s="698"/>
      <c r="R117" s="698"/>
      <c r="S117" s="127"/>
      <c r="T117" s="127"/>
      <c r="U117" s="127"/>
      <c r="V117" s="127"/>
      <c r="W117" s="127"/>
      <c r="X117" s="127"/>
      <c r="Y117" s="127"/>
      <c r="Z117" s="128"/>
      <c r="AA117" s="127"/>
      <c r="AB117" s="253"/>
      <c r="AC117" s="127"/>
      <c r="AD117" s="127"/>
      <c r="AE117" s="127"/>
      <c r="AF117" s="127"/>
      <c r="AG117" s="250"/>
      <c r="AH117" s="127"/>
      <c r="AI117" s="127"/>
      <c r="AJ117" s="127"/>
      <c r="AK117" s="127"/>
      <c r="AL117" s="127"/>
      <c r="AM117" s="127"/>
      <c r="AN117" s="253"/>
      <c r="AO117" s="61"/>
      <c r="AP117" s="61"/>
      <c r="AQ117" s="61"/>
      <c r="AR117" s="61"/>
      <c r="AS117" s="61"/>
      <c r="AT117" s="237"/>
      <c r="AU117" s="110"/>
    </row>
    <row r="118" spans="2:47" x14ac:dyDescent="0.2">
      <c r="B118" s="60"/>
      <c r="C118" s="60"/>
      <c r="D118" s="61"/>
      <c r="E118" s="698"/>
      <c r="F118" s="698"/>
      <c r="G118" s="698"/>
      <c r="H118" s="698"/>
      <c r="I118" s="698"/>
      <c r="J118" s="698"/>
      <c r="K118" s="698"/>
      <c r="L118" s="698"/>
      <c r="M118" s="698"/>
      <c r="N118" s="698"/>
      <c r="O118" s="698"/>
      <c r="P118" s="698"/>
      <c r="Q118" s="698"/>
      <c r="R118" s="698"/>
      <c r="S118" s="61"/>
      <c r="T118" s="61"/>
      <c r="U118" s="61"/>
      <c r="V118" s="61"/>
      <c r="W118" s="61"/>
      <c r="X118" s="61"/>
      <c r="Y118" s="61"/>
      <c r="Z118" s="110"/>
      <c r="AB118" s="235"/>
      <c r="AC118" s="61"/>
      <c r="AD118" s="61"/>
      <c r="AE118" s="61"/>
      <c r="AF118" s="61"/>
      <c r="AG118" s="237"/>
      <c r="AH118" s="61"/>
      <c r="AI118" s="61"/>
      <c r="AJ118" s="61"/>
      <c r="AK118" s="61"/>
      <c r="AL118" s="61"/>
      <c r="AM118" s="61"/>
      <c r="AN118" s="235"/>
      <c r="AO118" s="61"/>
      <c r="AP118" s="61"/>
      <c r="AQ118" s="61"/>
      <c r="AR118" s="61"/>
      <c r="AS118" s="61"/>
      <c r="AT118" s="237"/>
      <c r="AU118" s="110"/>
    </row>
    <row r="119" spans="2:47" x14ac:dyDescent="0.2">
      <c r="B119" s="60"/>
      <c r="C119" s="60"/>
      <c r="D119" s="61"/>
      <c r="E119" s="61"/>
      <c r="F119" s="61"/>
      <c r="G119" s="61"/>
      <c r="H119" s="61"/>
      <c r="I119" s="61"/>
      <c r="J119" s="61"/>
      <c r="K119" s="61"/>
      <c r="L119" s="61"/>
      <c r="M119" s="61"/>
      <c r="N119" s="61"/>
      <c r="O119" s="61"/>
      <c r="P119" s="61"/>
      <c r="Q119" s="61"/>
      <c r="R119" s="61"/>
      <c r="S119" s="61"/>
      <c r="T119" s="61"/>
      <c r="U119" s="61"/>
      <c r="V119" s="61"/>
      <c r="W119" s="61"/>
      <c r="X119" s="61"/>
      <c r="Y119" s="61"/>
      <c r="Z119" s="110"/>
      <c r="AB119" s="235"/>
      <c r="AC119" s="61"/>
      <c r="AD119" s="61"/>
      <c r="AE119" s="61"/>
      <c r="AF119" s="61"/>
      <c r="AG119" s="237"/>
      <c r="AH119" s="61"/>
      <c r="AI119" s="61"/>
      <c r="AJ119" s="61"/>
      <c r="AK119" s="61"/>
      <c r="AL119" s="61"/>
      <c r="AM119" s="61"/>
      <c r="AN119" s="235"/>
      <c r="AO119" s="61"/>
      <c r="AP119" s="61"/>
      <c r="AQ119" s="61"/>
      <c r="AR119" s="61"/>
      <c r="AS119" s="61"/>
      <c r="AT119" s="237"/>
      <c r="AU119" s="110"/>
    </row>
    <row r="120" spans="2:47" ht="13.5" thickBot="1" x14ac:dyDescent="0.25">
      <c r="B120" s="60"/>
      <c r="C120" s="68"/>
      <c r="D120" s="84"/>
      <c r="E120" s="84"/>
      <c r="F120" s="84"/>
      <c r="G120" s="84"/>
      <c r="H120" s="84"/>
      <c r="I120" s="84"/>
      <c r="J120" s="84"/>
      <c r="K120" s="84"/>
      <c r="L120" s="84"/>
      <c r="M120" s="84"/>
      <c r="N120" s="84"/>
      <c r="O120" s="84"/>
      <c r="P120" s="84"/>
      <c r="Q120" s="84"/>
      <c r="R120" s="84"/>
      <c r="S120" s="84"/>
      <c r="T120" s="84"/>
      <c r="U120" s="84"/>
      <c r="V120" s="84"/>
      <c r="W120" s="84"/>
      <c r="X120" s="84"/>
      <c r="Y120" s="84"/>
      <c r="Z120" s="111"/>
      <c r="AB120" s="251"/>
      <c r="AC120" s="241"/>
      <c r="AD120" s="241"/>
      <c r="AE120" s="241"/>
      <c r="AF120" s="241"/>
      <c r="AG120" s="243"/>
      <c r="AH120" s="241"/>
      <c r="AI120" s="241"/>
      <c r="AJ120" s="241"/>
      <c r="AK120" s="241"/>
      <c r="AL120" s="241"/>
      <c r="AM120" s="241"/>
      <c r="AN120" s="251"/>
      <c r="AO120" s="241"/>
      <c r="AP120" s="241"/>
      <c r="AQ120" s="241"/>
      <c r="AR120" s="241"/>
      <c r="AS120" s="241"/>
      <c r="AT120" s="243"/>
      <c r="AU120" s="110"/>
    </row>
    <row r="121" spans="2:47" ht="13.5" thickTop="1" x14ac:dyDescent="0.2">
      <c r="B121" s="60"/>
      <c r="AU121" s="110"/>
    </row>
    <row r="122" spans="2:47" ht="12.95" customHeight="1" x14ac:dyDescent="0.2">
      <c r="B122" s="60"/>
      <c r="L122" s="61"/>
      <c r="M122" s="61"/>
      <c r="N122" s="61"/>
      <c r="O122" s="61"/>
      <c r="P122" s="61"/>
      <c r="Q122" s="61"/>
      <c r="R122" s="61"/>
      <c r="S122" s="61"/>
      <c r="T122" s="61"/>
      <c r="U122" s="61"/>
      <c r="V122" s="61"/>
      <c r="W122" s="61"/>
      <c r="X122" s="61"/>
      <c r="Y122" s="61"/>
      <c r="Z122" s="61"/>
      <c r="AA122" s="61"/>
      <c r="AB122" s="107"/>
      <c r="AC122" s="82"/>
      <c r="AD122" s="82"/>
      <c r="AE122" s="82"/>
      <c r="AF122" s="82"/>
      <c r="AG122" s="82"/>
      <c r="AH122" s="82"/>
      <c r="AI122" s="82"/>
      <c r="AJ122" s="82"/>
      <c r="AK122" s="82"/>
      <c r="AL122" s="82"/>
      <c r="AM122" s="82"/>
      <c r="AN122" s="82"/>
      <c r="AO122" s="82"/>
      <c r="AP122" s="82"/>
      <c r="AQ122" s="82"/>
      <c r="AR122" s="82"/>
      <c r="AS122" s="82"/>
      <c r="AT122" s="109"/>
      <c r="AU122" s="110"/>
    </row>
    <row r="123" spans="2:47" ht="12.95" customHeight="1" x14ac:dyDescent="0.2">
      <c r="B123" s="60"/>
      <c r="L123" s="61"/>
      <c r="M123" s="61"/>
      <c r="N123" s="61"/>
      <c r="O123" s="61"/>
      <c r="P123" s="61"/>
      <c r="Q123" s="61"/>
      <c r="R123" s="61"/>
      <c r="S123" s="61"/>
      <c r="T123" s="61"/>
      <c r="U123" s="61"/>
      <c r="V123" s="61"/>
      <c r="W123" s="61"/>
      <c r="X123" s="61"/>
      <c r="Y123" s="61"/>
      <c r="Z123" s="61"/>
      <c r="AA123" s="61"/>
      <c r="AB123" s="60"/>
      <c r="AC123" s="61"/>
      <c r="AD123" s="61"/>
      <c r="AE123" s="61"/>
      <c r="AF123" s="61"/>
      <c r="AG123" s="61"/>
      <c r="AH123" s="61"/>
      <c r="AI123" s="61"/>
      <c r="AJ123" s="61"/>
      <c r="AK123" s="61"/>
      <c r="AL123" s="61"/>
      <c r="AM123" s="61"/>
      <c r="AN123" s="61"/>
      <c r="AO123" s="61"/>
      <c r="AP123" s="61"/>
      <c r="AQ123" s="61"/>
      <c r="AR123" s="61"/>
      <c r="AS123" s="61"/>
      <c r="AT123" s="110"/>
      <c r="AU123" s="110"/>
    </row>
    <row r="124" spans="2:47" ht="12.95" customHeight="1" x14ac:dyDescent="0.2">
      <c r="B124" s="60"/>
      <c r="L124" s="61"/>
      <c r="M124" s="61"/>
      <c r="N124" s="61"/>
      <c r="O124" s="61"/>
      <c r="P124" s="61"/>
      <c r="Q124" s="61"/>
      <c r="R124" s="61"/>
      <c r="S124" s="61"/>
      <c r="T124" s="61"/>
      <c r="U124" s="61"/>
      <c r="V124" s="61"/>
      <c r="W124" s="61"/>
      <c r="X124" s="61"/>
      <c r="Y124" s="61"/>
      <c r="Z124" s="61"/>
      <c r="AA124" s="61"/>
      <c r="AB124" s="60"/>
      <c r="AC124" s="61"/>
      <c r="AD124" s="61"/>
      <c r="AE124" s="61"/>
      <c r="AF124" s="61"/>
      <c r="AG124" s="61"/>
      <c r="AH124" s="61"/>
      <c r="AI124" s="61"/>
      <c r="AJ124" s="61"/>
      <c r="AK124" s="61"/>
      <c r="AL124" s="61"/>
      <c r="AM124" s="61"/>
      <c r="AN124" s="61"/>
      <c r="AO124" s="61"/>
      <c r="AP124" s="61"/>
      <c r="AQ124" s="61"/>
      <c r="AR124" s="61"/>
      <c r="AS124" s="61"/>
      <c r="AT124" s="110"/>
      <c r="AU124" s="110"/>
    </row>
    <row r="125" spans="2:47" ht="12.95" customHeight="1" x14ac:dyDescent="0.2">
      <c r="B125" s="60"/>
      <c r="L125" s="61"/>
      <c r="M125" s="61"/>
      <c r="N125" s="61"/>
      <c r="O125" s="61"/>
      <c r="P125" s="61"/>
      <c r="Q125" s="61"/>
      <c r="R125" s="61"/>
      <c r="S125" s="61"/>
      <c r="T125" s="61"/>
      <c r="U125" s="61"/>
      <c r="V125" s="61"/>
      <c r="W125" s="61"/>
      <c r="X125" s="61"/>
      <c r="Y125" s="61"/>
      <c r="Z125" s="61"/>
      <c r="AA125" s="61"/>
      <c r="AB125" s="60"/>
      <c r="AC125" s="61"/>
      <c r="AD125" s="61"/>
      <c r="AE125" s="61"/>
      <c r="AF125" s="61"/>
      <c r="AG125" s="61"/>
      <c r="AH125" s="61"/>
      <c r="AI125" s="61"/>
      <c r="AJ125" s="61"/>
      <c r="AK125" s="61"/>
      <c r="AL125" s="61"/>
      <c r="AM125" s="61"/>
      <c r="AN125" s="61"/>
      <c r="AO125" s="61"/>
      <c r="AP125" s="61"/>
      <c r="AQ125" s="61"/>
      <c r="AR125" s="61"/>
      <c r="AS125" s="61"/>
      <c r="AT125" s="110"/>
      <c r="AU125" s="110"/>
    </row>
    <row r="126" spans="2:47" ht="12.95" customHeight="1" x14ac:dyDescent="0.2">
      <c r="B126" s="60"/>
      <c r="L126" s="61"/>
      <c r="M126" s="61"/>
      <c r="N126" s="61"/>
      <c r="O126" s="61"/>
      <c r="P126" s="61"/>
      <c r="Q126" s="61"/>
      <c r="R126" s="61"/>
      <c r="S126" s="61"/>
      <c r="T126" s="61"/>
      <c r="U126" s="61"/>
      <c r="V126" s="61"/>
      <c r="W126" s="61"/>
      <c r="X126" s="61"/>
      <c r="Y126" s="61"/>
      <c r="Z126" s="61"/>
      <c r="AA126" s="61"/>
      <c r="AB126" s="60"/>
      <c r="AC126" s="61"/>
      <c r="AD126" s="61"/>
      <c r="AE126" s="61"/>
      <c r="AF126" s="61"/>
      <c r="AG126" s="61"/>
      <c r="AH126" s="61"/>
      <c r="AI126" s="61"/>
      <c r="AJ126" s="61"/>
      <c r="AK126" s="127"/>
      <c r="AL126" s="127"/>
      <c r="AM126" s="127"/>
      <c r="AN126" s="127"/>
      <c r="AO126" s="127"/>
      <c r="AP126" s="61"/>
      <c r="AQ126" s="61"/>
      <c r="AR126" s="61"/>
      <c r="AS126" s="61"/>
      <c r="AT126" s="110"/>
      <c r="AU126" s="110"/>
    </row>
    <row r="127" spans="2:47" ht="12.95" customHeight="1" x14ac:dyDescent="0.2">
      <c r="B127" s="60"/>
      <c r="L127" s="61"/>
      <c r="M127" s="61"/>
      <c r="N127" s="61"/>
      <c r="O127" s="61"/>
      <c r="P127" s="61"/>
      <c r="Q127" s="61"/>
      <c r="R127" s="61"/>
      <c r="S127" s="61"/>
      <c r="T127" s="61"/>
      <c r="U127" s="61"/>
      <c r="V127" s="61"/>
      <c r="W127" s="61"/>
      <c r="X127" s="61"/>
      <c r="Y127" s="61"/>
      <c r="Z127" s="61"/>
      <c r="AA127" s="61"/>
      <c r="AB127" s="60"/>
      <c r="AC127" s="61"/>
      <c r="AD127" s="61"/>
      <c r="AE127" s="61"/>
      <c r="AF127" s="61"/>
      <c r="AG127" s="61"/>
      <c r="AH127" s="61"/>
      <c r="AI127" s="61"/>
      <c r="AJ127" s="61"/>
      <c r="AK127" s="127"/>
      <c r="AL127" s="127"/>
      <c r="AM127" s="127"/>
      <c r="AN127" s="127"/>
      <c r="AO127" s="127"/>
      <c r="AP127" s="61"/>
      <c r="AQ127" s="61"/>
      <c r="AR127" s="61"/>
      <c r="AS127" s="61"/>
      <c r="AT127" s="110"/>
      <c r="AU127" s="110"/>
    </row>
    <row r="128" spans="2:47" ht="12.95" customHeight="1" x14ac:dyDescent="0.2">
      <c r="B128" s="60"/>
      <c r="L128" s="61"/>
      <c r="M128" s="61"/>
      <c r="N128" s="61"/>
      <c r="O128" s="61"/>
      <c r="P128" s="61"/>
      <c r="Q128" s="61"/>
      <c r="R128" s="61"/>
      <c r="S128" s="61"/>
      <c r="T128" s="61"/>
      <c r="U128" s="61"/>
      <c r="V128" s="61"/>
      <c r="W128" s="61"/>
      <c r="X128" s="61"/>
      <c r="Y128" s="61"/>
      <c r="Z128" s="61"/>
      <c r="AA128" s="61"/>
      <c r="AB128" s="60"/>
      <c r="AC128" s="61"/>
      <c r="AD128" s="61"/>
      <c r="AE128" s="61"/>
      <c r="AF128" s="61"/>
      <c r="AG128" s="61"/>
      <c r="AH128" s="61"/>
      <c r="AI128" s="61"/>
      <c r="AJ128" s="61"/>
      <c r="AK128" s="127"/>
      <c r="AL128" s="127"/>
      <c r="AM128" s="127"/>
      <c r="AN128" s="127"/>
      <c r="AO128" s="127"/>
      <c r="AP128" s="61"/>
      <c r="AQ128" s="61"/>
      <c r="AR128" s="61"/>
      <c r="AS128" s="61"/>
      <c r="AT128" s="110"/>
      <c r="AU128" s="110"/>
    </row>
    <row r="129" spans="2:47" ht="12.95" customHeight="1" x14ac:dyDescent="0.2">
      <c r="B129" s="60"/>
      <c r="L129" s="61"/>
      <c r="M129" s="61"/>
      <c r="N129" s="61"/>
      <c r="O129" s="61"/>
      <c r="P129" s="61"/>
      <c r="Q129" s="61"/>
      <c r="R129" s="61"/>
      <c r="S129" s="61"/>
      <c r="T129" s="61"/>
      <c r="U129" s="61"/>
      <c r="V129" s="61"/>
      <c r="W129" s="61"/>
      <c r="X129" s="61"/>
      <c r="Y129" s="61"/>
      <c r="Z129" s="61"/>
      <c r="AA129" s="61"/>
      <c r="AB129" s="60"/>
      <c r="AC129" s="61"/>
      <c r="AD129" s="61"/>
      <c r="AE129" s="61"/>
      <c r="AF129" s="149"/>
      <c r="AG129" s="61"/>
      <c r="AH129" s="61"/>
      <c r="AI129" s="61"/>
      <c r="AJ129" s="61"/>
      <c r="AK129" s="127"/>
      <c r="AL129" s="127"/>
      <c r="AM129" s="127"/>
      <c r="AN129" s="127"/>
      <c r="AO129" s="127"/>
      <c r="AP129" s="61"/>
      <c r="AQ129" s="61"/>
      <c r="AR129" s="61"/>
      <c r="AS129" s="61"/>
      <c r="AT129" s="110"/>
      <c r="AU129" s="110"/>
    </row>
    <row r="130" spans="2:47" ht="12.95" customHeight="1" x14ac:dyDescent="0.2">
      <c r="B130" s="60"/>
      <c r="L130" s="61"/>
      <c r="M130" s="61"/>
      <c r="N130" s="61"/>
      <c r="O130" s="61"/>
      <c r="P130" s="61"/>
      <c r="Q130" s="61"/>
      <c r="R130" s="61"/>
      <c r="S130" s="61"/>
      <c r="T130" s="61"/>
      <c r="U130" s="61"/>
      <c r="V130" s="61"/>
      <c r="W130" s="61"/>
      <c r="X130" s="61"/>
      <c r="Y130" s="61"/>
      <c r="Z130" s="61"/>
      <c r="AA130" s="61"/>
      <c r="AB130" s="60"/>
      <c r="AC130" s="61"/>
      <c r="AD130" s="61"/>
      <c r="AE130" s="61"/>
      <c r="AF130" s="61"/>
      <c r="AG130" s="61"/>
      <c r="AH130" s="61"/>
      <c r="AI130" s="61"/>
      <c r="AJ130" s="61"/>
      <c r="AK130" s="127"/>
      <c r="AL130" s="127"/>
      <c r="AM130" s="127"/>
      <c r="AN130" s="127"/>
      <c r="AO130" s="127"/>
      <c r="AP130" s="61"/>
      <c r="AQ130" s="61"/>
      <c r="AR130" s="61"/>
      <c r="AS130" s="61"/>
      <c r="AT130" s="110"/>
      <c r="AU130" s="110"/>
    </row>
    <row r="131" spans="2:47" ht="12.95" customHeight="1" x14ac:dyDescent="0.2">
      <c r="B131" s="60"/>
      <c r="L131" s="61"/>
      <c r="M131" s="61"/>
      <c r="N131" s="61"/>
      <c r="O131" s="61"/>
      <c r="P131" s="61"/>
      <c r="Q131" s="61"/>
      <c r="R131" s="61"/>
      <c r="S131" s="61"/>
      <c r="T131" s="61"/>
      <c r="U131" s="61"/>
      <c r="V131" s="61"/>
      <c r="W131" s="61"/>
      <c r="X131" s="61"/>
      <c r="Y131" s="61"/>
      <c r="Z131" s="61"/>
      <c r="AA131" s="61"/>
      <c r="AB131" s="60"/>
      <c r="AC131" s="61"/>
      <c r="AD131" s="61"/>
      <c r="AE131" s="208"/>
      <c r="AF131" s="127"/>
      <c r="AG131" s="127"/>
      <c r="AH131" s="127"/>
      <c r="AI131" s="127"/>
      <c r="AJ131" s="127"/>
      <c r="AK131" s="127"/>
      <c r="AL131" s="127"/>
      <c r="AM131" s="127"/>
      <c r="AN131" s="127"/>
      <c r="AO131" s="127"/>
      <c r="AP131" s="127"/>
      <c r="AQ131" s="127"/>
      <c r="AR131" s="127"/>
      <c r="AS131" s="127"/>
      <c r="AT131" s="128"/>
      <c r="AU131" s="110"/>
    </row>
    <row r="132" spans="2:47" ht="12.95" customHeight="1" x14ac:dyDescent="0.2">
      <c r="B132" s="60"/>
      <c r="L132" s="61"/>
      <c r="M132" s="61"/>
      <c r="N132" s="61"/>
      <c r="O132" s="61"/>
      <c r="P132" s="61"/>
      <c r="Q132" s="61"/>
      <c r="R132" s="61"/>
      <c r="S132" s="61"/>
      <c r="T132" s="61"/>
      <c r="U132" s="61"/>
      <c r="V132" s="61"/>
      <c r="W132" s="61"/>
      <c r="X132" s="61"/>
      <c r="Y132" s="61"/>
      <c r="Z132" s="61"/>
      <c r="AA132" s="61"/>
      <c r="AB132" s="60"/>
      <c r="AC132" s="61"/>
      <c r="AD132" s="61"/>
      <c r="AE132" s="208"/>
      <c r="AF132" s="127"/>
      <c r="AG132" s="127"/>
      <c r="AH132" s="127"/>
      <c r="AI132" s="127"/>
      <c r="AJ132" s="127"/>
      <c r="AK132" s="127"/>
      <c r="AL132" s="127"/>
      <c r="AM132" s="127"/>
      <c r="AN132" s="127"/>
      <c r="AO132" s="127"/>
      <c r="AP132" s="127"/>
      <c r="AQ132" s="127"/>
      <c r="AR132" s="127"/>
      <c r="AS132" s="127"/>
      <c r="AT132" s="128"/>
      <c r="AU132" s="110"/>
    </row>
    <row r="133" spans="2:47" ht="12.95" customHeight="1" x14ac:dyDescent="0.2">
      <c r="B133" s="60"/>
      <c r="L133" s="61"/>
      <c r="M133" s="61"/>
      <c r="N133" s="61"/>
      <c r="O133" s="61"/>
      <c r="P133" s="61"/>
      <c r="Q133" s="61"/>
      <c r="R133" s="61"/>
      <c r="S133" s="61"/>
      <c r="T133" s="61"/>
      <c r="U133" s="61"/>
      <c r="V133" s="61"/>
      <c r="W133" s="61"/>
      <c r="X133" s="61"/>
      <c r="Y133" s="61"/>
      <c r="Z133" s="61"/>
      <c r="AA133" s="61"/>
      <c r="AB133" s="60"/>
      <c r="AC133" s="61"/>
      <c r="AD133" s="61"/>
      <c r="AE133" s="208"/>
      <c r="AF133" s="127"/>
      <c r="AG133" s="127"/>
      <c r="AH133" s="127"/>
      <c r="AI133" s="127"/>
      <c r="AJ133" s="127"/>
      <c r="AK133" s="127"/>
      <c r="AL133" s="127"/>
      <c r="AM133" s="127"/>
      <c r="AN133" s="127"/>
      <c r="AO133" s="127"/>
      <c r="AP133" s="127"/>
      <c r="AQ133" s="127"/>
      <c r="AR133" s="127"/>
      <c r="AS133" s="127"/>
      <c r="AT133" s="128"/>
      <c r="AU133" s="110"/>
    </row>
    <row r="134" spans="2:47" ht="12.95" customHeight="1" x14ac:dyDescent="0.2">
      <c r="B134" s="60"/>
      <c r="L134" s="61"/>
      <c r="M134" s="61"/>
      <c r="N134" s="61"/>
      <c r="O134" s="61"/>
      <c r="P134" s="61"/>
      <c r="Q134" s="61"/>
      <c r="R134" s="61"/>
      <c r="S134" s="61"/>
      <c r="T134" s="61"/>
      <c r="U134" s="61"/>
      <c r="V134" s="61"/>
      <c r="W134" s="61"/>
      <c r="X134" s="61"/>
      <c r="Y134" s="61"/>
      <c r="Z134" s="61"/>
      <c r="AA134" s="61"/>
      <c r="AB134" s="60"/>
      <c r="AC134" s="61"/>
      <c r="AD134" s="61"/>
      <c r="AE134" s="208"/>
      <c r="AF134" s="127"/>
      <c r="AG134" s="127"/>
      <c r="AH134" s="127"/>
      <c r="AI134" s="127"/>
      <c r="AJ134" s="127"/>
      <c r="AK134" s="127"/>
      <c r="AL134" s="127"/>
      <c r="AM134" s="127"/>
      <c r="AN134" s="127"/>
      <c r="AO134" s="127"/>
      <c r="AP134" s="127"/>
      <c r="AQ134" s="127"/>
      <c r="AR134" s="127"/>
      <c r="AS134" s="127"/>
      <c r="AT134" s="128"/>
      <c r="AU134" s="110"/>
    </row>
    <row r="135" spans="2:47" ht="18.75" customHeight="1" x14ac:dyDescent="0.2">
      <c r="B135" s="60"/>
      <c r="L135" s="61"/>
      <c r="M135" s="61"/>
      <c r="N135" s="61"/>
      <c r="O135" s="61"/>
      <c r="P135" s="61"/>
      <c r="Q135" s="61"/>
      <c r="R135" s="61"/>
      <c r="S135" s="61"/>
      <c r="T135" s="61"/>
      <c r="U135" s="61"/>
      <c r="V135" s="61"/>
      <c r="W135" s="61"/>
      <c r="X135" s="61"/>
      <c r="Y135" s="61"/>
      <c r="Z135" s="61"/>
      <c r="AA135" s="61"/>
      <c r="AB135" s="68"/>
      <c r="AC135" s="84"/>
      <c r="AD135" s="84"/>
      <c r="AE135" s="264"/>
      <c r="AF135" s="131"/>
      <c r="AG135" s="131"/>
      <c r="AH135" s="131"/>
      <c r="AI135" s="131"/>
      <c r="AJ135" s="131"/>
      <c r="AK135" s="131"/>
      <c r="AL135" s="131"/>
      <c r="AM135" s="131"/>
      <c r="AN135" s="131"/>
      <c r="AO135" s="131"/>
      <c r="AP135" s="131"/>
      <c r="AQ135" s="131"/>
      <c r="AR135" s="131"/>
      <c r="AS135" s="131"/>
      <c r="AT135" s="132"/>
      <c r="AU135" s="110"/>
    </row>
    <row r="136" spans="2:47" x14ac:dyDescent="0.2">
      <c r="B136" s="68"/>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111"/>
    </row>
    <row r="137" spans="2:47" x14ac:dyDescent="0.2">
      <c r="AE137" s="204"/>
      <c r="AF137" s="127"/>
      <c r="AG137" s="127"/>
      <c r="AH137" s="127"/>
      <c r="AI137" s="127"/>
      <c r="AJ137" s="127"/>
      <c r="AK137" s="127"/>
      <c r="AL137" s="127"/>
      <c r="AM137" s="127"/>
      <c r="AN137" s="127"/>
      <c r="AO137" s="127"/>
      <c r="AP137" s="127"/>
      <c r="AQ137" s="127"/>
      <c r="AR137" s="127"/>
      <c r="AS137" s="127"/>
      <c r="AT137" s="127"/>
    </row>
    <row r="138" spans="2:47" x14ac:dyDescent="0.2">
      <c r="AE138" s="204"/>
      <c r="AF138" s="127"/>
      <c r="AG138" s="127"/>
      <c r="AH138" s="127"/>
      <c r="AI138" s="127"/>
      <c r="AJ138" s="127"/>
      <c r="AK138" s="127"/>
      <c r="AL138" s="127"/>
      <c r="AM138" s="127"/>
      <c r="AN138" s="127"/>
      <c r="AO138" s="127"/>
      <c r="AP138" s="127"/>
      <c r="AQ138" s="127"/>
      <c r="AR138" s="127"/>
      <c r="AS138" s="127"/>
      <c r="AT138" s="127"/>
    </row>
    <row r="139" spans="2:47" x14ac:dyDescent="0.2">
      <c r="AE139" s="204"/>
      <c r="AF139" s="127"/>
      <c r="AG139" s="127"/>
      <c r="AH139" s="127"/>
      <c r="AI139" s="127"/>
      <c r="AJ139" s="127"/>
      <c r="AK139" s="127"/>
      <c r="AL139" s="127"/>
      <c r="AM139" s="127"/>
      <c r="AN139" s="127"/>
      <c r="AO139" s="127"/>
      <c r="AP139" s="127"/>
      <c r="AQ139" s="127"/>
      <c r="AR139" s="127"/>
      <c r="AS139" s="127"/>
      <c r="AT139" s="127"/>
    </row>
    <row r="140" spans="2:47" x14ac:dyDescent="0.2">
      <c r="AE140" s="204"/>
      <c r="AF140" s="127"/>
      <c r="AG140" s="127"/>
      <c r="AH140" s="127"/>
      <c r="AI140" s="127"/>
      <c r="AJ140" s="127"/>
      <c r="AK140" s="127"/>
      <c r="AL140" s="127"/>
      <c r="AM140" s="127"/>
      <c r="AN140" s="127"/>
      <c r="AO140" s="127"/>
      <c r="AP140" s="127"/>
      <c r="AQ140" s="127"/>
      <c r="AR140" s="127"/>
      <c r="AS140" s="127"/>
      <c r="AT140" s="127"/>
    </row>
    <row r="141" spans="2:47" x14ac:dyDescent="0.2">
      <c r="AE141" s="204"/>
      <c r="AF141" s="127"/>
      <c r="AG141" s="127"/>
      <c r="AH141" s="127"/>
      <c r="AI141" s="127"/>
      <c r="AJ141" s="127"/>
      <c r="AK141" s="127"/>
      <c r="AL141" s="127"/>
      <c r="AM141" s="127"/>
      <c r="AN141" s="127"/>
      <c r="AO141" s="127"/>
      <c r="AP141" s="127"/>
      <c r="AQ141" s="127"/>
      <c r="AR141" s="127"/>
      <c r="AS141" s="127"/>
      <c r="AT141" s="127"/>
    </row>
    <row r="142" spans="2:47" x14ac:dyDescent="0.2">
      <c r="AE142" s="204"/>
      <c r="AF142" s="127"/>
      <c r="AG142" s="127"/>
      <c r="AH142" s="127"/>
      <c r="AI142" s="127"/>
      <c r="AJ142" s="127"/>
      <c r="AK142" s="127"/>
      <c r="AL142" s="127"/>
      <c r="AM142" s="127"/>
      <c r="AN142" s="127"/>
      <c r="AO142" s="127"/>
      <c r="AP142" s="127"/>
      <c r="AQ142" s="127"/>
      <c r="AR142" s="127"/>
      <c r="AS142" s="127"/>
      <c r="AT142" s="127"/>
    </row>
    <row r="143" spans="2:47" ht="15" customHeight="1" x14ac:dyDescent="0.2">
      <c r="X143" s="127"/>
      <c r="Y143" s="127"/>
      <c r="AE143" s="204"/>
      <c r="AF143" s="127"/>
      <c r="AG143" s="127"/>
      <c r="AH143" s="127"/>
      <c r="AI143" s="127"/>
      <c r="AJ143" s="127"/>
      <c r="AK143" s="127"/>
      <c r="AL143" s="127"/>
      <c r="AM143" s="127"/>
      <c r="AN143" s="127"/>
      <c r="AO143" s="127"/>
      <c r="AP143" s="127"/>
      <c r="AQ143" s="127"/>
      <c r="AR143" s="127"/>
      <c r="AS143" s="127"/>
      <c r="AT143" s="127"/>
    </row>
    <row r="144" spans="2:47" x14ac:dyDescent="0.2">
      <c r="AE144" s="204"/>
      <c r="AG144" s="127"/>
      <c r="AH144" s="127"/>
      <c r="AI144" s="127"/>
      <c r="AJ144" s="127"/>
      <c r="AK144" s="127"/>
      <c r="AL144" s="127"/>
      <c r="AM144" s="127"/>
      <c r="AN144" s="127"/>
      <c r="AO144" s="127"/>
    </row>
    <row r="145" spans="24:47" x14ac:dyDescent="0.2">
      <c r="AE145" s="204"/>
      <c r="AF145" s="127"/>
      <c r="AG145" s="127"/>
      <c r="AH145" s="127"/>
      <c r="AI145" s="127"/>
      <c r="AJ145" s="127"/>
      <c r="AK145" s="127"/>
      <c r="AL145" s="127"/>
      <c r="AM145" s="127"/>
      <c r="AN145" s="127"/>
      <c r="AO145" s="127"/>
      <c r="AP145" s="127"/>
      <c r="AQ145" s="127"/>
      <c r="AR145" s="127"/>
      <c r="AS145" s="127"/>
      <c r="AT145" s="127"/>
    </row>
    <row r="146" spans="24:47" x14ac:dyDescent="0.2">
      <c r="AE146" s="204"/>
      <c r="AF146" s="127"/>
      <c r="AG146" s="127"/>
      <c r="AH146" s="127"/>
      <c r="AI146" s="127"/>
      <c r="AJ146" s="127"/>
      <c r="AK146" s="127"/>
      <c r="AL146" s="127"/>
      <c r="AM146" s="127"/>
      <c r="AN146" s="127"/>
      <c r="AO146" s="127"/>
      <c r="AP146" s="127"/>
      <c r="AQ146" s="127"/>
      <c r="AR146" s="127"/>
      <c r="AS146" s="127"/>
      <c r="AT146" s="127"/>
      <c r="AU146" s="205"/>
    </row>
    <row r="147" spans="24:47" x14ac:dyDescent="0.2">
      <c r="AE147" s="204"/>
      <c r="AF147" s="127"/>
      <c r="AG147" s="127"/>
      <c r="AH147" s="127"/>
      <c r="AI147" s="127"/>
      <c r="AJ147" s="127"/>
      <c r="AK147" s="127"/>
      <c r="AL147" s="127"/>
      <c r="AM147" s="127"/>
      <c r="AN147" s="127"/>
      <c r="AO147" s="127"/>
      <c r="AP147" s="127"/>
      <c r="AQ147" s="127"/>
      <c r="AR147" s="127"/>
      <c r="AS147" s="127"/>
      <c r="AT147" s="127"/>
      <c r="AU147" s="205"/>
    </row>
    <row r="148" spans="24:47" x14ac:dyDescent="0.2">
      <c r="AE148" s="204"/>
      <c r="AF148" s="127"/>
      <c r="AG148" s="127"/>
      <c r="AH148" s="127"/>
      <c r="AI148" s="127"/>
      <c r="AJ148" s="127"/>
      <c r="AK148" s="127"/>
      <c r="AL148" s="127"/>
      <c r="AM148" s="127"/>
      <c r="AN148" s="127"/>
      <c r="AO148" s="127"/>
      <c r="AP148" s="127"/>
      <c r="AQ148" s="127"/>
      <c r="AR148" s="127"/>
      <c r="AS148" s="127"/>
      <c r="AT148" s="127"/>
      <c r="AU148" s="205"/>
    </row>
    <row r="149" spans="24:47" x14ac:dyDescent="0.2">
      <c r="AE149" s="204"/>
      <c r="AF149" s="127"/>
      <c r="AG149" s="127"/>
      <c r="AH149" s="127"/>
      <c r="AI149" s="127"/>
      <c r="AJ149" s="127"/>
      <c r="AK149" s="127"/>
      <c r="AL149" s="127"/>
      <c r="AM149" s="127"/>
      <c r="AN149" s="127"/>
      <c r="AO149" s="127"/>
      <c r="AP149" s="127"/>
      <c r="AQ149" s="127"/>
      <c r="AR149" s="127"/>
      <c r="AS149" s="127"/>
      <c r="AT149" s="127"/>
      <c r="AU149" s="205"/>
    </row>
    <row r="150" spans="24:47" x14ac:dyDescent="0.2">
      <c r="AE150" s="204"/>
      <c r="AF150" s="127"/>
      <c r="AG150" s="127"/>
      <c r="AH150" s="127"/>
      <c r="AI150" s="127"/>
      <c r="AJ150" s="127"/>
      <c r="AK150" s="127"/>
      <c r="AL150" s="127"/>
      <c r="AM150" s="127"/>
      <c r="AN150" s="127"/>
      <c r="AO150" s="127"/>
      <c r="AP150" s="127"/>
      <c r="AQ150" s="127"/>
      <c r="AR150" s="127"/>
      <c r="AS150" s="127"/>
      <c r="AT150" s="127"/>
      <c r="AU150" s="205"/>
    </row>
    <row r="151" spans="24:47" x14ac:dyDescent="0.2">
      <c r="AE151" s="204"/>
      <c r="AF151" s="127"/>
      <c r="AG151" s="127"/>
      <c r="AH151" s="127"/>
      <c r="AI151" s="127"/>
      <c r="AJ151" s="127"/>
      <c r="AK151" s="127"/>
      <c r="AL151" s="127"/>
      <c r="AM151" s="127"/>
      <c r="AN151" s="127"/>
      <c r="AO151" s="127"/>
      <c r="AP151" s="127"/>
      <c r="AQ151" s="127"/>
      <c r="AR151" s="127"/>
      <c r="AS151" s="127"/>
      <c r="AT151" s="127"/>
      <c r="AU151" s="205"/>
    </row>
    <row r="152" spans="24:47" x14ac:dyDescent="0.2">
      <c r="AE152" s="204"/>
      <c r="AF152" s="127"/>
      <c r="AG152" s="127"/>
      <c r="AH152" s="127"/>
      <c r="AI152" s="127"/>
      <c r="AJ152" s="127"/>
      <c r="AK152" s="127"/>
      <c r="AL152" s="127"/>
      <c r="AM152" s="127"/>
      <c r="AN152" s="127"/>
      <c r="AO152" s="127"/>
      <c r="AP152" s="127"/>
      <c r="AQ152" s="127"/>
      <c r="AR152" s="127"/>
      <c r="AS152" s="127"/>
      <c r="AT152" s="127"/>
      <c r="AU152" s="205"/>
    </row>
    <row r="153" spans="24:47" x14ac:dyDescent="0.2">
      <c r="AE153" s="204"/>
      <c r="AF153" s="127"/>
      <c r="AG153" s="127"/>
      <c r="AH153" s="127"/>
      <c r="AI153" s="127"/>
      <c r="AJ153" s="127"/>
      <c r="AK153" s="127"/>
      <c r="AL153" s="127"/>
      <c r="AM153" s="127"/>
      <c r="AN153" s="127"/>
      <c r="AO153" s="127"/>
      <c r="AP153" s="127"/>
      <c r="AQ153" s="127"/>
      <c r="AR153" s="127"/>
      <c r="AS153" s="127"/>
      <c r="AT153" s="127"/>
      <c r="AU153" s="205"/>
    </row>
    <row r="154" spans="24:47" x14ac:dyDescent="0.2">
      <c r="AE154" s="204"/>
      <c r="AF154" s="127"/>
      <c r="AG154" s="127"/>
      <c r="AH154" s="127"/>
      <c r="AI154" s="127"/>
      <c r="AJ154" s="127"/>
      <c r="AK154" s="127"/>
      <c r="AL154" s="127"/>
      <c r="AM154" s="127"/>
      <c r="AN154" s="127"/>
      <c r="AO154" s="127"/>
      <c r="AP154" s="127"/>
      <c r="AQ154" s="127"/>
      <c r="AR154" s="127"/>
      <c r="AS154" s="127"/>
      <c r="AT154" s="127"/>
      <c r="AU154" s="205"/>
    </row>
    <row r="155" spans="24:47" x14ac:dyDescent="0.2">
      <c r="AE155" s="204"/>
      <c r="AF155" s="127"/>
      <c r="AG155" s="127"/>
      <c r="AH155" s="127"/>
      <c r="AI155" s="127"/>
      <c r="AJ155" s="127"/>
      <c r="AK155" s="127"/>
      <c r="AL155" s="127"/>
      <c r="AM155" s="127"/>
      <c r="AN155" s="127"/>
      <c r="AO155" s="127"/>
      <c r="AP155" s="127"/>
      <c r="AQ155" s="127"/>
      <c r="AR155" s="127"/>
      <c r="AS155" s="127"/>
      <c r="AT155" s="127"/>
      <c r="AU155" s="205"/>
    </row>
    <row r="156" spans="24:47" x14ac:dyDescent="0.2">
      <c r="AE156" s="204"/>
      <c r="AF156" s="127"/>
      <c r="AG156" s="127"/>
      <c r="AH156" s="127"/>
      <c r="AI156" s="127"/>
      <c r="AJ156" s="127"/>
      <c r="AK156" s="127"/>
      <c r="AL156" s="127"/>
      <c r="AM156" s="127"/>
      <c r="AN156" s="127"/>
      <c r="AO156" s="127"/>
      <c r="AP156" s="127"/>
      <c r="AQ156" s="127"/>
      <c r="AR156" s="127"/>
      <c r="AS156" s="127"/>
      <c r="AT156" s="127"/>
      <c r="AU156" s="205"/>
    </row>
    <row r="157" spans="24:47" x14ac:dyDescent="0.2">
      <c r="AE157" s="204"/>
      <c r="AF157" s="127"/>
      <c r="AG157" s="127"/>
      <c r="AH157" s="127"/>
      <c r="AI157" s="127"/>
      <c r="AJ157" s="127"/>
      <c r="AK157" s="127"/>
      <c r="AL157" s="127"/>
      <c r="AM157" s="127"/>
      <c r="AN157" s="127"/>
      <c r="AO157" s="127"/>
      <c r="AP157" s="127"/>
      <c r="AQ157" s="127"/>
      <c r="AR157" s="127"/>
      <c r="AS157" s="127"/>
      <c r="AT157" s="127"/>
      <c r="AU157" s="205"/>
    </row>
    <row r="158" spans="24:47" ht="15" customHeight="1" x14ac:dyDescent="0.2">
      <c r="X158" s="127"/>
      <c r="Y158" s="127"/>
      <c r="AE158" s="204"/>
      <c r="AF158" s="205"/>
      <c r="AG158" s="205"/>
      <c r="AH158" s="205"/>
      <c r="AI158" s="205"/>
      <c r="AJ158" s="205"/>
      <c r="AK158" s="205"/>
      <c r="AL158" s="205"/>
      <c r="AM158" s="205"/>
      <c r="AN158" s="205"/>
      <c r="AO158" s="205"/>
      <c r="AP158" s="205"/>
      <c r="AQ158" s="205"/>
      <c r="AR158" s="205"/>
      <c r="AS158" s="205"/>
      <c r="AT158" s="205"/>
      <c r="AU158" s="205"/>
    </row>
    <row r="159" spans="24:47" x14ac:dyDescent="0.2">
      <c r="AE159" s="204"/>
      <c r="AF159" s="127"/>
      <c r="AG159" s="127"/>
      <c r="AH159" s="127"/>
      <c r="AI159" s="127"/>
      <c r="AJ159" s="127"/>
      <c r="AK159" s="127"/>
      <c r="AL159" s="127"/>
      <c r="AM159" s="127"/>
      <c r="AN159" s="127"/>
      <c r="AO159" s="127"/>
      <c r="AP159" s="127"/>
      <c r="AQ159" s="127"/>
      <c r="AR159" s="127"/>
      <c r="AS159" s="127"/>
      <c r="AT159" s="127"/>
      <c r="AU159" s="205"/>
    </row>
    <row r="160" spans="24:47" x14ac:dyDescent="0.2">
      <c r="AE160" s="204"/>
      <c r="AF160" s="127"/>
      <c r="AG160" s="127"/>
      <c r="AH160" s="127"/>
      <c r="AI160" s="127"/>
      <c r="AJ160" s="127"/>
      <c r="AK160" s="127"/>
      <c r="AL160" s="127"/>
      <c r="AM160" s="127"/>
      <c r="AN160" s="127"/>
      <c r="AO160" s="127"/>
      <c r="AP160" s="127"/>
      <c r="AQ160" s="127"/>
      <c r="AR160" s="127"/>
      <c r="AS160" s="127"/>
      <c r="AT160" s="127"/>
      <c r="AU160" s="205"/>
    </row>
    <row r="161" spans="24:47" x14ac:dyDescent="0.2">
      <c r="AE161" s="204"/>
      <c r="AF161" s="127"/>
      <c r="AG161" s="127"/>
      <c r="AH161" s="127"/>
      <c r="AI161" s="127"/>
      <c r="AJ161" s="127"/>
      <c r="AK161" s="127"/>
      <c r="AL161" s="127"/>
      <c r="AM161" s="127"/>
      <c r="AN161" s="127"/>
      <c r="AO161" s="127"/>
      <c r="AP161" s="127"/>
      <c r="AQ161" s="127"/>
      <c r="AR161" s="127"/>
      <c r="AS161" s="127"/>
      <c r="AT161" s="127"/>
      <c r="AU161" s="205"/>
    </row>
    <row r="162" spans="24:47" x14ac:dyDescent="0.2">
      <c r="AE162" s="204"/>
      <c r="AF162" s="127"/>
      <c r="AG162" s="127"/>
      <c r="AH162" s="127"/>
      <c r="AI162" s="127"/>
      <c r="AJ162" s="127"/>
      <c r="AK162" s="127"/>
      <c r="AL162" s="127"/>
      <c r="AM162" s="127"/>
      <c r="AN162" s="127"/>
      <c r="AO162" s="127"/>
      <c r="AP162" s="127"/>
      <c r="AQ162" s="127"/>
      <c r="AR162" s="127"/>
      <c r="AS162" s="127"/>
      <c r="AT162" s="127"/>
      <c r="AU162" s="205"/>
    </row>
    <row r="163" spans="24:47" x14ac:dyDescent="0.2">
      <c r="AE163" s="204"/>
      <c r="AF163" s="127"/>
      <c r="AG163" s="127"/>
      <c r="AH163" s="127"/>
      <c r="AI163" s="127"/>
      <c r="AJ163" s="127"/>
      <c r="AK163" s="127"/>
      <c r="AL163" s="127"/>
      <c r="AM163" s="127"/>
      <c r="AN163" s="127"/>
      <c r="AO163" s="127"/>
      <c r="AP163" s="127"/>
      <c r="AQ163" s="127"/>
      <c r="AR163" s="127"/>
      <c r="AS163" s="127"/>
      <c r="AT163" s="127"/>
      <c r="AU163" s="205"/>
    </row>
    <row r="164" spans="24:47" x14ac:dyDescent="0.2">
      <c r="AE164" s="204"/>
      <c r="AF164" s="127"/>
      <c r="AG164" s="127"/>
      <c r="AH164" s="127"/>
      <c r="AI164" s="127"/>
      <c r="AJ164" s="127"/>
      <c r="AK164" s="127"/>
      <c r="AL164" s="127"/>
      <c r="AM164" s="127"/>
      <c r="AN164" s="127"/>
      <c r="AO164" s="127"/>
      <c r="AP164" s="127"/>
      <c r="AQ164" s="127"/>
      <c r="AR164" s="127"/>
      <c r="AS164" s="127"/>
      <c r="AT164" s="127"/>
      <c r="AU164" s="205"/>
    </row>
    <row r="165" spans="24:47" x14ac:dyDescent="0.2">
      <c r="AE165" s="204"/>
      <c r="AF165" s="127"/>
      <c r="AG165" s="127"/>
      <c r="AH165" s="127"/>
      <c r="AI165" s="127"/>
      <c r="AJ165" s="127"/>
      <c r="AK165" s="127"/>
      <c r="AL165" s="127"/>
      <c r="AM165" s="127"/>
      <c r="AN165" s="127"/>
      <c r="AO165" s="127"/>
      <c r="AP165" s="127"/>
      <c r="AQ165" s="127"/>
      <c r="AR165" s="127"/>
      <c r="AS165" s="127"/>
      <c r="AT165" s="127"/>
      <c r="AU165" s="205"/>
    </row>
    <row r="166" spans="24:47" x14ac:dyDescent="0.2">
      <c r="AE166" s="204"/>
      <c r="AF166" s="127"/>
      <c r="AG166" s="127"/>
      <c r="AH166" s="127"/>
      <c r="AI166" s="127"/>
      <c r="AJ166" s="127"/>
      <c r="AK166" s="127"/>
      <c r="AL166" s="127"/>
      <c r="AM166" s="127"/>
      <c r="AN166" s="127"/>
      <c r="AO166" s="127"/>
      <c r="AP166" s="127"/>
      <c r="AQ166" s="127"/>
      <c r="AR166" s="127"/>
      <c r="AS166" s="127"/>
      <c r="AT166" s="127"/>
    </row>
    <row r="167" spans="24:47" x14ac:dyDescent="0.2">
      <c r="AE167" s="204"/>
      <c r="AF167" s="127"/>
      <c r="AG167" s="127"/>
      <c r="AH167" s="127"/>
      <c r="AI167" s="127"/>
      <c r="AJ167" s="127"/>
      <c r="AK167" s="127"/>
      <c r="AL167" s="127"/>
      <c r="AM167" s="127"/>
      <c r="AN167" s="127"/>
      <c r="AO167" s="127"/>
      <c r="AP167" s="127"/>
      <c r="AQ167" s="127"/>
      <c r="AR167" s="127"/>
      <c r="AS167" s="127"/>
      <c r="AT167" s="127"/>
    </row>
    <row r="168" spans="24:47" x14ac:dyDescent="0.2">
      <c r="AE168" s="204"/>
      <c r="AF168" s="127"/>
      <c r="AG168" s="127"/>
      <c r="AH168" s="127"/>
      <c r="AI168" s="127"/>
      <c r="AJ168" s="127"/>
      <c r="AK168" s="127"/>
      <c r="AL168" s="127"/>
      <c r="AM168" s="127"/>
      <c r="AN168" s="127"/>
      <c r="AO168" s="127"/>
      <c r="AP168" s="127"/>
      <c r="AQ168" s="127"/>
      <c r="AR168" s="127"/>
      <c r="AS168" s="127"/>
      <c r="AT168" s="127"/>
    </row>
    <row r="169" spans="24:47" x14ac:dyDescent="0.2">
      <c r="AE169" s="204"/>
      <c r="AF169" s="127"/>
      <c r="AG169" s="127"/>
      <c r="AH169" s="127"/>
      <c r="AI169" s="127"/>
      <c r="AJ169" s="127"/>
      <c r="AK169" s="127"/>
      <c r="AL169" s="127"/>
      <c r="AM169" s="127"/>
      <c r="AN169" s="127"/>
      <c r="AO169" s="127"/>
      <c r="AP169" s="127"/>
      <c r="AQ169" s="127"/>
      <c r="AR169" s="127"/>
      <c r="AS169" s="127"/>
      <c r="AT169" s="127"/>
    </row>
    <row r="170" spans="24:47" x14ac:dyDescent="0.2">
      <c r="AE170" s="204"/>
      <c r="AF170" s="127"/>
      <c r="AG170" s="127"/>
      <c r="AH170" s="127"/>
      <c r="AI170" s="127"/>
      <c r="AJ170" s="127"/>
      <c r="AK170" s="127"/>
      <c r="AL170" s="127"/>
      <c r="AM170" s="127"/>
      <c r="AN170" s="127"/>
      <c r="AO170" s="127"/>
      <c r="AP170" s="127"/>
      <c r="AQ170" s="127"/>
      <c r="AR170" s="127"/>
      <c r="AS170" s="127"/>
      <c r="AT170" s="127"/>
    </row>
    <row r="171" spans="24:47" x14ac:dyDescent="0.2">
      <c r="AE171" s="204"/>
      <c r="AF171" s="127"/>
      <c r="AG171" s="127"/>
      <c r="AH171" s="127"/>
      <c r="AI171" s="127"/>
      <c r="AJ171" s="127"/>
      <c r="AK171" s="127"/>
      <c r="AL171" s="127"/>
      <c r="AM171" s="127"/>
      <c r="AN171" s="127"/>
      <c r="AO171" s="127"/>
      <c r="AP171" s="127"/>
      <c r="AQ171" s="127"/>
      <c r="AR171" s="127"/>
      <c r="AS171" s="127"/>
      <c r="AT171" s="127"/>
    </row>
    <row r="172" spans="24:47" x14ac:dyDescent="0.2">
      <c r="AE172" s="204"/>
      <c r="AG172" s="127"/>
      <c r="AH172" s="127"/>
      <c r="AI172" s="127"/>
      <c r="AJ172" s="127"/>
      <c r="AK172" s="127"/>
      <c r="AL172" s="127"/>
      <c r="AM172" s="127"/>
      <c r="AN172" s="127"/>
    </row>
    <row r="173" spans="24:47" ht="15" customHeight="1" x14ac:dyDescent="0.2">
      <c r="X173" s="127"/>
      <c r="Y173" s="127"/>
      <c r="AE173" s="204"/>
      <c r="AF173" s="127"/>
      <c r="AG173" s="127"/>
      <c r="AH173" s="127"/>
      <c r="AI173" s="127"/>
      <c r="AJ173" s="127"/>
      <c r="AK173" s="127"/>
      <c r="AL173" s="127"/>
      <c r="AM173" s="127"/>
      <c r="AN173" s="127"/>
      <c r="AO173" s="127"/>
      <c r="AP173" s="127"/>
      <c r="AQ173" s="127"/>
      <c r="AR173" s="127"/>
      <c r="AS173" s="127"/>
      <c r="AT173" s="127"/>
    </row>
    <row r="174" spans="24:47" x14ac:dyDescent="0.2">
      <c r="AE174" s="204"/>
      <c r="AF174" s="127"/>
      <c r="AG174" s="127"/>
      <c r="AH174" s="127"/>
      <c r="AI174" s="127"/>
      <c r="AJ174" s="127"/>
      <c r="AK174" s="127"/>
      <c r="AL174" s="127"/>
      <c r="AM174" s="127"/>
      <c r="AN174" s="127"/>
      <c r="AO174" s="127"/>
      <c r="AP174" s="127"/>
      <c r="AQ174" s="127"/>
      <c r="AR174" s="127"/>
      <c r="AS174" s="127"/>
      <c r="AT174" s="127"/>
    </row>
    <row r="175" spans="24:47" x14ac:dyDescent="0.2">
      <c r="AE175" s="204"/>
      <c r="AF175" s="127"/>
      <c r="AG175" s="127"/>
      <c r="AH175" s="127"/>
      <c r="AI175" s="127"/>
      <c r="AJ175" s="127"/>
      <c r="AK175" s="127"/>
      <c r="AL175" s="127"/>
      <c r="AM175" s="127"/>
      <c r="AN175" s="127"/>
      <c r="AO175" s="127"/>
      <c r="AP175" s="127"/>
      <c r="AQ175" s="127"/>
      <c r="AR175" s="127"/>
      <c r="AS175" s="127"/>
      <c r="AT175" s="127"/>
    </row>
    <row r="176" spans="24:47" x14ac:dyDescent="0.2">
      <c r="AE176" s="204"/>
      <c r="AF176" s="127"/>
      <c r="AG176" s="127"/>
      <c r="AH176" s="127"/>
      <c r="AI176" s="127"/>
      <c r="AJ176" s="127"/>
      <c r="AK176" s="127"/>
      <c r="AL176" s="127"/>
      <c r="AM176" s="127"/>
      <c r="AN176" s="127"/>
      <c r="AO176" s="127"/>
      <c r="AP176" s="127"/>
      <c r="AQ176" s="127"/>
      <c r="AR176" s="127"/>
      <c r="AS176" s="127"/>
      <c r="AT176" s="127"/>
    </row>
    <row r="177" spans="31:46" x14ac:dyDescent="0.2">
      <c r="AE177" s="204"/>
      <c r="AF177" s="127"/>
      <c r="AG177" s="127"/>
      <c r="AH177" s="127"/>
      <c r="AI177" s="127"/>
      <c r="AJ177" s="127"/>
      <c r="AK177" s="127"/>
      <c r="AL177" s="127"/>
      <c r="AM177" s="127"/>
      <c r="AN177" s="127"/>
      <c r="AO177" s="127"/>
      <c r="AP177" s="127"/>
      <c r="AQ177" s="127"/>
      <c r="AR177" s="127"/>
      <c r="AS177" s="127"/>
      <c r="AT177" s="127"/>
    </row>
    <row r="178" spans="31:46" x14ac:dyDescent="0.2">
      <c r="AE178" s="204"/>
      <c r="AF178" s="127"/>
      <c r="AG178" s="127"/>
      <c r="AH178" s="127"/>
      <c r="AI178" s="127"/>
      <c r="AJ178" s="127"/>
      <c r="AK178" s="127"/>
      <c r="AL178" s="127"/>
      <c r="AM178" s="127"/>
      <c r="AN178" s="127"/>
      <c r="AO178" s="127"/>
      <c r="AP178" s="127"/>
      <c r="AQ178" s="127"/>
      <c r="AR178" s="127"/>
      <c r="AS178" s="127"/>
      <c r="AT178" s="127"/>
    </row>
    <row r="179" spans="31:46" x14ac:dyDescent="0.2">
      <c r="AE179" s="204"/>
      <c r="AF179" s="127"/>
      <c r="AG179" s="127"/>
      <c r="AH179" s="127"/>
      <c r="AI179" s="127"/>
      <c r="AJ179" s="127"/>
      <c r="AK179" s="127"/>
      <c r="AL179" s="127"/>
      <c r="AM179" s="127"/>
      <c r="AN179" s="127"/>
      <c r="AO179" s="127"/>
      <c r="AP179" s="127"/>
      <c r="AQ179" s="127"/>
      <c r="AR179" s="127"/>
      <c r="AS179" s="127"/>
      <c r="AT179" s="127"/>
    </row>
    <row r="180" spans="31:46" x14ac:dyDescent="0.2">
      <c r="AE180" s="204"/>
      <c r="AF180" s="127"/>
      <c r="AG180" s="127"/>
      <c r="AH180" s="127"/>
      <c r="AI180" s="127"/>
      <c r="AJ180" s="127"/>
      <c r="AK180" s="127"/>
      <c r="AL180" s="127"/>
      <c r="AM180" s="127"/>
      <c r="AN180" s="127"/>
      <c r="AO180" s="127"/>
      <c r="AP180" s="127"/>
      <c r="AQ180" s="127"/>
      <c r="AR180" s="127"/>
      <c r="AS180" s="127"/>
      <c r="AT180" s="127"/>
    </row>
    <row r="181" spans="31:46" x14ac:dyDescent="0.2">
      <c r="AE181" s="204"/>
      <c r="AF181" s="127"/>
      <c r="AG181" s="127"/>
      <c r="AH181" s="127"/>
      <c r="AI181" s="127"/>
      <c r="AJ181" s="127"/>
      <c r="AK181" s="127"/>
      <c r="AL181" s="127"/>
      <c r="AM181" s="127"/>
      <c r="AN181" s="127"/>
      <c r="AO181" s="127"/>
      <c r="AP181" s="127"/>
      <c r="AQ181" s="127"/>
      <c r="AR181" s="127"/>
      <c r="AS181" s="127"/>
      <c r="AT181" s="127"/>
    </row>
    <row r="182" spans="31:46" x14ac:dyDescent="0.2">
      <c r="AE182" s="204"/>
      <c r="AF182" s="127"/>
      <c r="AG182" s="127"/>
      <c r="AH182" s="127"/>
      <c r="AI182" s="127"/>
      <c r="AJ182" s="127"/>
      <c r="AK182" s="127"/>
      <c r="AL182" s="127"/>
      <c r="AM182" s="127"/>
      <c r="AN182" s="127"/>
      <c r="AO182" s="127"/>
      <c r="AP182" s="127"/>
      <c r="AQ182" s="127"/>
      <c r="AR182" s="127"/>
      <c r="AS182" s="127"/>
      <c r="AT182" s="127"/>
    </row>
    <row r="183" spans="31:46" x14ac:dyDescent="0.2">
      <c r="AE183" s="204"/>
      <c r="AF183" s="127"/>
      <c r="AG183" s="127"/>
      <c r="AH183" s="127"/>
      <c r="AI183" s="127"/>
      <c r="AJ183" s="127"/>
      <c r="AK183" s="127"/>
      <c r="AL183" s="127"/>
      <c r="AM183" s="127"/>
      <c r="AN183" s="127"/>
      <c r="AO183" s="127"/>
      <c r="AP183" s="127"/>
      <c r="AQ183" s="127"/>
      <c r="AR183" s="127"/>
      <c r="AS183" s="127"/>
      <c r="AT183" s="127"/>
    </row>
    <row r="184" spans="31:46" x14ac:dyDescent="0.2">
      <c r="AE184" s="204"/>
      <c r="AF184" s="127"/>
      <c r="AG184" s="127"/>
      <c r="AH184" s="127"/>
      <c r="AI184" s="127"/>
      <c r="AJ184" s="127"/>
      <c r="AK184" s="127"/>
      <c r="AL184" s="127"/>
      <c r="AM184" s="127"/>
      <c r="AN184" s="127"/>
      <c r="AO184" s="127"/>
      <c r="AP184" s="127"/>
      <c r="AQ184" s="127"/>
      <c r="AR184" s="127"/>
      <c r="AS184" s="127"/>
      <c r="AT184" s="127"/>
    </row>
    <row r="185" spans="31:46" x14ac:dyDescent="0.2">
      <c r="AE185" s="204"/>
      <c r="AF185" s="127"/>
      <c r="AG185" s="127"/>
      <c r="AH185" s="127"/>
      <c r="AI185" s="127"/>
      <c r="AJ185" s="127"/>
      <c r="AK185" s="127"/>
      <c r="AL185" s="127"/>
      <c r="AM185" s="127"/>
      <c r="AN185" s="127"/>
      <c r="AO185" s="127"/>
      <c r="AP185" s="127"/>
      <c r="AQ185" s="127"/>
      <c r="AR185" s="127"/>
      <c r="AS185" s="127"/>
      <c r="AT185" s="127"/>
    </row>
    <row r="186" spans="31:46" x14ac:dyDescent="0.2">
      <c r="AE186" s="204"/>
      <c r="AG186" s="127"/>
      <c r="AH186" s="127"/>
      <c r="AI186" s="127"/>
      <c r="AJ186" s="127"/>
      <c r="AK186" s="127"/>
      <c r="AL186" s="127"/>
      <c r="AM186" s="127"/>
      <c r="AN186" s="127"/>
    </row>
    <row r="187" spans="31:46" x14ac:dyDescent="0.2">
      <c r="AE187" s="204"/>
      <c r="AF187" s="127"/>
      <c r="AG187" s="127"/>
      <c r="AH187" s="127"/>
      <c r="AI187" s="127"/>
      <c r="AJ187" s="127"/>
      <c r="AK187" s="127"/>
      <c r="AL187" s="127"/>
      <c r="AM187" s="127"/>
      <c r="AN187" s="127"/>
      <c r="AO187" s="127"/>
      <c r="AP187" s="127"/>
      <c r="AQ187" s="127"/>
      <c r="AR187" s="127"/>
      <c r="AS187" s="127"/>
      <c r="AT187" s="127"/>
    </row>
    <row r="188" spans="31:46" x14ac:dyDescent="0.2">
      <c r="AE188" s="204"/>
      <c r="AF188" s="127"/>
      <c r="AG188" s="127"/>
      <c r="AH188" s="127"/>
      <c r="AI188" s="127"/>
      <c r="AJ188" s="127"/>
      <c r="AK188" s="127"/>
      <c r="AL188" s="127"/>
      <c r="AM188" s="127"/>
      <c r="AN188" s="127"/>
      <c r="AO188" s="127"/>
      <c r="AP188" s="127"/>
      <c r="AQ188" s="127"/>
      <c r="AR188" s="127"/>
      <c r="AS188" s="127"/>
      <c r="AT188" s="127"/>
    </row>
    <row r="189" spans="31:46" x14ac:dyDescent="0.2">
      <c r="AE189" s="204"/>
      <c r="AF189" s="127"/>
      <c r="AG189" s="127"/>
      <c r="AH189" s="127"/>
      <c r="AI189" s="127"/>
      <c r="AJ189" s="127"/>
      <c r="AK189" s="127"/>
      <c r="AL189" s="127"/>
      <c r="AM189" s="127"/>
      <c r="AN189" s="127"/>
      <c r="AO189" s="127"/>
      <c r="AP189" s="127"/>
      <c r="AQ189" s="127"/>
      <c r="AR189" s="127"/>
      <c r="AS189" s="127"/>
      <c r="AT189" s="127"/>
    </row>
    <row r="190" spans="31:46" x14ac:dyDescent="0.2">
      <c r="AE190" s="204"/>
      <c r="AF190" s="127"/>
      <c r="AG190" s="127"/>
      <c r="AH190" s="127"/>
      <c r="AI190" s="127"/>
      <c r="AJ190" s="127"/>
      <c r="AK190" s="127"/>
      <c r="AL190" s="127"/>
      <c r="AM190" s="127"/>
      <c r="AN190" s="127"/>
      <c r="AO190" s="127"/>
      <c r="AP190" s="127"/>
      <c r="AQ190" s="127"/>
      <c r="AR190" s="127"/>
      <c r="AS190" s="127"/>
      <c r="AT190" s="127"/>
    </row>
    <row r="191" spans="31:46" x14ac:dyDescent="0.2">
      <c r="AE191" s="204"/>
      <c r="AF191" s="127"/>
      <c r="AG191" s="127"/>
      <c r="AH191" s="127"/>
      <c r="AI191" s="127"/>
      <c r="AJ191" s="127"/>
      <c r="AK191" s="127"/>
      <c r="AL191" s="127"/>
      <c r="AM191" s="127"/>
      <c r="AN191" s="127"/>
      <c r="AO191" s="127"/>
      <c r="AP191" s="127"/>
      <c r="AQ191" s="127"/>
      <c r="AR191" s="127"/>
      <c r="AS191" s="127"/>
      <c r="AT191" s="127"/>
    </row>
    <row r="192" spans="31:46" x14ac:dyDescent="0.2">
      <c r="AE192" s="204"/>
      <c r="AF192" s="127"/>
      <c r="AG192" s="127"/>
      <c r="AH192" s="127"/>
      <c r="AI192" s="127"/>
      <c r="AJ192" s="127"/>
      <c r="AK192" s="127"/>
      <c r="AL192" s="127"/>
      <c r="AM192" s="127"/>
      <c r="AN192" s="127"/>
      <c r="AO192" s="127"/>
      <c r="AP192" s="127"/>
      <c r="AQ192" s="127"/>
      <c r="AR192" s="127"/>
      <c r="AS192" s="127"/>
      <c r="AT192" s="127"/>
    </row>
    <row r="193" spans="31:46" x14ac:dyDescent="0.2">
      <c r="AE193" s="204"/>
      <c r="AF193" s="127"/>
      <c r="AG193" s="127"/>
      <c r="AH193" s="127"/>
      <c r="AI193" s="127"/>
      <c r="AJ193" s="127"/>
      <c r="AK193" s="127"/>
      <c r="AL193" s="127"/>
      <c r="AM193" s="127"/>
      <c r="AN193" s="127"/>
      <c r="AO193" s="127"/>
      <c r="AP193" s="127"/>
      <c r="AQ193" s="127"/>
      <c r="AR193" s="127"/>
      <c r="AS193" s="127"/>
      <c r="AT193" s="127"/>
    </row>
    <row r="194" spans="31:46" x14ac:dyDescent="0.2">
      <c r="AE194" s="204"/>
      <c r="AF194" s="127"/>
      <c r="AG194" s="127"/>
      <c r="AH194" s="127"/>
      <c r="AI194" s="127"/>
      <c r="AJ194" s="127"/>
      <c r="AK194" s="127"/>
      <c r="AL194" s="127"/>
      <c r="AM194" s="127"/>
      <c r="AN194" s="127"/>
      <c r="AO194" s="127"/>
      <c r="AP194" s="127"/>
      <c r="AQ194" s="127"/>
      <c r="AR194" s="127"/>
      <c r="AS194" s="127"/>
      <c r="AT194" s="127"/>
    </row>
    <row r="195" spans="31:46" x14ac:dyDescent="0.2">
      <c r="AE195" s="204"/>
      <c r="AF195" s="127"/>
      <c r="AG195" s="127"/>
      <c r="AH195" s="127"/>
      <c r="AI195" s="127"/>
      <c r="AJ195" s="127"/>
      <c r="AK195" s="127"/>
      <c r="AL195" s="127"/>
      <c r="AM195" s="127"/>
      <c r="AN195" s="127"/>
      <c r="AO195" s="127"/>
      <c r="AP195" s="127"/>
      <c r="AQ195" s="127"/>
      <c r="AR195" s="127"/>
      <c r="AS195" s="127"/>
      <c r="AT195" s="127"/>
    </row>
    <row r="196" spans="31:46" x14ac:dyDescent="0.2">
      <c r="AE196" s="204"/>
      <c r="AF196" s="127"/>
      <c r="AG196" s="127"/>
      <c r="AH196" s="127"/>
      <c r="AI196" s="127"/>
      <c r="AJ196" s="127"/>
      <c r="AK196" s="127"/>
      <c r="AL196" s="127"/>
      <c r="AM196" s="127"/>
      <c r="AN196" s="127"/>
      <c r="AO196" s="127"/>
      <c r="AP196" s="127"/>
      <c r="AQ196" s="127"/>
      <c r="AR196" s="127"/>
      <c r="AS196" s="127"/>
      <c r="AT196" s="127"/>
    </row>
    <row r="197" spans="31:46" x14ac:dyDescent="0.2">
      <c r="AE197" s="204"/>
      <c r="AF197" s="127"/>
      <c r="AG197" s="127"/>
      <c r="AH197" s="127"/>
      <c r="AI197" s="127"/>
      <c r="AJ197" s="127"/>
      <c r="AK197" s="127"/>
      <c r="AL197" s="127"/>
      <c r="AM197" s="127"/>
      <c r="AN197" s="127"/>
      <c r="AO197" s="127"/>
      <c r="AP197" s="127"/>
      <c r="AQ197" s="127"/>
      <c r="AR197" s="127"/>
      <c r="AS197" s="127"/>
      <c r="AT197" s="127"/>
    </row>
    <row r="198" spans="31:46" x14ac:dyDescent="0.2">
      <c r="AE198" s="204"/>
      <c r="AF198" s="127"/>
      <c r="AG198" s="127"/>
      <c r="AH198" s="127"/>
      <c r="AI198" s="127"/>
      <c r="AJ198" s="127"/>
      <c r="AK198" s="127"/>
      <c r="AL198" s="127"/>
      <c r="AM198" s="127"/>
      <c r="AN198" s="127"/>
      <c r="AO198" s="127"/>
      <c r="AP198" s="127"/>
      <c r="AQ198" s="127"/>
      <c r="AR198" s="127"/>
      <c r="AS198" s="127"/>
      <c r="AT198" s="127"/>
    </row>
    <row r="199" spans="31:46" x14ac:dyDescent="0.2">
      <c r="AE199" s="204"/>
      <c r="AF199" s="127"/>
      <c r="AG199" s="127"/>
      <c r="AH199" s="127"/>
      <c r="AI199" s="127"/>
      <c r="AJ199" s="127"/>
      <c r="AK199" s="127"/>
      <c r="AL199" s="127"/>
      <c r="AM199" s="127"/>
      <c r="AN199" s="127"/>
      <c r="AO199" s="127"/>
      <c r="AP199" s="127"/>
      <c r="AQ199" s="127"/>
      <c r="AR199" s="127"/>
      <c r="AS199" s="127"/>
      <c r="AT199" s="127"/>
    </row>
    <row r="200" spans="31:46" x14ac:dyDescent="0.2">
      <c r="AE200" s="204"/>
    </row>
    <row r="201" spans="31:46" x14ac:dyDescent="0.2">
      <c r="AE201" s="204"/>
      <c r="AF201" s="127"/>
      <c r="AG201" s="127"/>
      <c r="AH201" s="127"/>
      <c r="AI201" s="127"/>
      <c r="AJ201" s="127"/>
      <c r="AK201" s="127"/>
      <c r="AL201" s="127"/>
      <c r="AM201" s="127"/>
      <c r="AN201" s="127"/>
      <c r="AO201" s="127"/>
      <c r="AP201" s="127"/>
      <c r="AQ201" s="127"/>
      <c r="AR201" s="127"/>
      <c r="AS201" s="127"/>
      <c r="AT201" s="127"/>
    </row>
    <row r="202" spans="31:46" x14ac:dyDescent="0.2">
      <c r="AE202" s="204"/>
      <c r="AF202" s="127"/>
      <c r="AG202" s="127"/>
      <c r="AH202" s="127"/>
      <c r="AI202" s="127"/>
      <c r="AJ202" s="127"/>
      <c r="AK202" s="127"/>
      <c r="AL202" s="127"/>
      <c r="AM202" s="127"/>
      <c r="AN202" s="127"/>
      <c r="AO202" s="127"/>
      <c r="AP202" s="127"/>
      <c r="AQ202" s="127"/>
      <c r="AR202" s="127"/>
      <c r="AS202" s="127"/>
      <c r="AT202" s="127"/>
    </row>
    <row r="203" spans="31:46" x14ac:dyDescent="0.2">
      <c r="AE203" s="204"/>
      <c r="AF203" s="127"/>
      <c r="AG203" s="127"/>
      <c r="AH203" s="127"/>
      <c r="AI203" s="127"/>
      <c r="AJ203" s="127"/>
      <c r="AK203" s="127"/>
      <c r="AL203" s="127"/>
      <c r="AM203" s="127"/>
      <c r="AN203" s="127"/>
      <c r="AO203" s="127"/>
      <c r="AP203" s="127"/>
      <c r="AQ203" s="127"/>
      <c r="AR203" s="127"/>
      <c r="AS203" s="127"/>
      <c r="AT203" s="127"/>
    </row>
    <row r="204" spans="31:46" x14ac:dyDescent="0.2">
      <c r="AE204" s="204"/>
      <c r="AF204" s="127"/>
      <c r="AG204" s="127"/>
      <c r="AH204" s="127"/>
      <c r="AI204" s="127"/>
      <c r="AJ204" s="127"/>
      <c r="AK204" s="127"/>
      <c r="AL204" s="127"/>
      <c r="AM204" s="127"/>
      <c r="AN204" s="127"/>
      <c r="AO204" s="127"/>
      <c r="AP204" s="127"/>
      <c r="AQ204" s="127"/>
      <c r="AR204" s="127"/>
      <c r="AS204" s="127"/>
      <c r="AT204" s="127"/>
    </row>
    <row r="205" spans="31:46" x14ac:dyDescent="0.2">
      <c r="AE205" s="204"/>
      <c r="AF205" s="127"/>
      <c r="AG205" s="127"/>
      <c r="AH205" s="127"/>
      <c r="AI205" s="127"/>
      <c r="AJ205" s="127"/>
      <c r="AK205" s="127"/>
      <c r="AL205" s="127"/>
      <c r="AM205" s="127"/>
      <c r="AN205" s="127"/>
      <c r="AO205" s="127"/>
      <c r="AP205" s="127"/>
      <c r="AQ205" s="127"/>
      <c r="AR205" s="127"/>
      <c r="AS205" s="127"/>
      <c r="AT205" s="127"/>
    </row>
    <row r="206" spans="31:46" x14ac:dyDescent="0.2">
      <c r="AE206" s="204"/>
      <c r="AF206" s="127"/>
      <c r="AG206" s="127"/>
      <c r="AH206" s="127"/>
      <c r="AI206" s="127"/>
      <c r="AJ206" s="127"/>
      <c r="AK206" s="127"/>
      <c r="AL206" s="127"/>
      <c r="AM206" s="127"/>
      <c r="AN206" s="127"/>
      <c r="AO206" s="127"/>
      <c r="AP206" s="127"/>
      <c r="AQ206" s="127"/>
      <c r="AR206" s="127"/>
      <c r="AS206" s="127"/>
      <c r="AT206" s="127"/>
    </row>
    <row r="207" spans="31:46" x14ac:dyDescent="0.2">
      <c r="AE207" s="204"/>
      <c r="AF207" s="127"/>
      <c r="AG207" s="127"/>
      <c r="AH207" s="127"/>
      <c r="AI207" s="127"/>
      <c r="AJ207" s="127"/>
      <c r="AK207" s="127"/>
      <c r="AL207" s="127"/>
      <c r="AM207" s="127"/>
      <c r="AN207" s="127"/>
      <c r="AO207" s="127"/>
      <c r="AP207" s="127"/>
      <c r="AQ207" s="127"/>
      <c r="AR207" s="127"/>
      <c r="AS207" s="127"/>
      <c r="AT207" s="127"/>
    </row>
    <row r="208" spans="31:46" x14ac:dyDescent="0.2">
      <c r="AE208" s="204"/>
      <c r="AF208" s="127"/>
      <c r="AG208" s="127"/>
      <c r="AH208" s="127"/>
      <c r="AI208" s="127"/>
      <c r="AJ208" s="127"/>
      <c r="AK208" s="127"/>
      <c r="AL208" s="127"/>
      <c r="AM208" s="127"/>
      <c r="AN208" s="127"/>
      <c r="AO208" s="127"/>
      <c r="AP208" s="127"/>
      <c r="AQ208" s="127"/>
      <c r="AR208" s="127"/>
      <c r="AS208" s="127"/>
      <c r="AT208" s="127"/>
    </row>
    <row r="209" spans="31:46" x14ac:dyDescent="0.2">
      <c r="AE209" s="204"/>
      <c r="AF209" s="127"/>
      <c r="AG209" s="127"/>
      <c r="AH209" s="127"/>
      <c r="AI209" s="127"/>
      <c r="AJ209" s="127"/>
      <c r="AK209" s="127"/>
      <c r="AL209" s="127"/>
      <c r="AM209" s="127"/>
      <c r="AN209" s="127"/>
      <c r="AO209" s="127"/>
      <c r="AP209" s="127"/>
      <c r="AQ209" s="127"/>
      <c r="AR209" s="127"/>
      <c r="AS209" s="127"/>
      <c r="AT209" s="127"/>
    </row>
    <row r="210" spans="31:46" x14ac:dyDescent="0.2">
      <c r="AE210" s="204"/>
      <c r="AF210" s="127"/>
      <c r="AG210" s="127"/>
      <c r="AH210" s="127"/>
      <c r="AI210" s="127"/>
      <c r="AJ210" s="127"/>
      <c r="AK210" s="127"/>
      <c r="AL210" s="127"/>
      <c r="AM210" s="127"/>
      <c r="AN210" s="127"/>
      <c r="AO210" s="127"/>
      <c r="AP210" s="127"/>
      <c r="AQ210" s="127"/>
      <c r="AR210" s="127"/>
      <c r="AS210" s="127"/>
      <c r="AT210" s="127"/>
    </row>
    <row r="211" spans="31:46" x14ac:dyDescent="0.2">
      <c r="AE211" s="204"/>
      <c r="AF211" s="127"/>
      <c r="AG211" s="127"/>
      <c r="AH211" s="127"/>
      <c r="AI211" s="127"/>
      <c r="AJ211" s="127"/>
      <c r="AK211" s="127"/>
      <c r="AL211" s="127"/>
      <c r="AM211" s="127"/>
      <c r="AN211" s="127"/>
      <c r="AO211" s="127"/>
      <c r="AP211" s="127"/>
      <c r="AQ211" s="127"/>
      <c r="AR211" s="127"/>
      <c r="AS211" s="127"/>
      <c r="AT211" s="127"/>
    </row>
    <row r="212" spans="31:46" x14ac:dyDescent="0.2">
      <c r="AE212" s="204"/>
      <c r="AF212" s="127"/>
      <c r="AG212" s="127"/>
      <c r="AH212" s="127"/>
      <c r="AI212" s="127"/>
      <c r="AJ212" s="127"/>
      <c r="AK212" s="127"/>
      <c r="AL212" s="127"/>
      <c r="AM212" s="127"/>
      <c r="AN212" s="127"/>
      <c r="AO212" s="127"/>
      <c r="AP212" s="127"/>
      <c r="AQ212" s="127"/>
      <c r="AR212" s="127"/>
      <c r="AS212" s="127"/>
      <c r="AT212" s="127"/>
    </row>
    <row r="213" spans="31:46" x14ac:dyDescent="0.2">
      <c r="AE213" s="204"/>
      <c r="AF213" s="127"/>
      <c r="AG213" s="127"/>
      <c r="AH213" s="127"/>
      <c r="AI213" s="127"/>
      <c r="AJ213" s="127"/>
      <c r="AK213" s="127"/>
      <c r="AL213" s="127"/>
      <c r="AM213" s="127"/>
      <c r="AN213" s="127"/>
      <c r="AO213" s="127"/>
      <c r="AP213" s="127"/>
      <c r="AQ213" s="127"/>
      <c r="AR213" s="127"/>
      <c r="AS213" s="127"/>
      <c r="AT213" s="127"/>
    </row>
    <row r="215" spans="31:46" x14ac:dyDescent="0.2">
      <c r="AE215" s="204"/>
      <c r="AF215" s="127"/>
      <c r="AG215" s="127"/>
      <c r="AH215" s="127"/>
      <c r="AI215" s="127"/>
      <c r="AJ215" s="127"/>
      <c r="AK215" s="127"/>
      <c r="AL215" s="127"/>
      <c r="AM215" s="127"/>
      <c r="AN215" s="127"/>
      <c r="AO215" s="127"/>
      <c r="AP215" s="127"/>
      <c r="AQ215" s="127"/>
      <c r="AR215" s="127"/>
      <c r="AS215" s="127"/>
      <c r="AT215" s="127"/>
    </row>
    <row r="216" spans="31:46" x14ac:dyDescent="0.2">
      <c r="AF216" s="127"/>
      <c r="AG216" s="127"/>
      <c r="AH216" s="127"/>
      <c r="AI216" s="127"/>
      <c r="AJ216" s="127"/>
      <c r="AK216" s="127"/>
      <c r="AL216" s="127"/>
      <c r="AM216" s="127"/>
      <c r="AN216" s="127"/>
      <c r="AO216" s="127"/>
      <c r="AP216" s="127"/>
      <c r="AQ216" s="127"/>
      <c r="AR216" s="127"/>
      <c r="AS216" s="127"/>
      <c r="AT216" s="127"/>
    </row>
    <row r="217" spans="31:46" x14ac:dyDescent="0.2">
      <c r="AF217" s="127"/>
      <c r="AG217" s="127"/>
      <c r="AH217" s="127"/>
      <c r="AI217" s="127"/>
      <c r="AJ217" s="127"/>
      <c r="AK217" s="127"/>
      <c r="AL217" s="127"/>
      <c r="AM217" s="127"/>
      <c r="AN217" s="127"/>
      <c r="AO217" s="127"/>
      <c r="AP217" s="127"/>
      <c r="AQ217" s="127"/>
      <c r="AR217" s="127"/>
      <c r="AS217" s="127"/>
      <c r="AT217" s="127"/>
    </row>
    <row r="218" spans="31:46" x14ac:dyDescent="0.2">
      <c r="AF218" s="127"/>
      <c r="AG218" s="127"/>
      <c r="AH218" s="127"/>
      <c r="AI218" s="127"/>
      <c r="AJ218" s="127"/>
      <c r="AK218" s="127"/>
      <c r="AL218" s="127"/>
      <c r="AM218" s="127"/>
      <c r="AN218" s="127"/>
      <c r="AO218" s="127"/>
      <c r="AP218" s="127"/>
      <c r="AQ218" s="127"/>
      <c r="AR218" s="127"/>
      <c r="AS218" s="127"/>
      <c r="AT218" s="127"/>
    </row>
    <row r="219" spans="31:46" x14ac:dyDescent="0.2">
      <c r="AF219" s="127"/>
      <c r="AG219" s="127"/>
      <c r="AH219" s="127"/>
      <c r="AI219" s="127"/>
      <c r="AJ219" s="127"/>
      <c r="AK219" s="127"/>
      <c r="AL219" s="127"/>
      <c r="AM219" s="127"/>
      <c r="AN219" s="127"/>
      <c r="AO219" s="127"/>
      <c r="AP219" s="127"/>
      <c r="AQ219" s="127"/>
      <c r="AR219" s="127"/>
      <c r="AS219" s="127"/>
      <c r="AT219" s="127"/>
    </row>
    <row r="220" spans="31:46" x14ac:dyDescent="0.2">
      <c r="AF220" s="127"/>
      <c r="AG220" s="127"/>
      <c r="AH220" s="127"/>
      <c r="AI220" s="127"/>
      <c r="AJ220" s="127"/>
      <c r="AK220" s="127"/>
      <c r="AL220" s="127"/>
      <c r="AM220" s="127"/>
      <c r="AN220" s="127"/>
      <c r="AO220" s="127"/>
      <c r="AP220" s="127"/>
      <c r="AQ220" s="127"/>
      <c r="AR220" s="127"/>
      <c r="AS220" s="127"/>
      <c r="AT220" s="127"/>
    </row>
    <row r="221" spans="31:46" x14ac:dyDescent="0.2">
      <c r="AF221" s="127"/>
      <c r="AG221" s="127"/>
      <c r="AH221" s="127"/>
      <c r="AI221" s="127"/>
      <c r="AJ221" s="127"/>
      <c r="AK221" s="127"/>
      <c r="AL221" s="127"/>
      <c r="AM221" s="127"/>
      <c r="AN221" s="127"/>
      <c r="AO221" s="127"/>
      <c r="AP221" s="127"/>
      <c r="AQ221" s="127"/>
      <c r="AR221" s="127"/>
      <c r="AS221" s="127"/>
      <c r="AT221" s="127"/>
    </row>
    <row r="222" spans="31:46" x14ac:dyDescent="0.2">
      <c r="AF222" s="127"/>
      <c r="AG222" s="127"/>
      <c r="AH222" s="127"/>
      <c r="AI222" s="127"/>
      <c r="AJ222" s="127"/>
      <c r="AK222" s="127"/>
      <c r="AL222" s="127"/>
      <c r="AM222" s="127"/>
      <c r="AN222" s="127"/>
      <c r="AO222" s="127"/>
      <c r="AP222" s="127"/>
      <c r="AQ222" s="127"/>
      <c r="AR222" s="127"/>
      <c r="AS222" s="127"/>
      <c r="AT222" s="127"/>
    </row>
    <row r="223" spans="31:46" x14ac:dyDescent="0.2">
      <c r="AF223" s="127"/>
      <c r="AG223" s="127"/>
      <c r="AH223" s="127"/>
      <c r="AI223" s="127"/>
      <c r="AJ223" s="127"/>
      <c r="AK223" s="127"/>
      <c r="AL223" s="127"/>
      <c r="AM223" s="127"/>
      <c r="AN223" s="127"/>
      <c r="AO223" s="127"/>
      <c r="AP223" s="127"/>
      <c r="AQ223" s="127"/>
      <c r="AR223" s="127"/>
      <c r="AS223" s="127"/>
      <c r="AT223" s="127"/>
    </row>
    <row r="224" spans="31:46" x14ac:dyDescent="0.2">
      <c r="AF224" s="127"/>
      <c r="AG224" s="127"/>
      <c r="AH224" s="127"/>
      <c r="AI224" s="127"/>
      <c r="AJ224" s="127"/>
      <c r="AK224" s="127"/>
      <c r="AL224" s="127"/>
      <c r="AM224" s="127"/>
      <c r="AN224" s="127"/>
      <c r="AO224" s="127"/>
      <c r="AP224" s="127"/>
      <c r="AQ224" s="127"/>
      <c r="AR224" s="127"/>
      <c r="AS224" s="127"/>
      <c r="AT224" s="127"/>
    </row>
    <row r="225" spans="31:52" x14ac:dyDescent="0.2">
      <c r="AF225" s="127"/>
      <c r="AG225" s="127"/>
      <c r="AH225" s="127"/>
      <c r="AI225" s="127"/>
      <c r="AJ225" s="127"/>
      <c r="AK225" s="127"/>
      <c r="AL225" s="127"/>
      <c r="AM225" s="127"/>
      <c r="AN225" s="127"/>
      <c r="AO225" s="127"/>
      <c r="AP225" s="127"/>
      <c r="AQ225" s="127"/>
      <c r="AR225" s="127"/>
      <c r="AS225" s="127"/>
      <c r="AT225" s="127"/>
    </row>
    <row r="226" spans="31:52" x14ac:dyDescent="0.2">
      <c r="AF226" s="127"/>
      <c r="AG226" s="127"/>
      <c r="AH226" s="127"/>
      <c r="AI226" s="127"/>
      <c r="AJ226" s="127"/>
      <c r="AK226" s="127"/>
      <c r="AL226" s="127"/>
      <c r="AM226" s="127"/>
      <c r="AN226" s="127"/>
      <c r="AO226" s="127"/>
      <c r="AP226" s="127"/>
      <c r="AQ226" s="127"/>
      <c r="AR226" s="127"/>
      <c r="AS226" s="127"/>
      <c r="AT226" s="127"/>
    </row>
    <row r="227" spans="31:52" x14ac:dyDescent="0.2">
      <c r="AF227" s="127"/>
      <c r="AG227" s="127"/>
      <c r="AH227" s="127"/>
      <c r="AI227" s="127"/>
      <c r="AJ227" s="127"/>
      <c r="AK227" s="127"/>
      <c r="AL227" s="127"/>
      <c r="AM227" s="127"/>
      <c r="AN227" s="127"/>
      <c r="AO227" s="127"/>
      <c r="AP227" s="127"/>
      <c r="AQ227" s="127"/>
      <c r="AR227" s="127"/>
      <c r="AS227" s="127"/>
      <c r="AT227" s="127"/>
    </row>
    <row r="229" spans="31:52" x14ac:dyDescent="0.2">
      <c r="AE229" s="206"/>
      <c r="AF229" s="127"/>
      <c r="AG229" s="127"/>
      <c r="AH229" s="127"/>
      <c r="AI229" s="127"/>
      <c r="AJ229" s="127"/>
      <c r="AK229" s="127"/>
      <c r="AL229" s="127"/>
      <c r="AM229" s="127"/>
      <c r="AN229" s="127"/>
      <c r="AO229" s="127"/>
      <c r="AP229" s="127"/>
      <c r="AQ229" s="127"/>
      <c r="AR229" s="127"/>
      <c r="AS229" s="127"/>
      <c r="AT229" s="127"/>
      <c r="AU229" s="127"/>
      <c r="AV229" s="127"/>
      <c r="AW229" s="127"/>
      <c r="AX229" s="127"/>
      <c r="AY229" s="127"/>
      <c r="AZ229" s="127"/>
    </row>
    <row r="230" spans="31:52" x14ac:dyDescent="0.2">
      <c r="AF230" s="127"/>
      <c r="AG230" s="127"/>
      <c r="AH230" s="127"/>
      <c r="AI230" s="127"/>
      <c r="AJ230" s="127"/>
      <c r="AK230" s="127"/>
      <c r="AL230" s="127"/>
      <c r="AM230" s="127"/>
      <c r="AN230" s="127"/>
      <c r="AO230" s="127"/>
      <c r="AP230" s="127"/>
      <c r="AQ230" s="127"/>
      <c r="AR230" s="127"/>
      <c r="AS230" s="127"/>
      <c r="AT230" s="127"/>
      <c r="AU230" s="127"/>
      <c r="AV230" s="127"/>
      <c r="AW230" s="127"/>
      <c r="AX230" s="127"/>
      <c r="AY230" s="127"/>
      <c r="AZ230" s="127"/>
    </row>
    <row r="231" spans="31:52" x14ac:dyDescent="0.2">
      <c r="AF231" s="127"/>
      <c r="AG231" s="127"/>
      <c r="AH231" s="127"/>
      <c r="AI231" s="127"/>
      <c r="AJ231" s="127"/>
      <c r="AK231" s="127"/>
      <c r="AL231" s="127"/>
      <c r="AM231" s="127"/>
      <c r="AN231" s="127"/>
      <c r="AO231" s="127"/>
      <c r="AP231" s="127"/>
      <c r="AQ231" s="127"/>
      <c r="AR231" s="127"/>
      <c r="AS231" s="127"/>
      <c r="AT231" s="127"/>
      <c r="AU231" s="127"/>
      <c r="AV231" s="127"/>
      <c r="AW231" s="127"/>
      <c r="AX231" s="127"/>
      <c r="AY231" s="127"/>
      <c r="AZ231" s="127"/>
    </row>
    <row r="232" spans="31:52" x14ac:dyDescent="0.2">
      <c r="AF232" s="127"/>
      <c r="AG232" s="127"/>
      <c r="AH232" s="127"/>
      <c r="AI232" s="127"/>
      <c r="AJ232" s="127"/>
      <c r="AK232" s="127"/>
      <c r="AL232" s="127"/>
      <c r="AM232" s="127"/>
      <c r="AN232" s="127"/>
      <c r="AO232" s="127"/>
      <c r="AP232" s="127"/>
      <c r="AQ232" s="127"/>
      <c r="AR232" s="127"/>
      <c r="AS232" s="127"/>
      <c r="AT232" s="127"/>
      <c r="AU232" s="127"/>
      <c r="AV232" s="127"/>
      <c r="AW232" s="127"/>
      <c r="AX232" s="127"/>
      <c r="AY232" s="127"/>
      <c r="AZ232" s="127"/>
    </row>
    <row r="233" spans="31:52" x14ac:dyDescent="0.2">
      <c r="AF233" s="127"/>
      <c r="AG233" s="127"/>
      <c r="AH233" s="127"/>
      <c r="AI233" s="127"/>
      <c r="AJ233" s="127"/>
      <c r="AK233" s="127"/>
      <c r="AL233" s="127"/>
      <c r="AM233" s="127"/>
      <c r="AN233" s="127"/>
      <c r="AO233" s="127"/>
      <c r="AP233" s="127"/>
      <c r="AQ233" s="127"/>
      <c r="AR233" s="127"/>
      <c r="AS233" s="127"/>
      <c r="AT233" s="127"/>
      <c r="AU233" s="127"/>
      <c r="AV233" s="127"/>
      <c r="AW233" s="127"/>
      <c r="AX233" s="127"/>
      <c r="AY233" s="127"/>
      <c r="AZ233" s="127"/>
    </row>
    <row r="234" spans="31:52" x14ac:dyDescent="0.2">
      <c r="AF234" s="127"/>
      <c r="AG234" s="127"/>
      <c r="AH234" s="127"/>
      <c r="AI234" s="127"/>
      <c r="AJ234" s="127"/>
      <c r="AK234" s="127"/>
      <c r="AL234" s="127"/>
      <c r="AM234" s="127"/>
      <c r="AN234" s="127"/>
      <c r="AO234" s="127"/>
      <c r="AP234" s="127"/>
      <c r="AQ234" s="127"/>
      <c r="AR234" s="127"/>
      <c r="AS234" s="127"/>
      <c r="AT234" s="127"/>
      <c r="AU234" s="127"/>
      <c r="AV234" s="127"/>
      <c r="AW234" s="127"/>
      <c r="AX234" s="127"/>
      <c r="AY234" s="127"/>
      <c r="AZ234" s="127"/>
    </row>
    <row r="235" spans="31:52" x14ac:dyDescent="0.2">
      <c r="AF235" s="127"/>
      <c r="AG235" s="127"/>
      <c r="AH235" s="127"/>
      <c r="AI235" s="127"/>
      <c r="AJ235" s="127"/>
      <c r="AK235" s="127"/>
      <c r="AL235" s="127"/>
      <c r="AM235" s="127"/>
      <c r="AN235" s="127"/>
      <c r="AO235" s="127"/>
      <c r="AP235" s="127"/>
      <c r="AQ235" s="127"/>
      <c r="AR235" s="127"/>
      <c r="AS235" s="127"/>
      <c r="AT235" s="127"/>
      <c r="AU235" s="127"/>
      <c r="AV235" s="127"/>
      <c r="AW235" s="127"/>
      <c r="AX235" s="127"/>
      <c r="AY235" s="127"/>
      <c r="AZ235" s="127"/>
    </row>
    <row r="236" spans="31:52" x14ac:dyDescent="0.2">
      <c r="AF236" s="127"/>
      <c r="AG236" s="127"/>
      <c r="AH236" s="127"/>
      <c r="AI236" s="127"/>
      <c r="AJ236" s="127"/>
      <c r="AK236" s="127"/>
      <c r="AL236" s="127"/>
      <c r="AM236" s="127"/>
      <c r="AN236" s="127"/>
      <c r="AO236" s="127"/>
      <c r="AP236" s="127"/>
      <c r="AQ236" s="127"/>
      <c r="AR236" s="127"/>
      <c r="AS236" s="127"/>
      <c r="AT236" s="127"/>
      <c r="AU236" s="127"/>
      <c r="AV236" s="127"/>
      <c r="AW236" s="127"/>
      <c r="AX236" s="127"/>
      <c r="AY236" s="127"/>
      <c r="AZ236" s="127"/>
    </row>
    <row r="237" spans="31:52" x14ac:dyDescent="0.2">
      <c r="AF237" s="127"/>
      <c r="AG237" s="127"/>
      <c r="AH237" s="127"/>
      <c r="AI237" s="127"/>
      <c r="AJ237" s="127"/>
      <c r="AK237" s="127"/>
      <c r="AL237" s="127"/>
      <c r="AM237" s="127"/>
      <c r="AN237" s="127"/>
      <c r="AO237" s="127"/>
      <c r="AP237" s="127"/>
      <c r="AQ237" s="127"/>
      <c r="AR237" s="127"/>
      <c r="AS237" s="127"/>
      <c r="AT237" s="127"/>
      <c r="AU237" s="127"/>
      <c r="AV237" s="127"/>
      <c r="AW237" s="127"/>
      <c r="AX237" s="127"/>
      <c r="AY237" s="127"/>
      <c r="AZ237" s="127"/>
    </row>
    <row r="238" spans="31:52" x14ac:dyDescent="0.2">
      <c r="AF238" s="127"/>
      <c r="AG238" s="127"/>
      <c r="AH238" s="127"/>
      <c r="AI238" s="127"/>
      <c r="AJ238" s="127"/>
      <c r="AK238" s="127"/>
      <c r="AL238" s="127"/>
      <c r="AM238" s="127"/>
      <c r="AN238" s="127"/>
      <c r="AO238" s="127"/>
      <c r="AP238" s="127"/>
      <c r="AQ238" s="127"/>
      <c r="AR238" s="127"/>
      <c r="AS238" s="127"/>
      <c r="AT238" s="127"/>
      <c r="AU238" s="127"/>
      <c r="AV238" s="127"/>
      <c r="AW238" s="127"/>
      <c r="AX238" s="127"/>
      <c r="AY238" s="127"/>
      <c r="AZ238" s="127"/>
    </row>
    <row r="239" spans="31:52" x14ac:dyDescent="0.2">
      <c r="AF239" s="127"/>
      <c r="AG239" s="127"/>
      <c r="AH239" s="127"/>
      <c r="AI239" s="127"/>
      <c r="AJ239" s="127"/>
      <c r="AK239" s="127"/>
      <c r="AL239" s="127"/>
      <c r="AM239" s="127"/>
      <c r="AN239" s="127"/>
      <c r="AO239" s="127"/>
      <c r="AP239" s="127"/>
      <c r="AQ239" s="127"/>
      <c r="AR239" s="127"/>
      <c r="AS239" s="127"/>
      <c r="AT239" s="127"/>
      <c r="AU239" s="127"/>
      <c r="AV239" s="127"/>
      <c r="AW239" s="127"/>
      <c r="AX239" s="127"/>
      <c r="AY239" s="127"/>
      <c r="AZ239" s="127"/>
    </row>
    <row r="240" spans="31:52" x14ac:dyDescent="0.2">
      <c r="AF240" s="127"/>
      <c r="AG240" s="127"/>
      <c r="AH240" s="127"/>
      <c r="AI240" s="127"/>
      <c r="AJ240" s="127"/>
      <c r="AK240" s="127"/>
      <c r="AL240" s="127"/>
      <c r="AM240" s="127"/>
      <c r="AN240" s="127"/>
      <c r="AO240" s="127"/>
      <c r="AP240" s="127"/>
      <c r="AQ240" s="127"/>
      <c r="AR240" s="127"/>
      <c r="AS240" s="127"/>
      <c r="AT240" s="127"/>
      <c r="AU240" s="127"/>
      <c r="AV240" s="127"/>
      <c r="AW240" s="127"/>
      <c r="AX240" s="127"/>
      <c r="AY240" s="127"/>
      <c r="AZ240" s="127"/>
    </row>
    <row r="241" spans="31:52" x14ac:dyDescent="0.2">
      <c r="AF241" s="127"/>
      <c r="AG241" s="127"/>
      <c r="AH241" s="127"/>
      <c r="AI241" s="127"/>
      <c r="AJ241" s="127"/>
      <c r="AK241" s="127"/>
      <c r="AL241" s="127"/>
      <c r="AM241" s="127"/>
      <c r="AN241" s="127"/>
      <c r="AO241" s="127"/>
      <c r="AP241" s="127"/>
      <c r="AQ241" s="127"/>
      <c r="AR241" s="127"/>
      <c r="AS241" s="127"/>
      <c r="AT241" s="127"/>
      <c r="AU241" s="127"/>
      <c r="AV241" s="127"/>
      <c r="AW241" s="127"/>
      <c r="AX241" s="127"/>
      <c r="AY241" s="127"/>
      <c r="AZ241" s="127"/>
    </row>
    <row r="242" spans="31:52" x14ac:dyDescent="0.2">
      <c r="AF242" s="127"/>
      <c r="AG242" s="127"/>
      <c r="AH242" s="127"/>
      <c r="AI242" s="127"/>
      <c r="AJ242" s="127"/>
      <c r="AK242" s="127"/>
      <c r="AL242" s="127"/>
      <c r="AM242" s="127"/>
      <c r="AN242" s="127"/>
      <c r="AO242" s="127"/>
      <c r="AP242" s="127"/>
      <c r="AQ242" s="127"/>
      <c r="AR242" s="127"/>
      <c r="AS242" s="127"/>
      <c r="AT242" s="127"/>
      <c r="AU242" s="127"/>
      <c r="AV242" s="127"/>
      <c r="AW242" s="127"/>
      <c r="AX242" s="127"/>
      <c r="AY242" s="127"/>
      <c r="AZ242" s="127"/>
    </row>
    <row r="243" spans="31:52" x14ac:dyDescent="0.2">
      <c r="AF243" s="127"/>
      <c r="AG243" s="127"/>
      <c r="AH243" s="127"/>
      <c r="AI243" s="127"/>
      <c r="AJ243" s="127"/>
      <c r="AK243" s="127"/>
      <c r="AL243" s="127"/>
      <c r="AM243" s="127"/>
      <c r="AN243" s="127"/>
      <c r="AO243" s="127"/>
      <c r="AP243" s="127"/>
      <c r="AQ243" s="127"/>
      <c r="AR243" s="127"/>
      <c r="AS243" s="127"/>
      <c r="AT243" s="127"/>
      <c r="AU243" s="127"/>
      <c r="AV243" s="127"/>
      <c r="AW243" s="127"/>
      <c r="AX243" s="127"/>
      <c r="AY243" s="127"/>
      <c r="AZ243" s="127"/>
    </row>
    <row r="244" spans="31:52" x14ac:dyDescent="0.2">
      <c r="AF244" s="127"/>
      <c r="AG244" s="127"/>
      <c r="AH244" s="127"/>
      <c r="AI244" s="127"/>
      <c r="AJ244" s="127"/>
      <c r="AK244" s="127"/>
      <c r="AL244" s="127"/>
      <c r="AM244" s="127"/>
      <c r="AN244" s="127"/>
      <c r="AO244" s="127"/>
      <c r="AP244" s="127"/>
      <c r="AQ244" s="127"/>
      <c r="AR244" s="127"/>
      <c r="AS244" s="127"/>
      <c r="AT244" s="127"/>
      <c r="AU244" s="127"/>
      <c r="AV244" s="127"/>
      <c r="AW244" s="127"/>
      <c r="AX244" s="127"/>
      <c r="AY244" s="127"/>
      <c r="AZ244" s="127"/>
    </row>
    <row r="245" spans="31:52" x14ac:dyDescent="0.2">
      <c r="AF245" s="127"/>
      <c r="AG245" s="127"/>
      <c r="AH245" s="127"/>
      <c r="AI245" s="127"/>
      <c r="AJ245" s="127"/>
      <c r="AK245" s="127"/>
      <c r="AL245" s="127"/>
      <c r="AM245" s="127"/>
      <c r="AN245" s="127"/>
      <c r="AO245" s="127"/>
      <c r="AP245" s="127"/>
      <c r="AQ245" s="127"/>
      <c r="AR245" s="127"/>
      <c r="AS245" s="127"/>
      <c r="AT245" s="127"/>
      <c r="AU245" s="127"/>
      <c r="AV245" s="127"/>
      <c r="AW245" s="127"/>
      <c r="AX245" s="127"/>
      <c r="AY245" s="127"/>
      <c r="AZ245" s="127"/>
    </row>
    <row r="246" spans="31:52" x14ac:dyDescent="0.2">
      <c r="AF246" s="127"/>
      <c r="AG246" s="127"/>
      <c r="AH246" s="127"/>
      <c r="AI246" s="127"/>
      <c r="AJ246" s="127"/>
      <c r="AK246" s="127"/>
      <c r="AL246" s="127"/>
      <c r="AM246" s="127"/>
      <c r="AN246" s="127"/>
      <c r="AO246" s="127"/>
      <c r="AP246" s="127"/>
      <c r="AQ246" s="127"/>
      <c r="AR246" s="127"/>
      <c r="AS246" s="127"/>
      <c r="AT246" s="127"/>
      <c r="AU246" s="127"/>
      <c r="AV246" s="127"/>
      <c r="AW246" s="127"/>
      <c r="AX246" s="127"/>
      <c r="AY246" s="127"/>
      <c r="AZ246" s="127"/>
    </row>
    <row r="247" spans="31:52" x14ac:dyDescent="0.2">
      <c r="AF247" s="127"/>
      <c r="AG247" s="127"/>
      <c r="AH247" s="127"/>
      <c r="AI247" s="127"/>
      <c r="AJ247" s="127"/>
      <c r="AK247" s="127"/>
      <c r="AL247" s="127"/>
      <c r="AM247" s="127"/>
      <c r="AN247" s="127"/>
      <c r="AO247" s="127"/>
      <c r="AP247" s="127"/>
      <c r="AQ247" s="127"/>
      <c r="AR247" s="127"/>
      <c r="AS247" s="127"/>
      <c r="AT247" s="127"/>
      <c r="AU247" s="127"/>
      <c r="AV247" s="127"/>
      <c r="AW247" s="127"/>
      <c r="AX247" s="127"/>
      <c r="AY247" s="127"/>
      <c r="AZ247" s="127"/>
    </row>
    <row r="248" spans="31:52" x14ac:dyDescent="0.2">
      <c r="AF248" s="127"/>
      <c r="AG248" s="127"/>
      <c r="AH248" s="127"/>
      <c r="AI248" s="127"/>
      <c r="AJ248" s="127"/>
      <c r="AK248" s="127"/>
      <c r="AL248" s="127"/>
      <c r="AM248" s="127"/>
      <c r="AN248" s="127"/>
      <c r="AO248" s="127"/>
      <c r="AP248" s="127"/>
      <c r="AQ248" s="127"/>
      <c r="AR248" s="127"/>
      <c r="AS248" s="127"/>
      <c r="AT248" s="127"/>
      <c r="AU248" s="127"/>
      <c r="AV248" s="127"/>
      <c r="AW248" s="127"/>
      <c r="AX248" s="127"/>
      <c r="AY248" s="127"/>
      <c r="AZ248" s="127"/>
    </row>
    <row r="249" spans="31:52" x14ac:dyDescent="0.2">
      <c r="AF249" s="127"/>
      <c r="AG249" s="127"/>
      <c r="AH249" s="127"/>
      <c r="AI249" s="127"/>
      <c r="AJ249" s="127"/>
      <c r="AK249" s="127"/>
      <c r="AL249" s="127"/>
      <c r="AM249" s="127"/>
      <c r="AN249" s="127"/>
      <c r="AO249" s="127"/>
      <c r="AP249" s="127"/>
      <c r="AQ249" s="127"/>
      <c r="AR249" s="127"/>
      <c r="AS249" s="127"/>
      <c r="AT249" s="127"/>
      <c r="AU249" s="127"/>
      <c r="AV249" s="127"/>
      <c r="AW249" s="127"/>
      <c r="AX249" s="127"/>
      <c r="AY249" s="127"/>
      <c r="AZ249" s="127"/>
    </row>
    <row r="250" spans="31:52" x14ac:dyDescent="0.2">
      <c r="AF250" s="127"/>
      <c r="AG250" s="127"/>
      <c r="AH250" s="127"/>
      <c r="AI250" s="127"/>
      <c r="AJ250" s="127"/>
      <c r="AK250" s="127"/>
      <c r="AL250" s="127"/>
      <c r="AM250" s="127"/>
      <c r="AN250" s="127"/>
      <c r="AO250" s="127"/>
      <c r="AP250" s="127"/>
      <c r="AQ250" s="127"/>
      <c r="AR250" s="127"/>
      <c r="AS250" s="127"/>
      <c r="AT250" s="127"/>
      <c r="AU250" s="127"/>
      <c r="AV250" s="127"/>
      <c r="AW250" s="127"/>
      <c r="AX250" s="127"/>
      <c r="AY250" s="127"/>
      <c r="AZ250" s="127"/>
    </row>
    <row r="251" spans="31:52" x14ac:dyDescent="0.2">
      <c r="AF251" s="127"/>
      <c r="AG251" s="127"/>
      <c r="AH251" s="127"/>
      <c r="AI251" s="127"/>
      <c r="AJ251" s="127"/>
      <c r="AK251" s="127"/>
      <c r="AL251" s="127"/>
      <c r="AM251" s="127"/>
      <c r="AN251" s="127"/>
      <c r="AO251" s="127"/>
      <c r="AP251" s="127"/>
      <c r="AQ251" s="127"/>
      <c r="AR251" s="127"/>
      <c r="AS251" s="127"/>
      <c r="AT251" s="127"/>
      <c r="AU251" s="127"/>
      <c r="AV251" s="127"/>
      <c r="AW251" s="127"/>
      <c r="AX251" s="127"/>
      <c r="AY251" s="127"/>
      <c r="AZ251" s="127"/>
    </row>
    <row r="252" spans="31:52" x14ac:dyDescent="0.2">
      <c r="AF252" s="127"/>
      <c r="AG252" s="127"/>
      <c r="AH252" s="127"/>
      <c r="AI252" s="127"/>
      <c r="AJ252" s="127"/>
      <c r="AK252" s="127"/>
      <c r="AL252" s="127"/>
      <c r="AM252" s="127"/>
      <c r="AN252" s="127"/>
      <c r="AO252" s="127"/>
      <c r="AP252" s="127"/>
      <c r="AQ252" s="127"/>
      <c r="AR252" s="127"/>
      <c r="AS252" s="127"/>
      <c r="AT252" s="127"/>
      <c r="AU252" s="127"/>
      <c r="AV252" s="127"/>
      <c r="AW252" s="127"/>
      <c r="AX252" s="127"/>
      <c r="AY252" s="127"/>
      <c r="AZ252" s="127"/>
    </row>
    <row r="253" spans="31:52" x14ac:dyDescent="0.2">
      <c r="AF253" s="127"/>
      <c r="AG253" s="127"/>
      <c r="AH253" s="127"/>
      <c r="AI253" s="127"/>
      <c r="AJ253" s="127"/>
      <c r="AK253" s="127"/>
      <c r="AL253" s="127"/>
      <c r="AM253" s="127"/>
      <c r="AN253" s="127"/>
      <c r="AO253" s="127"/>
      <c r="AP253" s="127"/>
      <c r="AQ253" s="127"/>
      <c r="AR253" s="127"/>
      <c r="AS253" s="127"/>
      <c r="AT253" s="127"/>
      <c r="AU253" s="127"/>
      <c r="AV253" s="127"/>
      <c r="AW253" s="127"/>
      <c r="AX253" s="127"/>
      <c r="AY253" s="127"/>
      <c r="AZ253" s="127"/>
    </row>
    <row r="255" spans="31:52" x14ac:dyDescent="0.2">
      <c r="AE255" s="207"/>
      <c r="AF255" s="127"/>
      <c r="AG255" s="127"/>
      <c r="AH255" s="127"/>
      <c r="AI255" s="127"/>
      <c r="AJ255" s="127"/>
      <c r="AK255" s="127"/>
      <c r="AL255" s="127"/>
      <c r="AM255" s="127"/>
      <c r="AN255" s="127"/>
      <c r="AO255" s="127"/>
      <c r="AP255" s="127"/>
      <c r="AQ255" s="127"/>
      <c r="AR255" s="127"/>
      <c r="AS255" s="127"/>
      <c r="AT255" s="127"/>
      <c r="AU255" s="127"/>
      <c r="AV255" s="127"/>
      <c r="AW255" s="127"/>
      <c r="AX255" s="127"/>
      <c r="AY255" s="127"/>
      <c r="AZ255" s="127"/>
    </row>
    <row r="256" spans="31:52" x14ac:dyDescent="0.2">
      <c r="AF256" s="127"/>
      <c r="AG256" s="127"/>
      <c r="AH256" s="127"/>
      <c r="AI256" s="127"/>
      <c r="AJ256" s="127"/>
      <c r="AK256" s="127"/>
      <c r="AL256" s="127"/>
      <c r="AM256" s="127"/>
      <c r="AN256" s="127"/>
      <c r="AO256" s="127"/>
      <c r="AP256" s="127"/>
      <c r="AQ256" s="127"/>
      <c r="AR256" s="127"/>
      <c r="AS256" s="127"/>
      <c r="AT256" s="127"/>
      <c r="AU256" s="127"/>
      <c r="AV256" s="127"/>
      <c r="AW256" s="127"/>
      <c r="AX256" s="127"/>
      <c r="AY256" s="127"/>
      <c r="AZ256" s="127"/>
    </row>
    <row r="257" spans="32:52" x14ac:dyDescent="0.2">
      <c r="AF257" s="127"/>
      <c r="AG257" s="127"/>
      <c r="AH257" s="127"/>
      <c r="AI257" s="127"/>
      <c r="AJ257" s="127"/>
      <c r="AK257" s="127"/>
      <c r="AL257" s="127"/>
      <c r="AM257" s="127"/>
      <c r="AN257" s="127"/>
      <c r="AO257" s="127"/>
      <c r="AP257" s="127"/>
      <c r="AQ257" s="127"/>
      <c r="AR257" s="127"/>
      <c r="AS257" s="127"/>
      <c r="AT257" s="127"/>
      <c r="AU257" s="127"/>
      <c r="AV257" s="127"/>
      <c r="AW257" s="127"/>
      <c r="AX257" s="127"/>
      <c r="AY257" s="127"/>
      <c r="AZ257" s="127"/>
    </row>
    <row r="258" spans="32:52" x14ac:dyDescent="0.2">
      <c r="AF258" s="127"/>
      <c r="AG258" s="127"/>
      <c r="AH258" s="127"/>
      <c r="AI258" s="127"/>
      <c r="AJ258" s="127"/>
      <c r="AK258" s="127"/>
      <c r="AL258" s="127"/>
      <c r="AM258" s="127"/>
      <c r="AN258" s="127"/>
      <c r="AO258" s="127"/>
      <c r="AP258" s="127"/>
      <c r="AQ258" s="127"/>
      <c r="AR258" s="127"/>
      <c r="AS258" s="127"/>
      <c r="AT258" s="127"/>
      <c r="AU258" s="127"/>
      <c r="AV258" s="127"/>
      <c r="AW258" s="127"/>
      <c r="AX258" s="127"/>
      <c r="AY258" s="127"/>
      <c r="AZ258" s="127"/>
    </row>
    <row r="259" spans="32:52" x14ac:dyDescent="0.2">
      <c r="AF259" s="127"/>
      <c r="AG259" s="127"/>
      <c r="AH259" s="127"/>
      <c r="AI259" s="127"/>
      <c r="AJ259" s="127"/>
      <c r="AK259" s="127"/>
      <c r="AL259" s="127"/>
      <c r="AM259" s="127"/>
      <c r="AN259" s="127"/>
      <c r="AO259" s="127"/>
      <c r="AP259" s="127"/>
      <c r="AQ259" s="127"/>
      <c r="AR259" s="127"/>
      <c r="AS259" s="127"/>
      <c r="AT259" s="127"/>
      <c r="AU259" s="127"/>
      <c r="AV259" s="127"/>
      <c r="AW259" s="127"/>
      <c r="AX259" s="127"/>
      <c r="AY259" s="127"/>
      <c r="AZ259" s="127"/>
    </row>
    <row r="260" spans="32:52" x14ac:dyDescent="0.2">
      <c r="AF260" s="127"/>
      <c r="AG260" s="127"/>
      <c r="AH260" s="127"/>
      <c r="AI260" s="127"/>
      <c r="AJ260" s="127"/>
      <c r="AK260" s="127"/>
      <c r="AL260" s="127"/>
      <c r="AM260" s="127"/>
      <c r="AN260" s="127"/>
      <c r="AO260" s="127"/>
      <c r="AP260" s="127"/>
      <c r="AQ260" s="127"/>
      <c r="AR260" s="127"/>
      <c r="AS260" s="127"/>
      <c r="AT260" s="127"/>
      <c r="AU260" s="127"/>
      <c r="AV260" s="127"/>
      <c r="AW260" s="127"/>
      <c r="AX260" s="127"/>
      <c r="AY260" s="127"/>
      <c r="AZ260" s="127"/>
    </row>
    <row r="261" spans="32:52" x14ac:dyDescent="0.2">
      <c r="AF261" s="127"/>
      <c r="AG261" s="127"/>
      <c r="AH261" s="127"/>
      <c r="AI261" s="127"/>
      <c r="AJ261" s="127"/>
      <c r="AK261" s="127"/>
      <c r="AL261" s="127"/>
      <c r="AM261" s="127"/>
      <c r="AN261" s="127"/>
      <c r="AO261" s="127"/>
      <c r="AP261" s="127"/>
      <c r="AQ261" s="127"/>
      <c r="AR261" s="127"/>
      <c r="AS261" s="127"/>
      <c r="AT261" s="127"/>
      <c r="AU261" s="127"/>
      <c r="AV261" s="127"/>
      <c r="AW261" s="127"/>
      <c r="AX261" s="127"/>
      <c r="AY261" s="127"/>
      <c r="AZ261" s="127"/>
    </row>
    <row r="262" spans="32:52" x14ac:dyDescent="0.2">
      <c r="AF262" s="127"/>
      <c r="AG262" s="127"/>
      <c r="AH262" s="127"/>
      <c r="AI262" s="127"/>
      <c r="AJ262" s="127"/>
      <c r="AK262" s="127"/>
      <c r="AL262" s="127"/>
      <c r="AM262" s="127"/>
      <c r="AN262" s="127"/>
      <c r="AO262" s="127"/>
      <c r="AP262" s="127"/>
      <c r="AQ262" s="127"/>
      <c r="AR262" s="127"/>
      <c r="AS262" s="127"/>
      <c r="AT262" s="127"/>
      <c r="AU262" s="127"/>
      <c r="AV262" s="127"/>
      <c r="AW262" s="127"/>
      <c r="AX262" s="127"/>
      <c r="AY262" s="127"/>
      <c r="AZ262" s="127"/>
    </row>
    <row r="263" spans="32:52" x14ac:dyDescent="0.2">
      <c r="AF263" s="127"/>
      <c r="AG263" s="127"/>
      <c r="AH263" s="127"/>
      <c r="AI263" s="127"/>
      <c r="AJ263" s="127"/>
      <c r="AK263" s="127"/>
      <c r="AL263" s="127"/>
      <c r="AM263" s="127"/>
      <c r="AN263" s="127"/>
      <c r="AO263" s="127"/>
      <c r="AP263" s="127"/>
      <c r="AQ263" s="127"/>
      <c r="AR263" s="127"/>
      <c r="AS263" s="127"/>
      <c r="AT263" s="127"/>
      <c r="AU263" s="127"/>
      <c r="AV263" s="127"/>
      <c r="AW263" s="127"/>
      <c r="AX263" s="127"/>
      <c r="AY263" s="127"/>
      <c r="AZ263" s="127"/>
    </row>
    <row r="264" spans="32:52" x14ac:dyDescent="0.2">
      <c r="AF264" s="127"/>
      <c r="AG264" s="127"/>
      <c r="AH264" s="127"/>
      <c r="AI264" s="127"/>
      <c r="AJ264" s="127"/>
      <c r="AK264" s="127"/>
      <c r="AL264" s="127"/>
      <c r="AM264" s="127"/>
      <c r="AN264" s="127"/>
      <c r="AO264" s="127"/>
      <c r="AP264" s="127"/>
      <c r="AQ264" s="127"/>
      <c r="AR264" s="127"/>
      <c r="AS264" s="127"/>
      <c r="AT264" s="127"/>
      <c r="AU264" s="127"/>
      <c r="AV264" s="127"/>
      <c r="AW264" s="127"/>
      <c r="AX264" s="127"/>
      <c r="AY264" s="127"/>
      <c r="AZ264" s="127"/>
    </row>
    <row r="265" spans="32:52" x14ac:dyDescent="0.2">
      <c r="AF265" s="127"/>
      <c r="AG265" s="127"/>
      <c r="AH265" s="127"/>
      <c r="AI265" s="127"/>
      <c r="AJ265" s="127"/>
      <c r="AK265" s="127"/>
      <c r="AL265" s="127"/>
      <c r="AM265" s="127"/>
      <c r="AN265" s="127"/>
      <c r="AO265" s="127"/>
      <c r="AP265" s="127"/>
      <c r="AQ265" s="127"/>
      <c r="AR265" s="127"/>
      <c r="AS265" s="127"/>
      <c r="AT265" s="127"/>
      <c r="AU265" s="127"/>
      <c r="AV265" s="127"/>
      <c r="AW265" s="127"/>
      <c r="AX265" s="127"/>
      <c r="AY265" s="127"/>
      <c r="AZ265" s="127"/>
    </row>
    <row r="266" spans="32:52" x14ac:dyDescent="0.2">
      <c r="AF266" s="127"/>
      <c r="AG266" s="127"/>
      <c r="AH266" s="127"/>
      <c r="AI266" s="127"/>
      <c r="AJ266" s="127"/>
      <c r="AK266" s="127"/>
      <c r="AL266" s="127"/>
      <c r="AM266" s="127"/>
      <c r="AN266" s="127"/>
      <c r="AO266" s="127"/>
      <c r="AP266" s="127"/>
      <c r="AQ266" s="127"/>
      <c r="AR266" s="127"/>
      <c r="AS266" s="127"/>
      <c r="AT266" s="127"/>
      <c r="AU266" s="127"/>
      <c r="AV266" s="127"/>
      <c r="AW266" s="127"/>
      <c r="AX266" s="127"/>
      <c r="AY266" s="127"/>
      <c r="AZ266" s="127"/>
    </row>
    <row r="267" spans="32:52" x14ac:dyDescent="0.2">
      <c r="AF267" s="127"/>
      <c r="AG267" s="127"/>
      <c r="AH267" s="127"/>
      <c r="AI267" s="127"/>
      <c r="AJ267" s="127"/>
      <c r="AK267" s="127"/>
      <c r="AL267" s="127"/>
      <c r="AM267" s="127"/>
      <c r="AN267" s="127"/>
      <c r="AO267" s="127"/>
      <c r="AP267" s="127"/>
      <c r="AQ267" s="127"/>
      <c r="AR267" s="127"/>
      <c r="AS267" s="127"/>
      <c r="AT267" s="127"/>
      <c r="AU267" s="127"/>
      <c r="AV267" s="127"/>
      <c r="AW267" s="127"/>
      <c r="AX267" s="127"/>
      <c r="AY267" s="127"/>
      <c r="AZ267" s="127"/>
    </row>
    <row r="268" spans="32:52" x14ac:dyDescent="0.2">
      <c r="AF268" s="127"/>
      <c r="AG268" s="127"/>
      <c r="AH268" s="127"/>
      <c r="AI268" s="127"/>
      <c r="AJ268" s="127"/>
      <c r="AK268" s="127"/>
      <c r="AL268" s="127"/>
      <c r="AM268" s="127"/>
      <c r="AN268" s="127"/>
      <c r="AO268" s="127"/>
      <c r="AP268" s="127"/>
      <c r="AQ268" s="127"/>
      <c r="AR268" s="127"/>
      <c r="AS268" s="127"/>
      <c r="AT268" s="127"/>
      <c r="AU268" s="127"/>
      <c r="AV268" s="127"/>
      <c r="AW268" s="127"/>
      <c r="AX268" s="127"/>
      <c r="AY268" s="127"/>
      <c r="AZ268" s="127"/>
    </row>
    <row r="269" spans="32:52" x14ac:dyDescent="0.2">
      <c r="AF269" s="127"/>
      <c r="AG269" s="127"/>
      <c r="AH269" s="127"/>
      <c r="AI269" s="127"/>
      <c r="AJ269" s="127"/>
      <c r="AK269" s="127"/>
      <c r="AL269" s="127"/>
      <c r="AM269" s="127"/>
      <c r="AN269" s="127"/>
      <c r="AO269" s="127"/>
      <c r="AP269" s="127"/>
      <c r="AQ269" s="127"/>
      <c r="AR269" s="127"/>
      <c r="AS269" s="127"/>
      <c r="AT269" s="127"/>
      <c r="AU269" s="127"/>
      <c r="AV269" s="127"/>
      <c r="AW269" s="127"/>
      <c r="AX269" s="127"/>
      <c r="AY269" s="127"/>
      <c r="AZ269" s="127"/>
    </row>
    <row r="270" spans="32:52" x14ac:dyDescent="0.2">
      <c r="AF270" s="127"/>
      <c r="AG270" s="127"/>
      <c r="AH270" s="127"/>
      <c r="AI270" s="127"/>
      <c r="AJ270" s="127"/>
      <c r="AK270" s="127"/>
      <c r="AL270" s="127"/>
      <c r="AM270" s="127"/>
      <c r="AN270" s="127"/>
      <c r="AO270" s="127"/>
      <c r="AP270" s="127"/>
      <c r="AQ270" s="127"/>
      <c r="AR270" s="127"/>
      <c r="AS270" s="127"/>
      <c r="AT270" s="127"/>
      <c r="AU270" s="127"/>
      <c r="AV270" s="127"/>
      <c r="AW270" s="127"/>
      <c r="AX270" s="127"/>
      <c r="AY270" s="127"/>
      <c r="AZ270" s="127"/>
    </row>
    <row r="271" spans="32:52" x14ac:dyDescent="0.2">
      <c r="AF271" s="127"/>
      <c r="AG271" s="127"/>
      <c r="AH271" s="127"/>
      <c r="AI271" s="127"/>
      <c r="AJ271" s="127"/>
      <c r="AK271" s="127"/>
      <c r="AL271" s="127"/>
      <c r="AM271" s="127"/>
      <c r="AN271" s="127"/>
      <c r="AO271" s="127"/>
      <c r="AP271" s="127"/>
      <c r="AQ271" s="127"/>
      <c r="AR271" s="127"/>
      <c r="AS271" s="127"/>
      <c r="AT271" s="127"/>
      <c r="AU271" s="127"/>
      <c r="AV271" s="127"/>
      <c r="AW271" s="127"/>
      <c r="AX271" s="127"/>
      <c r="AY271" s="127"/>
      <c r="AZ271" s="127"/>
    </row>
    <row r="272" spans="32:52" x14ac:dyDescent="0.2">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row>
    <row r="273" spans="31:52" x14ac:dyDescent="0.2">
      <c r="AF273" s="127"/>
      <c r="AG273" s="127"/>
      <c r="AH273" s="127"/>
      <c r="AI273" s="127"/>
      <c r="AJ273" s="127"/>
      <c r="AK273" s="127"/>
      <c r="AL273" s="127"/>
      <c r="AM273" s="127"/>
      <c r="AN273" s="127"/>
      <c r="AO273" s="127"/>
      <c r="AP273" s="127"/>
      <c r="AQ273" s="127"/>
      <c r="AR273" s="127"/>
      <c r="AS273" s="127"/>
      <c r="AT273" s="127"/>
      <c r="AU273" s="127"/>
      <c r="AV273" s="127"/>
      <c r="AW273" s="127"/>
      <c r="AX273" s="127"/>
      <c r="AY273" s="127"/>
      <c r="AZ273" s="127"/>
    </row>
    <row r="274" spans="31:52" x14ac:dyDescent="0.2">
      <c r="AF274" s="127"/>
      <c r="AG274" s="127"/>
      <c r="AH274" s="127"/>
      <c r="AI274" s="127"/>
      <c r="AJ274" s="127"/>
      <c r="AK274" s="127"/>
      <c r="AL274" s="127"/>
      <c r="AM274" s="127"/>
      <c r="AN274" s="127"/>
      <c r="AO274" s="127"/>
      <c r="AP274" s="127"/>
      <c r="AQ274" s="127"/>
      <c r="AR274" s="127"/>
      <c r="AS274" s="127"/>
      <c r="AT274" s="127"/>
      <c r="AU274" s="127"/>
      <c r="AV274" s="127"/>
      <c r="AW274" s="127"/>
      <c r="AX274" s="127"/>
      <c r="AY274" s="127"/>
      <c r="AZ274" s="127"/>
    </row>
    <row r="275" spans="31:52" x14ac:dyDescent="0.2">
      <c r="AF275" s="127"/>
      <c r="AG275" s="127"/>
      <c r="AH275" s="127"/>
      <c r="AI275" s="127"/>
      <c r="AJ275" s="127"/>
      <c r="AK275" s="127"/>
      <c r="AL275" s="127"/>
      <c r="AM275" s="127"/>
      <c r="AN275" s="127"/>
      <c r="AO275" s="127"/>
      <c r="AP275" s="127"/>
      <c r="AQ275" s="127"/>
      <c r="AR275" s="127"/>
      <c r="AS275" s="127"/>
      <c r="AT275" s="127"/>
      <c r="AU275" s="127"/>
      <c r="AV275" s="127"/>
      <c r="AW275" s="127"/>
      <c r="AX275" s="127"/>
      <c r="AY275" s="127"/>
      <c r="AZ275" s="127"/>
    </row>
    <row r="276" spans="31:52" x14ac:dyDescent="0.2">
      <c r="AF276" s="127"/>
      <c r="AG276" s="127"/>
      <c r="AH276" s="127"/>
      <c r="AI276" s="127"/>
      <c r="AJ276" s="127"/>
      <c r="AK276" s="127"/>
      <c r="AL276" s="127"/>
      <c r="AM276" s="127"/>
      <c r="AN276" s="127"/>
      <c r="AO276" s="127"/>
      <c r="AP276" s="127"/>
      <c r="AQ276" s="127"/>
      <c r="AR276" s="127"/>
      <c r="AS276" s="127"/>
      <c r="AT276" s="127"/>
      <c r="AU276" s="127"/>
      <c r="AV276" s="127"/>
      <c r="AW276" s="127"/>
      <c r="AX276" s="127"/>
      <c r="AY276" s="127"/>
      <c r="AZ276" s="127"/>
    </row>
    <row r="277" spans="31:52" x14ac:dyDescent="0.2">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row>
    <row r="278" spans="31:52" x14ac:dyDescent="0.2">
      <c r="AF278" s="127"/>
      <c r="AG278" s="127"/>
      <c r="AH278" s="127"/>
      <c r="AI278" s="127"/>
      <c r="AJ278" s="127"/>
      <c r="AK278" s="127"/>
      <c r="AL278" s="127"/>
      <c r="AM278" s="127"/>
      <c r="AN278" s="127"/>
      <c r="AO278" s="127"/>
      <c r="AP278" s="127"/>
      <c r="AQ278" s="127"/>
      <c r="AR278" s="127"/>
      <c r="AS278" s="127"/>
      <c r="AT278" s="127"/>
      <c r="AU278" s="127"/>
      <c r="AV278" s="127"/>
      <c r="AW278" s="127"/>
      <c r="AX278" s="127"/>
      <c r="AY278" s="127"/>
      <c r="AZ278" s="127"/>
    </row>
    <row r="279" spans="31:52" x14ac:dyDescent="0.2">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row>
    <row r="281" spans="31:52" x14ac:dyDescent="0.2">
      <c r="AE281" s="207"/>
      <c r="AF281" s="127"/>
      <c r="AG281" s="127"/>
      <c r="AH281" s="127"/>
      <c r="AI281" s="127"/>
      <c r="AJ281" s="127"/>
      <c r="AK281" s="127"/>
      <c r="AL281" s="127"/>
      <c r="AM281" s="127"/>
      <c r="AN281" s="127"/>
      <c r="AO281" s="127"/>
      <c r="AP281" s="127"/>
      <c r="AQ281" s="127"/>
      <c r="AR281" s="127"/>
      <c r="AS281" s="127"/>
      <c r="AT281" s="127"/>
      <c r="AU281" s="127"/>
      <c r="AV281" s="127"/>
      <c r="AW281" s="127"/>
      <c r="AX281" s="127"/>
      <c r="AY281" s="127"/>
      <c r="AZ281" s="127"/>
    </row>
    <row r="282" spans="31:52" x14ac:dyDescent="0.2">
      <c r="AF282" s="127"/>
      <c r="AG282" s="127"/>
      <c r="AH282" s="127"/>
      <c r="AI282" s="127"/>
      <c r="AJ282" s="127"/>
      <c r="AK282" s="127"/>
      <c r="AL282" s="127"/>
      <c r="AM282" s="127"/>
      <c r="AN282" s="127"/>
      <c r="AO282" s="127"/>
      <c r="AP282" s="127"/>
      <c r="AQ282" s="127"/>
      <c r="AR282" s="127"/>
      <c r="AS282" s="127"/>
      <c r="AT282" s="127"/>
      <c r="AU282" s="127"/>
      <c r="AV282" s="127"/>
      <c r="AW282" s="127"/>
      <c r="AX282" s="127"/>
      <c r="AY282" s="127"/>
      <c r="AZ282" s="127"/>
    </row>
    <row r="283" spans="31:52" x14ac:dyDescent="0.2">
      <c r="AF283" s="127"/>
      <c r="AG283" s="127"/>
      <c r="AH283" s="127"/>
      <c r="AI283" s="127"/>
      <c r="AJ283" s="127"/>
      <c r="AK283" s="127"/>
      <c r="AL283" s="127"/>
      <c r="AM283" s="127"/>
      <c r="AN283" s="127"/>
      <c r="AO283" s="127"/>
      <c r="AP283" s="127"/>
      <c r="AQ283" s="127"/>
      <c r="AR283" s="127"/>
      <c r="AS283" s="127"/>
      <c r="AT283" s="127"/>
      <c r="AU283" s="127"/>
      <c r="AV283" s="127"/>
      <c r="AW283" s="127"/>
      <c r="AX283" s="127"/>
      <c r="AY283" s="127"/>
      <c r="AZ283" s="127"/>
    </row>
    <row r="284" spans="31:52" x14ac:dyDescent="0.2">
      <c r="AF284" s="127"/>
      <c r="AG284" s="127"/>
      <c r="AH284" s="127"/>
      <c r="AI284" s="127"/>
      <c r="AJ284" s="127"/>
      <c r="AK284" s="127"/>
      <c r="AL284" s="127"/>
      <c r="AM284" s="127"/>
      <c r="AN284" s="127"/>
      <c r="AO284" s="127"/>
      <c r="AP284" s="127"/>
      <c r="AQ284" s="127"/>
      <c r="AR284" s="127"/>
      <c r="AS284" s="127"/>
      <c r="AT284" s="127"/>
      <c r="AU284" s="127"/>
      <c r="AV284" s="127"/>
      <c r="AW284" s="127"/>
      <c r="AX284" s="127"/>
      <c r="AY284" s="127"/>
      <c r="AZ284" s="127"/>
    </row>
    <row r="285" spans="31:52" x14ac:dyDescent="0.2">
      <c r="AF285" s="127"/>
      <c r="AG285" s="127"/>
      <c r="AH285" s="127"/>
      <c r="AI285" s="127"/>
      <c r="AJ285" s="127"/>
      <c r="AK285" s="127"/>
      <c r="AL285" s="127"/>
      <c r="AM285" s="127"/>
      <c r="AN285" s="127"/>
      <c r="AO285" s="127"/>
      <c r="AP285" s="127"/>
      <c r="AQ285" s="127"/>
      <c r="AR285" s="127"/>
      <c r="AS285" s="127"/>
      <c r="AT285" s="127"/>
      <c r="AU285" s="127"/>
      <c r="AV285" s="127"/>
      <c r="AW285" s="127"/>
      <c r="AX285" s="127"/>
      <c r="AY285" s="127"/>
      <c r="AZ285" s="127"/>
    </row>
    <row r="286" spans="31:52" x14ac:dyDescent="0.2">
      <c r="AF286" s="127"/>
      <c r="AG286" s="127"/>
      <c r="AH286" s="127"/>
      <c r="AI286" s="127"/>
      <c r="AJ286" s="127"/>
      <c r="AK286" s="127"/>
      <c r="AL286" s="127"/>
      <c r="AM286" s="127"/>
      <c r="AN286" s="127"/>
      <c r="AO286" s="127"/>
      <c r="AP286" s="127"/>
      <c r="AQ286" s="127"/>
      <c r="AR286" s="127"/>
      <c r="AS286" s="127"/>
      <c r="AT286" s="127"/>
      <c r="AU286" s="127"/>
      <c r="AV286" s="127"/>
      <c r="AW286" s="127"/>
      <c r="AX286" s="127"/>
      <c r="AY286" s="127"/>
      <c r="AZ286" s="127"/>
    </row>
    <row r="287" spans="31:52" x14ac:dyDescent="0.2">
      <c r="AF287" s="127"/>
      <c r="AG287" s="127"/>
      <c r="AH287" s="127"/>
      <c r="AI287" s="127"/>
      <c r="AJ287" s="127"/>
      <c r="AK287" s="127"/>
      <c r="AL287" s="127"/>
      <c r="AM287" s="127"/>
      <c r="AN287" s="127"/>
      <c r="AO287" s="127"/>
      <c r="AP287" s="127"/>
      <c r="AQ287" s="127"/>
      <c r="AR287" s="127"/>
      <c r="AS287" s="127"/>
      <c r="AT287" s="127"/>
      <c r="AU287" s="127"/>
      <c r="AV287" s="127"/>
      <c r="AW287" s="127"/>
      <c r="AX287" s="127"/>
      <c r="AY287" s="127"/>
      <c r="AZ287" s="127"/>
    </row>
    <row r="288" spans="31:52" x14ac:dyDescent="0.2">
      <c r="AF288" s="127"/>
      <c r="AG288" s="127"/>
      <c r="AH288" s="127"/>
      <c r="AI288" s="127"/>
      <c r="AJ288" s="127"/>
      <c r="AK288" s="127"/>
      <c r="AL288" s="127"/>
      <c r="AM288" s="127"/>
      <c r="AN288" s="127"/>
      <c r="AO288" s="127"/>
      <c r="AP288" s="127"/>
      <c r="AQ288" s="127"/>
      <c r="AR288" s="127"/>
      <c r="AS288" s="127"/>
      <c r="AT288" s="127"/>
      <c r="AU288" s="127"/>
      <c r="AV288" s="127"/>
      <c r="AW288" s="127"/>
      <c r="AX288" s="127"/>
      <c r="AY288" s="127"/>
      <c r="AZ288" s="127"/>
    </row>
    <row r="289" spans="32:52" x14ac:dyDescent="0.2">
      <c r="AF289" s="127"/>
      <c r="AG289" s="127"/>
      <c r="AH289" s="127"/>
      <c r="AI289" s="127"/>
      <c r="AJ289" s="127"/>
      <c r="AK289" s="127"/>
      <c r="AL289" s="127"/>
      <c r="AM289" s="127"/>
      <c r="AN289" s="127"/>
      <c r="AO289" s="127"/>
      <c r="AP289" s="127"/>
      <c r="AQ289" s="127"/>
      <c r="AR289" s="127"/>
      <c r="AS289" s="127"/>
      <c r="AT289" s="127"/>
      <c r="AU289" s="127"/>
      <c r="AV289" s="127"/>
      <c r="AW289" s="127"/>
      <c r="AX289" s="127"/>
      <c r="AY289" s="127"/>
      <c r="AZ289" s="127"/>
    </row>
    <row r="290" spans="32:52" x14ac:dyDescent="0.2">
      <c r="AF290" s="127"/>
      <c r="AG290" s="127"/>
      <c r="AH290" s="127"/>
      <c r="AI290" s="127"/>
      <c r="AJ290" s="127"/>
      <c r="AK290" s="127"/>
      <c r="AL290" s="127"/>
      <c r="AM290" s="127"/>
      <c r="AN290" s="127"/>
      <c r="AO290" s="127"/>
      <c r="AP290" s="127"/>
      <c r="AQ290" s="127"/>
      <c r="AR290" s="127"/>
      <c r="AS290" s="127"/>
      <c r="AT290" s="127"/>
      <c r="AU290" s="127"/>
      <c r="AV290" s="127"/>
      <c r="AW290" s="127"/>
      <c r="AX290" s="127"/>
      <c r="AY290" s="127"/>
      <c r="AZ290" s="127"/>
    </row>
    <row r="291" spans="32:52" x14ac:dyDescent="0.2">
      <c r="AF291" s="127"/>
      <c r="AG291" s="127"/>
      <c r="AH291" s="127"/>
      <c r="AI291" s="127"/>
      <c r="AJ291" s="127"/>
      <c r="AK291" s="127"/>
      <c r="AL291" s="127"/>
      <c r="AM291" s="127"/>
      <c r="AN291" s="127"/>
      <c r="AO291" s="127"/>
      <c r="AP291" s="127"/>
      <c r="AQ291" s="127"/>
      <c r="AR291" s="127"/>
      <c r="AS291" s="127"/>
      <c r="AT291" s="127"/>
      <c r="AU291" s="127"/>
      <c r="AV291" s="127"/>
      <c r="AW291" s="127"/>
      <c r="AX291" s="127"/>
      <c r="AY291" s="127"/>
      <c r="AZ291" s="127"/>
    </row>
    <row r="292" spans="32:52" x14ac:dyDescent="0.2">
      <c r="AF292" s="127"/>
      <c r="AG292" s="127"/>
      <c r="AH292" s="127"/>
      <c r="AI292" s="127"/>
      <c r="AJ292" s="127"/>
      <c r="AK292" s="127"/>
      <c r="AL292" s="127"/>
      <c r="AM292" s="127"/>
      <c r="AN292" s="127"/>
      <c r="AO292" s="127"/>
      <c r="AP292" s="127"/>
      <c r="AQ292" s="127"/>
      <c r="AR292" s="127"/>
      <c r="AS292" s="127"/>
      <c r="AT292" s="127"/>
      <c r="AU292" s="127"/>
      <c r="AV292" s="127"/>
      <c r="AW292" s="127"/>
      <c r="AX292" s="127"/>
      <c r="AY292" s="127"/>
      <c r="AZ292" s="127"/>
    </row>
    <row r="293" spans="32:52" x14ac:dyDescent="0.2">
      <c r="AF293" s="127"/>
      <c r="AG293" s="127"/>
      <c r="AH293" s="127"/>
      <c r="AI293" s="127"/>
      <c r="AJ293" s="127"/>
      <c r="AK293" s="127"/>
      <c r="AL293" s="127"/>
      <c r="AM293" s="127"/>
      <c r="AN293" s="127"/>
      <c r="AO293" s="127"/>
      <c r="AP293" s="127"/>
      <c r="AQ293" s="127"/>
      <c r="AR293" s="127"/>
      <c r="AS293" s="127"/>
      <c r="AT293" s="127"/>
      <c r="AU293" s="127"/>
      <c r="AV293" s="127"/>
      <c r="AW293" s="127"/>
      <c r="AX293" s="127"/>
      <c r="AY293" s="127"/>
      <c r="AZ293" s="127"/>
    </row>
    <row r="294" spans="32:52" x14ac:dyDescent="0.2">
      <c r="AF294" s="127"/>
      <c r="AG294" s="127"/>
      <c r="AH294" s="127"/>
      <c r="AI294" s="127"/>
      <c r="AJ294" s="127"/>
      <c r="AK294" s="127"/>
      <c r="AL294" s="127"/>
      <c r="AM294" s="127"/>
      <c r="AN294" s="127"/>
      <c r="AO294" s="127"/>
      <c r="AP294" s="127"/>
      <c r="AQ294" s="127"/>
      <c r="AR294" s="127"/>
      <c r="AS294" s="127"/>
      <c r="AT294" s="127"/>
      <c r="AU294" s="127"/>
      <c r="AV294" s="127"/>
      <c r="AW294" s="127"/>
      <c r="AX294" s="127"/>
      <c r="AY294" s="127"/>
      <c r="AZ294" s="127"/>
    </row>
    <row r="295" spans="32:52" x14ac:dyDescent="0.2">
      <c r="AF295" s="127"/>
      <c r="AG295" s="127"/>
      <c r="AH295" s="127"/>
      <c r="AI295" s="127"/>
      <c r="AJ295" s="127"/>
      <c r="AK295" s="127"/>
      <c r="AL295" s="127"/>
      <c r="AM295" s="127"/>
      <c r="AN295" s="127"/>
      <c r="AO295" s="127"/>
      <c r="AP295" s="127"/>
      <c r="AQ295" s="127"/>
      <c r="AR295" s="127"/>
      <c r="AS295" s="127"/>
      <c r="AT295" s="127"/>
      <c r="AU295" s="127"/>
      <c r="AV295" s="127"/>
      <c r="AW295" s="127"/>
      <c r="AX295" s="127"/>
      <c r="AY295" s="127"/>
      <c r="AZ295" s="127"/>
    </row>
    <row r="296" spans="32:52" x14ac:dyDescent="0.2">
      <c r="AF296" s="127"/>
      <c r="AG296" s="127"/>
      <c r="AH296" s="127"/>
      <c r="AI296" s="127"/>
      <c r="AJ296" s="127"/>
      <c r="AK296" s="127"/>
      <c r="AL296" s="127"/>
      <c r="AM296" s="127"/>
      <c r="AN296" s="127"/>
      <c r="AO296" s="127"/>
      <c r="AP296" s="127"/>
      <c r="AQ296" s="127"/>
      <c r="AR296" s="127"/>
      <c r="AS296" s="127"/>
      <c r="AT296" s="127"/>
      <c r="AU296" s="127"/>
      <c r="AV296" s="127"/>
      <c r="AW296" s="127"/>
      <c r="AX296" s="127"/>
      <c r="AY296" s="127"/>
      <c r="AZ296" s="127"/>
    </row>
    <row r="297" spans="32:52" x14ac:dyDescent="0.2">
      <c r="AF297" s="127"/>
      <c r="AG297" s="127"/>
      <c r="AH297" s="127"/>
      <c r="AI297" s="127"/>
      <c r="AJ297" s="127"/>
      <c r="AK297" s="127"/>
      <c r="AL297" s="127"/>
      <c r="AM297" s="127"/>
      <c r="AN297" s="127"/>
      <c r="AO297" s="127"/>
      <c r="AP297" s="127"/>
      <c r="AQ297" s="127"/>
      <c r="AR297" s="127"/>
      <c r="AS297" s="127"/>
      <c r="AT297" s="127"/>
      <c r="AU297" s="127"/>
      <c r="AV297" s="127"/>
      <c r="AW297" s="127"/>
      <c r="AX297" s="127"/>
      <c r="AY297" s="127"/>
      <c r="AZ297" s="127"/>
    </row>
    <row r="298" spans="32:52" x14ac:dyDescent="0.2">
      <c r="AF298" s="127"/>
      <c r="AG298" s="127"/>
      <c r="AH298" s="127"/>
      <c r="AI298" s="127"/>
      <c r="AJ298" s="127"/>
      <c r="AK298" s="127"/>
      <c r="AL298" s="127"/>
      <c r="AM298" s="127"/>
      <c r="AN298" s="127"/>
      <c r="AO298" s="127"/>
      <c r="AP298" s="127"/>
      <c r="AQ298" s="127"/>
      <c r="AR298" s="127"/>
      <c r="AS298" s="127"/>
      <c r="AT298" s="127"/>
      <c r="AU298" s="127"/>
      <c r="AV298" s="127"/>
      <c r="AW298" s="127"/>
      <c r="AX298" s="127"/>
      <c r="AY298" s="127"/>
      <c r="AZ298" s="127"/>
    </row>
    <row r="299" spans="32:52" x14ac:dyDescent="0.2">
      <c r="AF299" s="127"/>
      <c r="AG299" s="127"/>
      <c r="AH299" s="127"/>
      <c r="AI299" s="127"/>
      <c r="AJ299" s="127"/>
      <c r="AK299" s="127"/>
      <c r="AL299" s="127"/>
      <c r="AM299" s="127"/>
      <c r="AN299" s="127"/>
      <c r="AO299" s="127"/>
      <c r="AP299" s="127"/>
      <c r="AQ299" s="127"/>
      <c r="AR299" s="127"/>
      <c r="AS299" s="127"/>
      <c r="AT299" s="127"/>
      <c r="AU299" s="127"/>
      <c r="AV299" s="127"/>
      <c r="AW299" s="127"/>
      <c r="AX299" s="127"/>
      <c r="AY299" s="127"/>
      <c r="AZ299" s="127"/>
    </row>
    <row r="300" spans="32:52" x14ac:dyDescent="0.2">
      <c r="AF300" s="127"/>
      <c r="AG300" s="127"/>
      <c r="AH300" s="127"/>
      <c r="AI300" s="127"/>
      <c r="AJ300" s="127"/>
      <c r="AK300" s="127"/>
      <c r="AL300" s="127"/>
      <c r="AM300" s="127"/>
      <c r="AN300" s="127"/>
      <c r="AO300" s="127"/>
      <c r="AP300" s="127"/>
      <c r="AQ300" s="127"/>
      <c r="AR300" s="127"/>
      <c r="AS300" s="127"/>
      <c r="AT300" s="127"/>
      <c r="AU300" s="127"/>
      <c r="AV300" s="127"/>
      <c r="AW300" s="127"/>
      <c r="AX300" s="127"/>
      <c r="AY300" s="127"/>
      <c r="AZ300" s="127"/>
    </row>
    <row r="301" spans="32:52" x14ac:dyDescent="0.2">
      <c r="AF301" s="127"/>
      <c r="AG301" s="127"/>
      <c r="AH301" s="127"/>
      <c r="AI301" s="127"/>
      <c r="AJ301" s="127"/>
      <c r="AK301" s="127"/>
      <c r="AL301" s="127"/>
      <c r="AM301" s="127"/>
      <c r="AN301" s="127"/>
      <c r="AO301" s="127"/>
      <c r="AP301" s="127"/>
      <c r="AQ301" s="127"/>
      <c r="AR301" s="127"/>
      <c r="AS301" s="127"/>
      <c r="AT301" s="127"/>
      <c r="AU301" s="127"/>
      <c r="AV301" s="127"/>
      <c r="AW301" s="127"/>
      <c r="AX301" s="127"/>
      <c r="AY301" s="127"/>
      <c r="AZ301" s="127"/>
    </row>
    <row r="302" spans="32:52" x14ac:dyDescent="0.2">
      <c r="AF302" s="127"/>
      <c r="AG302" s="127"/>
      <c r="AH302" s="127"/>
      <c r="AI302" s="127"/>
      <c r="AJ302" s="127"/>
      <c r="AK302" s="127"/>
      <c r="AL302" s="127"/>
      <c r="AM302" s="127"/>
      <c r="AN302" s="127"/>
      <c r="AO302" s="127"/>
      <c r="AP302" s="127"/>
      <c r="AQ302" s="127"/>
      <c r="AR302" s="127"/>
      <c r="AS302" s="127"/>
      <c r="AT302" s="127"/>
      <c r="AU302" s="127"/>
      <c r="AV302" s="127"/>
      <c r="AW302" s="127"/>
      <c r="AX302" s="127"/>
      <c r="AY302" s="127"/>
      <c r="AZ302" s="127"/>
    </row>
    <row r="303" spans="32:52" x14ac:dyDescent="0.2">
      <c r="AF303" s="127"/>
      <c r="AG303" s="127"/>
      <c r="AH303" s="127"/>
      <c r="AI303" s="127"/>
      <c r="AJ303" s="127"/>
      <c r="AK303" s="127"/>
      <c r="AL303" s="127"/>
      <c r="AM303" s="127"/>
      <c r="AN303" s="127"/>
      <c r="AO303" s="127"/>
      <c r="AP303" s="127"/>
      <c r="AQ303" s="127"/>
      <c r="AR303" s="127"/>
      <c r="AS303" s="127"/>
      <c r="AT303" s="127"/>
      <c r="AU303" s="127"/>
      <c r="AV303" s="127"/>
      <c r="AW303" s="127"/>
      <c r="AX303" s="127"/>
      <c r="AY303" s="127"/>
      <c r="AZ303" s="127"/>
    </row>
    <row r="304" spans="32:52" x14ac:dyDescent="0.2">
      <c r="AF304" s="127"/>
      <c r="AG304" s="127"/>
      <c r="AH304" s="127"/>
      <c r="AI304" s="127"/>
      <c r="AJ304" s="127"/>
      <c r="AK304" s="127"/>
      <c r="AL304" s="127"/>
      <c r="AM304" s="127"/>
      <c r="AN304" s="127"/>
      <c r="AO304" s="127"/>
      <c r="AP304" s="127"/>
      <c r="AQ304" s="127"/>
      <c r="AR304" s="127"/>
      <c r="AS304" s="127"/>
      <c r="AT304" s="127"/>
      <c r="AU304" s="127"/>
      <c r="AV304" s="127"/>
      <c r="AW304" s="127"/>
      <c r="AX304" s="127"/>
      <c r="AY304" s="127"/>
      <c r="AZ304" s="127"/>
    </row>
    <row r="305" spans="32:52" x14ac:dyDescent="0.2">
      <c r="AF305" s="127"/>
      <c r="AG305" s="127"/>
      <c r="AH305" s="127"/>
      <c r="AI305" s="127"/>
      <c r="AJ305" s="127"/>
      <c r="AK305" s="127"/>
      <c r="AL305" s="127"/>
      <c r="AM305" s="127"/>
      <c r="AN305" s="127"/>
      <c r="AO305" s="127"/>
      <c r="AP305" s="127"/>
      <c r="AQ305" s="127"/>
      <c r="AR305" s="127"/>
      <c r="AS305" s="127"/>
      <c r="AT305" s="127"/>
      <c r="AU305" s="127"/>
      <c r="AV305" s="127"/>
      <c r="AW305" s="127"/>
      <c r="AX305" s="127"/>
      <c r="AY305" s="127"/>
      <c r="AZ305" s="127"/>
    </row>
  </sheetData>
  <sheetProtection algorithmName="SHA-512" hashValue="omHJJgO0MM9qzeDX800o45rPj0FQSljRQnr53GBqTWCy2bnV5VS0Y/YYr4HnIO1m+D29bxxhINsZ2h21qhQxVA==" saltValue="K3T7mmtYl2jkDlb+Ptf8+g==" spinCount="100000" sheet="1" objects="1" scenarios="1"/>
  <mergeCells count="218">
    <mergeCell ref="AP10:AQ10"/>
    <mergeCell ref="AL10:AM10"/>
    <mergeCell ref="H96:K96"/>
    <mergeCell ref="O96:R96"/>
    <mergeCell ref="Z87:AB89"/>
    <mergeCell ref="Z91:AB93"/>
    <mergeCell ref="I46:K46"/>
    <mergeCell ref="AE55:AN55"/>
    <mergeCell ref="I49:K49"/>
    <mergeCell ref="I48:K48"/>
    <mergeCell ref="I47:K47"/>
    <mergeCell ref="E28:H28"/>
    <mergeCell ref="I28:L28"/>
    <mergeCell ref="M28:P28"/>
    <mergeCell ref="Q28:T28"/>
    <mergeCell ref="U28:X28"/>
    <mergeCell ref="Y28:AB28"/>
    <mergeCell ref="P44:S45"/>
    <mergeCell ref="AM49:AP49"/>
    <mergeCell ref="AK53:AL53"/>
    <mergeCell ref="AM53:AN53"/>
    <mergeCell ref="Q23:T23"/>
    <mergeCell ref="J14:K15"/>
    <mergeCell ref="N14:O15"/>
    <mergeCell ref="E116:R118"/>
    <mergeCell ref="F72:I72"/>
    <mergeCell ref="L72:O72"/>
    <mergeCell ref="X72:AA72"/>
    <mergeCell ref="H85:K85"/>
    <mergeCell ref="O85:R85"/>
    <mergeCell ref="V85:Y85"/>
    <mergeCell ref="T104:U104"/>
    <mergeCell ref="T106:U106"/>
    <mergeCell ref="T108:U108"/>
    <mergeCell ref="T114:U114"/>
    <mergeCell ref="T110:Y110"/>
    <mergeCell ref="T112:Y112"/>
    <mergeCell ref="C98:AO98"/>
    <mergeCell ref="AX15:BA18"/>
    <mergeCell ref="AK26:AN26"/>
    <mergeCell ref="AO23:AR23"/>
    <mergeCell ref="AL16:AM17"/>
    <mergeCell ref="U23:X23"/>
    <mergeCell ref="AG22:AJ22"/>
    <mergeCell ref="AK22:AN22"/>
    <mergeCell ref="AD14:AE15"/>
    <mergeCell ref="Z14:AA15"/>
    <mergeCell ref="AB13:AB19"/>
    <mergeCell ref="AF13:AF19"/>
    <mergeCell ref="S20:V20"/>
    <mergeCell ref="W20:Z20"/>
    <mergeCell ref="AA20:AD20"/>
    <mergeCell ref="R21:S21"/>
    <mergeCell ref="V21:W21"/>
    <mergeCell ref="Z21:AA21"/>
    <mergeCell ref="AD21:AE21"/>
    <mergeCell ref="AE20:AH20"/>
    <mergeCell ref="AX19:BA20"/>
    <mergeCell ref="AX22:BA24"/>
    <mergeCell ref="Y26:AB26"/>
    <mergeCell ref="AO26:AR26"/>
    <mergeCell ref="Y22:AB22"/>
    <mergeCell ref="AR13:AR19"/>
    <mergeCell ref="AP14:AQ15"/>
    <mergeCell ref="AK24:AN24"/>
    <mergeCell ref="AK25:AN25"/>
    <mergeCell ref="AO24:AR24"/>
    <mergeCell ref="AH21:AI21"/>
    <mergeCell ref="AO22:AR22"/>
    <mergeCell ref="AO25:AR25"/>
    <mergeCell ref="AP16:AQ17"/>
    <mergeCell ref="AI20:AL20"/>
    <mergeCell ref="AM20:AP20"/>
    <mergeCell ref="AL21:AM21"/>
    <mergeCell ref="AN13:AN19"/>
    <mergeCell ref="AL14:AM15"/>
    <mergeCell ref="AJ13:AJ19"/>
    <mergeCell ref="AH16:AI17"/>
    <mergeCell ref="AH14:AI15"/>
    <mergeCell ref="AN21:AO21"/>
    <mergeCell ref="AJ5:AL5"/>
    <mergeCell ref="Y6:AF6"/>
    <mergeCell ref="V14:W15"/>
    <mergeCell ref="AD16:AE17"/>
    <mergeCell ref="AD10:AE10"/>
    <mergeCell ref="AC23:AF23"/>
    <mergeCell ref="AB21:AC21"/>
    <mergeCell ref="AF21:AG21"/>
    <mergeCell ref="AC22:AF22"/>
    <mergeCell ref="S5:X5"/>
    <mergeCell ref="Y5:AF5"/>
    <mergeCell ref="Z16:AA17"/>
    <mergeCell ref="T21:U21"/>
    <mergeCell ref="X21:Y21"/>
    <mergeCell ref="Q22:T22"/>
    <mergeCell ref="Y23:AB23"/>
    <mergeCell ref="U22:X22"/>
    <mergeCell ref="AJ6:AL6"/>
    <mergeCell ref="AJ7:AL7"/>
    <mergeCell ref="AH10:AI10"/>
    <mergeCell ref="Y7:AF7"/>
    <mergeCell ref="M6:Q6"/>
    <mergeCell ref="E24:H24"/>
    <mergeCell ref="M24:P24"/>
    <mergeCell ref="Q24:T24"/>
    <mergeCell ref="I26:L26"/>
    <mergeCell ref="U26:X26"/>
    <mergeCell ref="M26:P26"/>
    <mergeCell ref="I25:L25"/>
    <mergeCell ref="U25:X25"/>
    <mergeCell ref="I24:L24"/>
    <mergeCell ref="U24:X24"/>
    <mergeCell ref="E25:H25"/>
    <mergeCell ref="E26:H26"/>
    <mergeCell ref="J10:K10"/>
    <mergeCell ref="R14:S15"/>
    <mergeCell ref="R16:S17"/>
    <mergeCell ref="V16:W17"/>
    <mergeCell ref="R10:S10"/>
    <mergeCell ref="V10:W10"/>
    <mergeCell ref="Z10:AA10"/>
    <mergeCell ref="AM38:AN38"/>
    <mergeCell ref="AF38:AL38"/>
    <mergeCell ref="T13:T19"/>
    <mergeCell ref="X13:X19"/>
    <mergeCell ref="Y24:AB24"/>
    <mergeCell ref="AC24:AF24"/>
    <mergeCell ref="AG24:AJ24"/>
    <mergeCell ref="AG23:AJ23"/>
    <mergeCell ref="AJ21:AK21"/>
    <mergeCell ref="AK23:AN23"/>
    <mergeCell ref="M25:P25"/>
    <mergeCell ref="Q25:T25"/>
    <mergeCell ref="Q26:T26"/>
    <mergeCell ref="A9:A11"/>
    <mergeCell ref="E13:E19"/>
    <mergeCell ref="L13:L19"/>
    <mergeCell ref="P13:P19"/>
    <mergeCell ref="N10:O10"/>
    <mergeCell ref="H13:H19"/>
    <mergeCell ref="J16:K17"/>
    <mergeCell ref="N16:O17"/>
    <mergeCell ref="E23:H23"/>
    <mergeCell ref="I23:L23"/>
    <mergeCell ref="M23:P23"/>
    <mergeCell ref="E22:H22"/>
    <mergeCell ref="I22:L22"/>
    <mergeCell ref="M22:P22"/>
    <mergeCell ref="H21:I21"/>
    <mergeCell ref="N21:O21"/>
    <mergeCell ref="G20:J20"/>
    <mergeCell ref="K20:N20"/>
    <mergeCell ref="O20:R20"/>
    <mergeCell ref="L21:M21"/>
    <mergeCell ref="P21:Q21"/>
    <mergeCell ref="F16:G17"/>
    <mergeCell ref="F14:G15"/>
    <mergeCell ref="F10:G10"/>
    <mergeCell ref="AI53:AJ53"/>
    <mergeCell ref="AF48:AL50"/>
    <mergeCell ref="AM45:AS45"/>
    <mergeCell ref="Z40:Z41"/>
    <mergeCell ref="AC28:AF28"/>
    <mergeCell ref="Z46:Z54"/>
    <mergeCell ref="Z42:Z45"/>
    <mergeCell ref="Y25:AB25"/>
    <mergeCell ref="AK28:AN28"/>
    <mergeCell ref="AO28:AR28"/>
    <mergeCell ref="AL39:AS39"/>
    <mergeCell ref="AM46:AS46"/>
    <mergeCell ref="AX41:AY41"/>
    <mergeCell ref="AX42:AY42"/>
    <mergeCell ref="AW30:BA32"/>
    <mergeCell ref="AX33:AY33"/>
    <mergeCell ref="AQ96:AR96"/>
    <mergeCell ref="AW96:AX96"/>
    <mergeCell ref="T45:U45"/>
    <mergeCell ref="AG25:AJ25"/>
    <mergeCell ref="Q59:AB60"/>
    <mergeCell ref="AM43:AQ43"/>
    <mergeCell ref="AR43:AS43"/>
    <mergeCell ref="AP86:AR86"/>
    <mergeCell ref="AN78:AP78"/>
    <mergeCell ref="AN79:AP79"/>
    <mergeCell ref="AN80:AS80"/>
    <mergeCell ref="AE53:AG53"/>
    <mergeCell ref="AO44:AS44"/>
    <mergeCell ref="AE84:AL84"/>
    <mergeCell ref="AE85:AL85"/>
    <mergeCell ref="AO55:AP55"/>
    <mergeCell ref="AN70:AS70"/>
    <mergeCell ref="AM47:AS47"/>
    <mergeCell ref="AI57:AS57"/>
    <mergeCell ref="AP53:AQ53"/>
    <mergeCell ref="AZ10:BA10"/>
    <mergeCell ref="AZ9:BA9"/>
    <mergeCell ref="BE5:BE6"/>
    <mergeCell ref="BF5:BF6"/>
    <mergeCell ref="BG5:BG6"/>
    <mergeCell ref="BE9:BG9"/>
    <mergeCell ref="V97:Y97"/>
    <mergeCell ref="AX34:AY34"/>
    <mergeCell ref="AX35:AY35"/>
    <mergeCell ref="AX25:AZ26"/>
    <mergeCell ref="AC25:AF25"/>
    <mergeCell ref="AG28:AJ28"/>
    <mergeCell ref="AC26:AF26"/>
    <mergeCell ref="AG26:AJ26"/>
    <mergeCell ref="AE70:AL70"/>
    <mergeCell ref="AM88:AR88"/>
    <mergeCell ref="AE90:AS92"/>
    <mergeCell ref="AM87:AO87"/>
    <mergeCell ref="AW48:AX48"/>
    <mergeCell ref="AX36:AY36"/>
    <mergeCell ref="AX37:AY37"/>
    <mergeCell ref="AX38:AY38"/>
    <mergeCell ref="AX39:AY39"/>
    <mergeCell ref="AX40:AY40"/>
  </mergeCells>
  <conditionalFormatting sqref="AG45:AL45">
    <cfRule type="expression" dxfId="1659" priority="512">
      <formula>$AC$43="x"</formula>
    </cfRule>
  </conditionalFormatting>
  <conditionalFormatting sqref="AO44:AS44">
    <cfRule type="expression" dxfId="1658" priority="511">
      <formula>$AK$42="x"</formula>
    </cfRule>
  </conditionalFormatting>
  <conditionalFormatting sqref="AP7:AS7">
    <cfRule type="expression" dxfId="1657" priority="506">
      <formula>$AM$5&gt;0</formula>
    </cfRule>
  </conditionalFormatting>
  <conditionalFormatting sqref="E28:AR28">
    <cfRule type="expression" dxfId="1656" priority="446">
      <formula>AND($A$28&lt;&gt;"",F$10&lt;&gt;"")</formula>
    </cfRule>
  </conditionalFormatting>
  <conditionalFormatting sqref="F72:I72">
    <cfRule type="expression" dxfId="1655" priority="578">
      <formula>$F$72=""</formula>
    </cfRule>
  </conditionalFormatting>
  <conditionalFormatting sqref="H85:K85">
    <cfRule type="expression" dxfId="1654" priority="491">
      <formula>$H$85=""</formula>
    </cfRule>
  </conditionalFormatting>
  <conditionalFormatting sqref="O85:R85">
    <cfRule type="expression" dxfId="1653" priority="576">
      <formula>$O$85=""</formula>
    </cfRule>
  </conditionalFormatting>
  <conditionalFormatting sqref="V85:Y85">
    <cfRule type="expression" dxfId="1652" priority="490">
      <formula>$V$85=""</formula>
    </cfRule>
  </conditionalFormatting>
  <conditionalFormatting sqref="AM49:AP49">
    <cfRule type="expression" dxfId="1651" priority="238">
      <formula>$AM$49=""</formula>
    </cfRule>
  </conditionalFormatting>
  <conditionalFormatting sqref="AH54">
    <cfRule type="expression" dxfId="1650" priority="553">
      <formula>$AE$53=0</formula>
    </cfRule>
  </conditionalFormatting>
  <conditionalFormatting sqref="L72:O72">
    <cfRule type="expression" dxfId="1649" priority="494">
      <formula>$L$72=""</formula>
    </cfRule>
  </conditionalFormatting>
  <conditionalFormatting sqref="X72:AA72">
    <cfRule type="expression" dxfId="1648" priority="492">
      <formula>$X$72=""</formula>
    </cfRule>
  </conditionalFormatting>
  <conditionalFormatting sqref="AT5">
    <cfRule type="expression" dxfId="1647" priority="203">
      <formula>$AT$5=1</formula>
    </cfRule>
  </conditionalFormatting>
  <conditionalFormatting sqref="AM43:AQ43">
    <cfRule type="expression" dxfId="1646" priority="241">
      <formula>$AM$43=""</formula>
    </cfRule>
  </conditionalFormatting>
  <conditionalFormatting sqref="AR43:AS43">
    <cfRule type="expression" dxfId="1645" priority="202">
      <formula>$AR$43=""</formula>
    </cfRule>
  </conditionalFormatting>
  <conditionalFormatting sqref="AM45:AS45">
    <cfRule type="expression" dxfId="1644" priority="240">
      <formula>$AM$45=""</formula>
    </cfRule>
  </conditionalFormatting>
  <conditionalFormatting sqref="AE70:AL70">
    <cfRule type="expression" dxfId="1643" priority="220">
      <formula>$AE$70=""</formula>
    </cfRule>
  </conditionalFormatting>
  <conditionalFormatting sqref="AN70:AS70">
    <cfRule type="expression" dxfId="1642" priority="197">
      <formula>$AN$70=""</formula>
    </cfRule>
  </conditionalFormatting>
  <conditionalFormatting sqref="AO55:AP55">
    <cfRule type="expression" dxfId="1641" priority="53">
      <formula>$AT$52=1</formula>
    </cfRule>
    <cfRule type="expression" dxfId="1640" priority="195">
      <formula>$AO$55=""</formula>
    </cfRule>
  </conditionalFormatting>
  <conditionalFormatting sqref="AN80:AS80">
    <cfRule type="expression" dxfId="1639" priority="190">
      <formula>$AN$80=""</formula>
    </cfRule>
  </conditionalFormatting>
  <conditionalFormatting sqref="H96:K96">
    <cfRule type="expression" dxfId="1638" priority="559">
      <formula>$H$96=""</formula>
    </cfRule>
  </conditionalFormatting>
  <conditionalFormatting sqref="AM88:AR88">
    <cfRule type="expression" dxfId="1637" priority="182">
      <formula>$AM$88=""</formula>
    </cfRule>
  </conditionalFormatting>
  <conditionalFormatting sqref="Y5:AF5">
    <cfRule type="expression" dxfId="1636" priority="420">
      <formula>$Y$5=""</formula>
    </cfRule>
  </conditionalFormatting>
  <conditionalFormatting sqref="Y6:AF6">
    <cfRule type="expression" dxfId="1635" priority="177">
      <formula>$Y$6=""</formula>
    </cfRule>
  </conditionalFormatting>
  <conditionalFormatting sqref="Y7:AF7">
    <cfRule type="expression" dxfId="1634" priority="176">
      <formula>$Y$7=""</formula>
    </cfRule>
  </conditionalFormatting>
  <conditionalFormatting sqref="AJ5:AL5">
    <cfRule type="expression" dxfId="1633" priority="416">
      <formula>$AJ$5=""</formula>
    </cfRule>
  </conditionalFormatting>
  <conditionalFormatting sqref="AJ6:AL6">
    <cfRule type="expression" dxfId="1632" priority="174">
      <formula>$AJ$6=""</formula>
    </cfRule>
  </conditionalFormatting>
  <conditionalFormatting sqref="AJ7:AL7">
    <cfRule type="expression" dxfId="1631" priority="173">
      <formula>$AJ$7=""</formula>
    </cfRule>
  </conditionalFormatting>
  <conditionalFormatting sqref="I49:K49">
    <cfRule type="expression" dxfId="1630" priority="172">
      <formula>$I$49=""</formula>
    </cfRule>
  </conditionalFormatting>
  <conditionalFormatting sqref="T45:U45">
    <cfRule type="expression" dxfId="1629" priority="171">
      <formula>$T$45=""</formula>
    </cfRule>
  </conditionalFormatting>
  <conditionalFormatting sqref="Z42:Z45">
    <cfRule type="expression" dxfId="1628" priority="170">
      <formula>$Z$42=""</formula>
    </cfRule>
  </conditionalFormatting>
  <conditionalFormatting sqref="AX33:AY42">
    <cfRule type="expression" dxfId="1627" priority="167">
      <formula>AW33=""</formula>
    </cfRule>
  </conditionalFormatting>
  <conditionalFormatting sqref="A9:A11">
    <cfRule type="expression" dxfId="1626" priority="74">
      <formula>$C$11&lt;36</formula>
    </cfRule>
  </conditionalFormatting>
  <conditionalFormatting sqref="A28">
    <cfRule type="expression" dxfId="1625" priority="163">
      <formula>$E$28&gt;0</formula>
    </cfRule>
  </conditionalFormatting>
  <conditionalFormatting sqref="AX33:AY42">
    <cfRule type="expression" dxfId="1624" priority="168">
      <formula>AX33=""</formula>
    </cfRule>
  </conditionalFormatting>
  <conditionalFormatting sqref="R112:Y114">
    <cfRule type="expression" dxfId="1623" priority="84">
      <formula>$T$110=""</formula>
    </cfRule>
  </conditionalFormatting>
  <conditionalFormatting sqref="AE53:AG53">
    <cfRule type="expression" dxfId="1622" priority="54">
      <formula>$AT$52=1</formula>
    </cfRule>
    <cfRule type="expression" dxfId="1621" priority="123">
      <formula>$AE$53=0</formula>
    </cfRule>
  </conditionalFormatting>
  <conditionalFormatting sqref="AW48:AX48">
    <cfRule type="expression" dxfId="1620" priority="122">
      <formula>$AW$48=""</formula>
    </cfRule>
  </conditionalFormatting>
  <conditionalFormatting sqref="AE84:AL84">
    <cfRule type="expression" dxfId="1619" priority="113">
      <formula>$AE$84=""</formula>
    </cfRule>
  </conditionalFormatting>
  <conditionalFormatting sqref="AB102:AB120">
    <cfRule type="expression" dxfId="1618" priority="101">
      <formula>$T$104&lt;&gt;105</formula>
    </cfRule>
  </conditionalFormatting>
  <conditionalFormatting sqref="AB120:AG120">
    <cfRule type="expression" dxfId="1617" priority="100">
      <formula>$T$104&lt;&gt;105</formula>
    </cfRule>
  </conditionalFormatting>
  <conditionalFormatting sqref="AG102:AG120">
    <cfRule type="expression" dxfId="1616" priority="99">
      <formula>AND($T$104&lt;&gt;105,$T$104&lt;&gt;85)</formula>
    </cfRule>
  </conditionalFormatting>
  <conditionalFormatting sqref="AB102:AG102">
    <cfRule type="expression" dxfId="1615" priority="98">
      <formula>$T$104&lt;&gt;105</formula>
    </cfRule>
  </conditionalFormatting>
  <conditionalFormatting sqref="AH120:AM120">
    <cfRule type="expression" dxfId="1614" priority="97">
      <formula>$T$104&lt;&gt;85</formula>
    </cfRule>
  </conditionalFormatting>
  <conditionalFormatting sqref="AH102:AM102">
    <cfRule type="expression" dxfId="1613" priority="96">
      <formula>$T$104&lt;&gt;85</formula>
    </cfRule>
  </conditionalFormatting>
  <conditionalFormatting sqref="AN102:AN120">
    <cfRule type="expression" dxfId="1612" priority="95">
      <formula>AND($T$104&lt;&gt;85,$T$104&lt;&gt;110)</formula>
    </cfRule>
  </conditionalFormatting>
  <conditionalFormatting sqref="AN120:AT120">
    <cfRule type="expression" dxfId="1611" priority="94">
      <formula>$T$104&lt;&gt;110</formula>
    </cfRule>
  </conditionalFormatting>
  <conditionalFormatting sqref="AT102:AT120">
    <cfRule type="expression" dxfId="1610" priority="93">
      <formula>$T$104&lt;&gt;110</formula>
    </cfRule>
  </conditionalFormatting>
  <conditionalFormatting sqref="AN102:AT102">
    <cfRule type="expression" dxfId="1609" priority="92">
      <formula>$T$104&lt;&gt;110</formula>
    </cfRule>
  </conditionalFormatting>
  <conditionalFormatting sqref="T104:U104">
    <cfRule type="expression" dxfId="1608" priority="91">
      <formula>$T$104=""</formula>
    </cfRule>
  </conditionalFormatting>
  <conditionalFormatting sqref="T106:U106">
    <cfRule type="expression" dxfId="1607" priority="90">
      <formula>$T$106=""</formula>
    </cfRule>
  </conditionalFormatting>
  <conditionalFormatting sqref="T108:U108">
    <cfRule type="expression" dxfId="1606" priority="89">
      <formula>$T$108=""</formula>
    </cfRule>
  </conditionalFormatting>
  <conditionalFormatting sqref="T114:U114">
    <cfRule type="expression" dxfId="1605" priority="87">
      <formula>$T$114=""</formula>
    </cfRule>
  </conditionalFormatting>
  <conditionalFormatting sqref="T110:Y110">
    <cfRule type="expression" dxfId="1604" priority="85">
      <formula>$T$110=""</formula>
    </cfRule>
  </conditionalFormatting>
  <conditionalFormatting sqref="T112:Y112">
    <cfRule type="expression" dxfId="1603" priority="86">
      <formula>$T$112=""</formula>
    </cfRule>
  </conditionalFormatting>
  <conditionalFormatting sqref="AI57:AS57">
    <cfRule type="expression" dxfId="1602" priority="237">
      <formula>$AI$57=""</formula>
    </cfRule>
  </conditionalFormatting>
  <conditionalFormatting sqref="AX25:AZ26">
    <cfRule type="expression" dxfId="1601" priority="78">
      <formula>$AX$25=""</formula>
    </cfRule>
  </conditionalFormatting>
  <conditionalFormatting sqref="AM87:AO87">
    <cfRule type="expression" dxfId="1600" priority="72">
      <formula>$AM$87=""</formula>
    </cfRule>
  </conditionalFormatting>
  <conditionalFormatting sqref="AX76">
    <cfRule type="expression" dxfId="1599" priority="60">
      <formula>$AN$80=""</formula>
    </cfRule>
  </conditionalFormatting>
  <conditionalFormatting sqref="AX77">
    <cfRule type="expression" dxfId="1598" priority="59">
      <formula>$AN$80=""</formula>
    </cfRule>
  </conditionalFormatting>
  <conditionalFormatting sqref="AX78">
    <cfRule type="expression" dxfId="1597" priority="58">
      <formula>$AN$80=""</formula>
    </cfRule>
  </conditionalFormatting>
  <conditionalFormatting sqref="AX79">
    <cfRule type="expression" dxfId="1596" priority="57">
      <formula>$AN$80=""</formula>
    </cfRule>
  </conditionalFormatting>
  <conditionalFormatting sqref="AX80">
    <cfRule type="expression" dxfId="1595" priority="56">
      <formula>$AN$80=""</formula>
    </cfRule>
  </conditionalFormatting>
  <conditionalFormatting sqref="AT52">
    <cfRule type="expression" dxfId="1594" priority="55">
      <formula>$AT$52=1</formula>
    </cfRule>
  </conditionalFormatting>
  <conditionalFormatting sqref="M6:Q6">
    <cfRule type="expression" dxfId="1593" priority="42">
      <formula>$M$6=""</formula>
    </cfRule>
  </conditionalFormatting>
  <conditionalFormatting sqref="AN78:AP78">
    <cfRule type="expression" dxfId="1592" priority="192">
      <formula>$AN$78=""</formula>
    </cfRule>
  </conditionalFormatting>
  <conditionalFormatting sqref="AN79:AP79">
    <cfRule type="expression" dxfId="1591" priority="191">
      <formula>$AN$79=""</formula>
    </cfRule>
  </conditionalFormatting>
  <conditionalFormatting sqref="AM46:AS46">
    <cfRule type="expression" dxfId="1590" priority="199">
      <formula>$AM$46=""</formula>
    </cfRule>
  </conditionalFormatting>
  <conditionalFormatting sqref="AM47:AS47">
    <cfRule type="expression" dxfId="1589" priority="34">
      <formula>$AM$47=""</formula>
    </cfRule>
  </conditionalFormatting>
  <conditionalFormatting sqref="AB62">
    <cfRule type="expression" dxfId="1588" priority="20">
      <formula>$AB$62&gt;0</formula>
    </cfRule>
  </conditionalFormatting>
  <conditionalFormatting sqref="AB73">
    <cfRule type="expression" dxfId="1587" priority="19">
      <formula>$AB$73&gt;0</formula>
    </cfRule>
  </conditionalFormatting>
  <conditionalFormatting sqref="AQ96:AR96">
    <cfRule type="expression" dxfId="1586" priority="18">
      <formula>$AQ$96=""</formula>
    </cfRule>
  </conditionalFormatting>
  <conditionalFormatting sqref="BD2:BI10">
    <cfRule type="expression" dxfId="1585" priority="9">
      <formula>$AW$2=""</formula>
    </cfRule>
  </conditionalFormatting>
  <conditionalFormatting sqref="AZ9:BA9">
    <cfRule type="expression" dxfId="1584" priority="6">
      <formula>$AZ$9=""</formula>
    </cfRule>
  </conditionalFormatting>
  <conditionalFormatting sqref="AZ10:BA10">
    <cfRule type="expression" dxfId="1583" priority="5">
      <formula>$AZ$10=""</formula>
    </cfRule>
  </conditionalFormatting>
  <dataValidations count="7">
    <dataValidation type="whole" allowBlank="1" showInputMessage="1" showErrorMessage="1" sqref="J58:M59 I46:K49" xr:uid="{00000000-0002-0000-0300-000000000000}">
      <formula1>0</formula1>
      <formula2>100000</formula2>
    </dataValidation>
    <dataValidation type="custom" operator="equal" allowBlank="1" showInputMessage="1" showErrorMessage="1" sqref="AA47:AA49 E33:E34 E40:E41 Q40:Q41 E6:E7 AN33 AN44" xr:uid="{00000000-0002-0000-0300-000001000000}">
      <formula1>E6="X"</formula1>
    </dataValidation>
    <dataValidation type="whole" allowBlank="1" showInputMessage="1" showErrorMessage="1" sqref="H21:I21 AJ21:AK21 L21:M21 P21:Q21 T21:U21 X21:Y21 AB21:AC21 AF21:AG21 AN21:AO21" xr:uid="{00000000-0002-0000-0300-000002000000}">
      <formula1>0</formula1>
      <formula2>360</formula2>
    </dataValidation>
    <dataValidation type="whole" allowBlank="1" showInputMessage="1" showErrorMessage="1" sqref="E28:AR28 Z42:Z45" xr:uid="{00000000-0002-0000-0300-000003000000}">
      <formula1>0</formula1>
      <formula2>10000</formula2>
    </dataValidation>
    <dataValidation type="whole" allowBlank="1" showInputMessage="1" showErrorMessage="1" sqref="T45:U45" xr:uid="{00000000-0002-0000-0300-000004000000}">
      <formula1>0</formula1>
      <formula2>3000</formula2>
    </dataValidation>
    <dataValidation type="date" operator="greaterThanOrEqual" allowBlank="1" showInputMessage="1" showErrorMessage="1" sqref="Y7:AF7" xr:uid="{00000000-0002-0000-0300-000005000000}">
      <formula1>TODAY()-3</formula1>
    </dataValidation>
    <dataValidation type="whole" allowBlank="1" showInputMessage="1" showErrorMessage="1" sqref="AJ6:AL6" xr:uid="{00000000-0002-0000-0300-000006000000}">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ignoredErrors>
    <ignoredError sqref="AF45"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50" r:id="rId4" name="Drop Down 2">
              <controlPr locked="0" defaultSize="0" autoLine="0" autoPict="0">
                <anchor>
                  <from>
                    <xdr:col>48</xdr:col>
                    <xdr:colOff>752475</xdr:colOff>
                    <xdr:row>2</xdr:row>
                    <xdr:rowOff>295275</xdr:rowOff>
                  </from>
                  <to>
                    <xdr:col>50</xdr:col>
                    <xdr:colOff>495300</xdr:colOff>
                    <xdr:row>3</xdr:row>
                    <xdr:rowOff>95250</xdr:rowOff>
                  </to>
                </anchor>
              </controlPr>
            </control>
          </mc:Choice>
        </mc:AlternateContent>
        <mc:AlternateContent xmlns:mc="http://schemas.openxmlformats.org/markup-compatibility/2006">
          <mc:Choice Requires="x14">
            <control shapeId="2059" r:id="rId5" name="Check Box 11">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2060" r:id="rId6" name="Check Box 12">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2062" r:id="rId7" name="Check Box 14">
              <controlPr locked="0"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2063" r:id="rId8" name="Check Box 15">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2064" r:id="rId9" name="Check Box 16">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2065" r:id="rId10" name="Check Box 17">
              <controlPr locked="0" defaultSize="0" autoFill="0" autoLine="0" autoPict="0">
                <anchor moveWithCells="1">
                  <from>
                    <xdr:col>29</xdr:col>
                    <xdr:colOff>219075</xdr:colOff>
                    <xdr:row>36</xdr:row>
                    <xdr:rowOff>0</xdr:rowOff>
                  </from>
                  <to>
                    <xdr:col>31</xdr:col>
                    <xdr:colOff>0</xdr:colOff>
                    <xdr:row>37</xdr:row>
                    <xdr:rowOff>9525</xdr:rowOff>
                  </to>
                </anchor>
              </controlPr>
            </control>
          </mc:Choice>
        </mc:AlternateContent>
        <mc:AlternateContent xmlns:mc="http://schemas.openxmlformats.org/markup-compatibility/2006">
          <mc:Choice Requires="x14">
            <control shapeId="2" r:id="rId11" name="Check Box 18">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3" r:id="rId12" name="Check Box 19">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2068" r:id="rId13" name="Check Box 20">
              <controlPr defaultSize="0" autoFill="0" autoLine="0" autoPict="0">
                <anchor moveWithCells="1">
                  <from>
                    <xdr:col>30</xdr:col>
                    <xdr:colOff>0</xdr:colOff>
                    <xdr:row>31</xdr:row>
                    <xdr:rowOff>180975</xdr:rowOff>
                  </from>
                  <to>
                    <xdr:col>31</xdr:col>
                    <xdr:colOff>0</xdr:colOff>
                    <xdr:row>33</xdr:row>
                    <xdr:rowOff>9525</xdr:rowOff>
                  </to>
                </anchor>
              </controlPr>
            </control>
          </mc:Choice>
        </mc:AlternateContent>
        <mc:AlternateContent xmlns:mc="http://schemas.openxmlformats.org/markup-compatibility/2006">
          <mc:Choice Requires="x14">
            <control shapeId="2069" r:id="rId14" name="Check Box 21">
              <controlPr locked="0" defaultSize="0" autoFill="0" autoLine="0" autoPict="0">
                <anchor moveWithCells="1">
                  <from>
                    <xdr:col>39</xdr:col>
                    <xdr:colOff>0</xdr:colOff>
                    <xdr:row>32</xdr:row>
                    <xdr:rowOff>0</xdr:rowOff>
                  </from>
                  <to>
                    <xdr:col>40</xdr:col>
                    <xdr:colOff>0</xdr:colOff>
                    <xdr:row>33</xdr:row>
                    <xdr:rowOff>0</xdr:rowOff>
                  </to>
                </anchor>
              </controlPr>
            </control>
          </mc:Choice>
        </mc:AlternateContent>
        <mc:AlternateContent xmlns:mc="http://schemas.openxmlformats.org/markup-compatibility/2006">
          <mc:Choice Requires="x14">
            <control shapeId="2094" r:id="rId15" name="Check Box 46">
              <controlPr locked="0" defaultSize="0" autoFill="0" autoLine="0" autoPict="0">
                <anchor moveWithCells="1">
                  <from>
                    <xdr:col>42</xdr:col>
                    <xdr:colOff>0</xdr:colOff>
                    <xdr:row>4</xdr:row>
                    <xdr:rowOff>0</xdr:rowOff>
                  </from>
                  <to>
                    <xdr:col>43</xdr:col>
                    <xdr:colOff>0</xdr:colOff>
                    <xdr:row>5</xdr:row>
                    <xdr:rowOff>9525</xdr:rowOff>
                  </to>
                </anchor>
              </controlPr>
            </control>
          </mc:Choice>
        </mc:AlternateContent>
        <mc:AlternateContent xmlns:mc="http://schemas.openxmlformats.org/markup-compatibility/2006">
          <mc:Choice Requires="x14">
            <control shapeId="2095" r:id="rId16" name="Check Box 47">
              <controlPr locked="0" defaultSize="0" autoFill="0" autoLine="0" autoPict="0">
                <anchor moveWithCells="1">
                  <from>
                    <xdr:col>42</xdr:col>
                    <xdr:colOff>0</xdr:colOff>
                    <xdr:row>5</xdr:row>
                    <xdr:rowOff>0</xdr:rowOff>
                  </from>
                  <to>
                    <xdr:col>43</xdr:col>
                    <xdr:colOff>0</xdr:colOff>
                    <xdr:row>6</xdr:row>
                    <xdr:rowOff>19050</xdr:rowOff>
                  </to>
                </anchor>
              </controlPr>
            </control>
          </mc:Choice>
        </mc:AlternateContent>
        <mc:AlternateContent xmlns:mc="http://schemas.openxmlformats.org/markup-compatibility/2006">
          <mc:Choice Requires="x14">
            <control shapeId="2097" r:id="rId17" name="Check Box 49">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2098" r:id="rId18" name="Check Box 50">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2100" r:id="rId19" name="Check Box 52">
              <controlPr locked="0" defaultSize="0" autoFill="0" autoLine="0" autoPict="0">
                <anchor moveWithCells="1">
                  <from>
                    <xdr:col>4</xdr:col>
                    <xdr:colOff>0</xdr:colOff>
                    <xdr:row>5</xdr:row>
                    <xdr:rowOff>0</xdr:rowOff>
                  </from>
                  <to>
                    <xdr:col>5</xdr:col>
                    <xdr:colOff>0</xdr:colOff>
                    <xdr:row>6</xdr:row>
                    <xdr:rowOff>19050</xdr:rowOff>
                  </to>
                </anchor>
              </controlPr>
            </control>
          </mc:Choice>
        </mc:AlternateContent>
        <mc:AlternateContent xmlns:mc="http://schemas.openxmlformats.org/markup-compatibility/2006">
          <mc:Choice Requires="x14">
            <control shapeId="2101" r:id="rId20" name="Check Box 53">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2102" r:id="rId21" name="Check Box 54">
              <controlPr locked="0" defaultSize="0" autoFill="0" autoLine="0" autoPict="0">
                <anchor moveWithCells="1">
                  <from>
                    <xdr:col>6</xdr:col>
                    <xdr:colOff>9525</xdr:colOff>
                    <xdr:row>43</xdr:row>
                    <xdr:rowOff>114300</xdr:rowOff>
                  </from>
                  <to>
                    <xdr:col>7</xdr:col>
                    <xdr:colOff>28575</xdr:colOff>
                    <xdr:row>44</xdr:row>
                    <xdr:rowOff>114300</xdr:rowOff>
                  </to>
                </anchor>
              </controlPr>
            </control>
          </mc:Choice>
        </mc:AlternateContent>
        <mc:AlternateContent xmlns:mc="http://schemas.openxmlformats.org/markup-compatibility/2006">
          <mc:Choice Requires="x14">
            <control shapeId="2103" r:id="rId22" name="Check Box 55">
              <controlPr locked="0" defaultSize="0" autoFill="0" autoLine="0" autoPict="0">
                <anchor moveWithCells="1">
                  <from>
                    <xdr:col>11</xdr:col>
                    <xdr:colOff>152400</xdr:colOff>
                    <xdr:row>43</xdr:row>
                    <xdr:rowOff>114300</xdr:rowOff>
                  </from>
                  <to>
                    <xdr:col>12</xdr:col>
                    <xdr:colOff>152400</xdr:colOff>
                    <xdr:row>44</xdr:row>
                    <xdr:rowOff>104775</xdr:rowOff>
                  </to>
                </anchor>
              </controlPr>
            </control>
          </mc:Choice>
        </mc:AlternateContent>
        <mc:AlternateContent xmlns:mc="http://schemas.openxmlformats.org/markup-compatibility/2006">
          <mc:Choice Requires="x14">
            <control shapeId="2104" r:id="rId23" name="Check Box 56">
              <controlPr locked="0" defaultSize="0" autoFill="0" autoLine="0" autoPict="0">
                <anchor moveWithCells="1">
                  <from>
                    <xdr:col>7</xdr:col>
                    <xdr:colOff>171450</xdr:colOff>
                    <xdr:row>52</xdr:row>
                    <xdr:rowOff>85725</xdr:rowOff>
                  </from>
                  <to>
                    <xdr:col>8</xdr:col>
                    <xdr:colOff>171450</xdr:colOff>
                    <xdr:row>53</xdr:row>
                    <xdr:rowOff>85725</xdr:rowOff>
                  </to>
                </anchor>
              </controlPr>
            </control>
          </mc:Choice>
        </mc:AlternateContent>
        <mc:AlternateContent xmlns:mc="http://schemas.openxmlformats.org/markup-compatibility/2006">
          <mc:Choice Requires="x14">
            <control shapeId="2105" r:id="rId24" name="Check Box 57">
              <controlPr locked="0" defaultSize="0" autoFill="0" autoLine="0" autoPict="0">
                <anchor moveWithCells="1">
                  <from>
                    <xdr:col>9</xdr:col>
                    <xdr:colOff>219075</xdr:colOff>
                    <xdr:row>52</xdr:row>
                    <xdr:rowOff>85725</xdr:rowOff>
                  </from>
                  <to>
                    <xdr:col>10</xdr:col>
                    <xdr:colOff>219075</xdr:colOff>
                    <xdr:row>53</xdr:row>
                    <xdr:rowOff>85725</xdr:rowOff>
                  </to>
                </anchor>
              </controlPr>
            </control>
          </mc:Choice>
        </mc:AlternateContent>
        <mc:AlternateContent xmlns:mc="http://schemas.openxmlformats.org/markup-compatibility/2006">
          <mc:Choice Requires="x14">
            <control shapeId="2108" r:id="rId25" name="Check Box 60">
              <controlPr locked="0" defaultSize="0" autoFill="0" autoLine="0" autoPict="0">
                <anchor moveWithCells="1">
                  <from>
                    <xdr:col>30</xdr:col>
                    <xdr:colOff>0</xdr:colOff>
                    <xdr:row>54</xdr:row>
                    <xdr:rowOff>142875</xdr:rowOff>
                  </from>
                  <to>
                    <xdr:col>31</xdr:col>
                    <xdr:colOff>0</xdr:colOff>
                    <xdr:row>55</xdr:row>
                    <xdr:rowOff>142875</xdr:rowOff>
                  </to>
                </anchor>
              </controlPr>
            </control>
          </mc:Choice>
        </mc:AlternateContent>
        <mc:AlternateContent xmlns:mc="http://schemas.openxmlformats.org/markup-compatibility/2006">
          <mc:Choice Requires="x14">
            <control shapeId="2109" r:id="rId26" name="Check Box 61">
              <controlPr locked="0" defaultSize="0" autoFill="0" autoLine="0" autoPict="0">
                <anchor moveWithCells="1">
                  <from>
                    <xdr:col>37</xdr:col>
                    <xdr:colOff>219075</xdr:colOff>
                    <xdr:row>55</xdr:row>
                    <xdr:rowOff>0</xdr:rowOff>
                  </from>
                  <to>
                    <xdr:col>39</xdr:col>
                    <xdr:colOff>0</xdr:colOff>
                    <xdr:row>56</xdr:row>
                    <xdr:rowOff>0</xdr:rowOff>
                  </to>
                </anchor>
              </controlPr>
            </control>
          </mc:Choice>
        </mc:AlternateContent>
        <mc:AlternateContent xmlns:mc="http://schemas.openxmlformats.org/markup-compatibility/2006">
          <mc:Choice Requires="x14">
            <control shapeId="2110" r:id="rId27" name="Check Box 62">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2111" r:id="rId28" name="Check Box 63">
              <controlPr locked="0" defaultSize="0" autoFill="0" autoLine="0" autoPict="0">
                <anchor moveWithCells="1">
                  <from>
                    <xdr:col>33</xdr:col>
                    <xdr:colOff>180975</xdr:colOff>
                    <xdr:row>62</xdr:row>
                    <xdr:rowOff>0</xdr:rowOff>
                  </from>
                  <to>
                    <xdr:col>34</xdr:col>
                    <xdr:colOff>190500</xdr:colOff>
                    <xdr:row>63</xdr:row>
                    <xdr:rowOff>9525</xdr:rowOff>
                  </to>
                </anchor>
              </controlPr>
            </control>
          </mc:Choice>
        </mc:AlternateContent>
        <mc:AlternateContent xmlns:mc="http://schemas.openxmlformats.org/markup-compatibility/2006">
          <mc:Choice Requires="x14">
            <control shapeId="2112" r:id="rId29" name="Check Box 64">
              <controlPr locked="0" defaultSize="0" autoFill="0" autoLine="0" autoPict="0">
                <anchor moveWithCells="1">
                  <from>
                    <xdr:col>37</xdr:col>
                    <xdr:colOff>104775</xdr:colOff>
                    <xdr:row>62</xdr:row>
                    <xdr:rowOff>0</xdr:rowOff>
                  </from>
                  <to>
                    <xdr:col>38</xdr:col>
                    <xdr:colOff>104775</xdr:colOff>
                    <xdr:row>63</xdr:row>
                    <xdr:rowOff>19050</xdr:rowOff>
                  </to>
                </anchor>
              </controlPr>
            </control>
          </mc:Choice>
        </mc:AlternateContent>
        <mc:AlternateContent xmlns:mc="http://schemas.openxmlformats.org/markup-compatibility/2006">
          <mc:Choice Requires="x14">
            <control shapeId="2113" r:id="rId30" name="Check Box 65">
              <controlPr locked="0" defaultSize="0" autoFill="0" autoLine="0" autoPict="0">
                <anchor moveWithCells="1">
                  <from>
                    <xdr:col>41</xdr:col>
                    <xdr:colOff>57150</xdr:colOff>
                    <xdr:row>62</xdr:row>
                    <xdr:rowOff>0</xdr:rowOff>
                  </from>
                  <to>
                    <xdr:col>42</xdr:col>
                    <xdr:colOff>57150</xdr:colOff>
                    <xdr:row>63</xdr:row>
                    <xdr:rowOff>9525</xdr:rowOff>
                  </to>
                </anchor>
              </controlPr>
            </control>
          </mc:Choice>
        </mc:AlternateContent>
        <mc:AlternateContent xmlns:mc="http://schemas.openxmlformats.org/markup-compatibility/2006">
          <mc:Choice Requires="x14">
            <control shapeId="2117" r:id="rId31" name="Check Box 69">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2118" r:id="rId32" name="Check Box 70">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2119" r:id="rId33" name="Check Box 71">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2120" r:id="rId34" name="Check Box 72">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2128" r:id="rId35" name="Check Box 80">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2129" r:id="rId36" name="Check Box 81">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2130" r:id="rId37" name="Check Box 82">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2131" r:id="rId38" name="Check Box 83">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2137" r:id="rId39" name="Check Box 89">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2138" r:id="rId40" name="Check Box 90">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2139" r:id="rId41" name="Check Box 91">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2143" r:id="rId42" name="Check Box 95">
              <controlPr locked="0" defaultSize="0" autoFill="0" autoLine="0" autoPict="0">
                <anchor moveWithCells="1">
                  <from>
                    <xdr:col>20</xdr:col>
                    <xdr:colOff>0</xdr:colOff>
                    <xdr:row>89</xdr:row>
                    <xdr:rowOff>0</xdr:rowOff>
                  </from>
                  <to>
                    <xdr:col>21</xdr:col>
                    <xdr:colOff>0</xdr:colOff>
                    <xdr:row>90</xdr:row>
                    <xdr:rowOff>0</xdr:rowOff>
                  </to>
                </anchor>
              </controlPr>
            </control>
          </mc:Choice>
        </mc:AlternateContent>
        <mc:AlternateContent xmlns:mc="http://schemas.openxmlformats.org/markup-compatibility/2006">
          <mc:Choice Requires="x14">
            <control shapeId="2144" r:id="rId43" name="Check Box 96">
              <controlPr locked="0" defaultSize="0" autoFill="0" autoLine="0" autoPict="0">
                <anchor moveWithCells="1">
                  <from>
                    <xdr:col>19</xdr:col>
                    <xdr:colOff>219075</xdr:colOff>
                    <xdr:row>95</xdr:row>
                    <xdr:rowOff>0</xdr:rowOff>
                  </from>
                  <to>
                    <xdr:col>21</xdr:col>
                    <xdr:colOff>0</xdr:colOff>
                    <xdr:row>95</xdr:row>
                    <xdr:rowOff>152400</xdr:rowOff>
                  </to>
                </anchor>
              </controlPr>
            </control>
          </mc:Choice>
        </mc:AlternateContent>
        <mc:AlternateContent xmlns:mc="http://schemas.openxmlformats.org/markup-compatibility/2006">
          <mc:Choice Requires="x14">
            <control shapeId="2147" r:id="rId44" name="Check Box 99">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2148" r:id="rId45" name="Check Box 100">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2141" r:id="rId46" name="Check Box 93">
              <controlPr locked="0" defaultSize="0" autoFill="0" autoLine="0" autoPict="0">
                <anchor moveWithCells="1">
                  <from>
                    <xdr:col>15</xdr:col>
                    <xdr:colOff>190500</xdr:colOff>
                    <xdr:row>72</xdr:row>
                    <xdr:rowOff>152400</xdr:rowOff>
                  </from>
                  <to>
                    <xdr:col>16</xdr:col>
                    <xdr:colOff>190500</xdr:colOff>
                    <xdr:row>73</xdr:row>
                    <xdr:rowOff>152400</xdr:rowOff>
                  </to>
                </anchor>
              </controlPr>
            </control>
          </mc:Choice>
        </mc:AlternateContent>
        <mc:AlternateContent xmlns:mc="http://schemas.openxmlformats.org/markup-compatibility/2006">
          <mc:Choice Requires="x14">
            <control shapeId="2140" r:id="rId47" name="Check Box 92">
              <controlPr locked="0" defaultSize="0" autoFill="0" autoLine="0" autoPict="0">
                <anchor moveWithCells="1">
                  <from>
                    <xdr:col>13</xdr:col>
                    <xdr:colOff>104775</xdr:colOff>
                    <xdr:row>80</xdr:row>
                    <xdr:rowOff>152400</xdr:rowOff>
                  </from>
                  <to>
                    <xdr:col>14</xdr:col>
                    <xdr:colOff>104775</xdr:colOff>
                    <xdr:row>81</xdr:row>
                    <xdr:rowOff>152400</xdr:rowOff>
                  </to>
                </anchor>
              </controlPr>
            </control>
          </mc:Choice>
        </mc:AlternateContent>
        <mc:AlternateContent xmlns:mc="http://schemas.openxmlformats.org/markup-compatibility/2006">
          <mc:Choice Requires="x14">
            <control shapeId="2149" r:id="rId48" name="Check Box 101">
              <controlPr locked="0" defaultSize="0" autoFill="0" autoLine="0" autoPict="0">
                <anchor moveWithCells="1">
                  <from>
                    <xdr:col>23</xdr:col>
                    <xdr:colOff>0</xdr:colOff>
                    <xdr:row>48</xdr:row>
                    <xdr:rowOff>0</xdr:rowOff>
                  </from>
                  <to>
                    <xdr:col>24</xdr:col>
                    <xdr:colOff>0</xdr:colOff>
                    <xdr:row>49</xdr:row>
                    <xdr:rowOff>28575</xdr:rowOff>
                  </to>
                </anchor>
              </controlPr>
            </control>
          </mc:Choice>
        </mc:AlternateContent>
        <mc:AlternateContent xmlns:mc="http://schemas.openxmlformats.org/markup-compatibility/2006">
          <mc:Choice Requires="x14">
            <control shapeId="2150" r:id="rId49" name="Check Box 102">
              <controlPr locked="0" defaultSize="0" autoFill="0" autoLine="0" autoPict="0">
                <anchor moveWithCells="1">
                  <from>
                    <xdr:col>23</xdr:col>
                    <xdr:colOff>0</xdr:colOff>
                    <xdr:row>55</xdr:row>
                    <xdr:rowOff>0</xdr:rowOff>
                  </from>
                  <to>
                    <xdr:col>24</xdr:col>
                    <xdr:colOff>0</xdr:colOff>
                    <xdr:row>56</xdr:row>
                    <xdr:rowOff>28575</xdr:rowOff>
                  </to>
                </anchor>
              </controlPr>
            </control>
          </mc:Choice>
        </mc:AlternateContent>
        <mc:AlternateContent xmlns:mc="http://schemas.openxmlformats.org/markup-compatibility/2006">
          <mc:Choice Requires="x14">
            <control shapeId="2157" r:id="rId50" name="Check Box 109">
              <controlPr locked="0" defaultSize="0" autoFill="0" autoLine="0" autoPict="0">
                <anchor moveWithCells="1">
                  <from>
                    <xdr:col>39</xdr:col>
                    <xdr:colOff>0</xdr:colOff>
                    <xdr:row>33</xdr:row>
                    <xdr:rowOff>0</xdr:rowOff>
                  </from>
                  <to>
                    <xdr:col>40</xdr:col>
                    <xdr:colOff>0</xdr:colOff>
                    <xdr:row>34</xdr:row>
                    <xdr:rowOff>0</xdr:rowOff>
                  </to>
                </anchor>
              </controlPr>
            </control>
          </mc:Choice>
        </mc:AlternateContent>
        <mc:AlternateContent xmlns:mc="http://schemas.openxmlformats.org/markup-compatibility/2006">
          <mc:Choice Requires="x14">
            <control shapeId="2172" r:id="rId51" name="Check Box 124">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2173" r:id="rId52" name="Check Box 125">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2175" r:id="rId53" name="Check Box 127">
              <controlPr locked="0" defaultSize="0" autoFill="0" autoLine="0" autoPict="0">
                <anchor moveWithCells="1">
                  <from>
                    <xdr:col>29</xdr:col>
                    <xdr:colOff>219075</xdr:colOff>
                    <xdr:row>56</xdr:row>
                    <xdr:rowOff>19050</xdr:rowOff>
                  </from>
                  <to>
                    <xdr:col>31</xdr:col>
                    <xdr:colOff>0</xdr:colOff>
                    <xdr:row>57</xdr:row>
                    <xdr:rowOff>28575</xdr:rowOff>
                  </to>
                </anchor>
              </controlPr>
            </control>
          </mc:Choice>
        </mc:AlternateContent>
        <mc:AlternateContent xmlns:mc="http://schemas.openxmlformats.org/markup-compatibility/2006">
          <mc:Choice Requires="x14">
            <control shapeId="2177" r:id="rId54" name="Check Box 129">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mc:AlternateContent xmlns:mc="http://schemas.openxmlformats.org/markup-compatibility/2006">
          <mc:Choice Requires="x14">
            <control shapeId="2285" r:id="rId55" name="Check Box 237">
              <controlPr locked="0" defaultSize="0" autoFill="0" autoLine="0" autoPict="0">
                <anchor moveWithCells="1">
                  <from>
                    <xdr:col>39</xdr:col>
                    <xdr:colOff>0</xdr:colOff>
                    <xdr:row>33</xdr:row>
                    <xdr:rowOff>152400</xdr:rowOff>
                  </from>
                  <to>
                    <xdr:col>40</xdr:col>
                    <xdr:colOff>0</xdr:colOff>
                    <xdr:row>35</xdr:row>
                    <xdr:rowOff>0</xdr:rowOff>
                  </to>
                </anchor>
              </controlPr>
            </control>
          </mc:Choice>
        </mc:AlternateContent>
        <mc:AlternateContent xmlns:mc="http://schemas.openxmlformats.org/markup-compatibility/2006">
          <mc:Choice Requires="x14">
            <control shapeId="2286" r:id="rId56" name="Check Box 238">
              <controlPr locked="0" defaultSize="0" autoFill="0" autoLine="0" autoPict="0">
                <anchor moveWithCells="1">
                  <from>
                    <xdr:col>39</xdr:col>
                    <xdr:colOff>0</xdr:colOff>
                    <xdr:row>34</xdr:row>
                    <xdr:rowOff>142875</xdr:rowOff>
                  </from>
                  <to>
                    <xdr:col>40</xdr:col>
                    <xdr:colOff>0</xdr:colOff>
                    <xdr:row>36</xdr:row>
                    <xdr:rowOff>0</xdr:rowOff>
                  </to>
                </anchor>
              </controlPr>
            </control>
          </mc:Choice>
        </mc:AlternateContent>
        <mc:AlternateContent xmlns:mc="http://schemas.openxmlformats.org/markup-compatibility/2006">
          <mc:Choice Requires="x14">
            <control shapeId="2287" r:id="rId57" name="Check Box 239">
              <controlPr locked="0" defaultSize="0" autoFill="0" autoLine="0" autoPict="0">
                <anchor moveWithCells="1">
                  <from>
                    <xdr:col>39</xdr:col>
                    <xdr:colOff>0</xdr:colOff>
                    <xdr:row>35</xdr:row>
                    <xdr:rowOff>142875</xdr:rowOff>
                  </from>
                  <to>
                    <xdr:col>40</xdr:col>
                    <xdr:colOff>0</xdr:colOff>
                    <xdr:row>37</xdr:row>
                    <xdr:rowOff>0</xdr:rowOff>
                  </to>
                </anchor>
              </controlPr>
            </control>
          </mc:Choice>
        </mc:AlternateContent>
        <mc:AlternateContent xmlns:mc="http://schemas.openxmlformats.org/markup-compatibility/2006">
          <mc:Choice Requires="x14">
            <control shapeId="2289" r:id="rId58" name="Check Box 241">
              <controlPr locked="0" defaultSize="0" autoFill="0" autoLine="0" autoPict="0">
                <anchor moveWithCells="1">
                  <from>
                    <xdr:col>30</xdr:col>
                    <xdr:colOff>0</xdr:colOff>
                    <xdr:row>38</xdr:row>
                    <xdr:rowOff>142875</xdr:rowOff>
                  </from>
                  <to>
                    <xdr:col>31</xdr:col>
                    <xdr:colOff>0</xdr:colOff>
                    <xdr:row>40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73" id="{4C3B599F-CC93-46E2-96A0-7EDFB1D548F9}">
            <xm:f>$A$9&lt;&gt;'Sprachen &amp; Rückgabewerte'!$H$132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38" id="{C3D1C0B7-5D09-4FBD-983F-F095A81A401B}">
            <xm:f>'Sprachen &amp; Rückgabewerte'!$U$49=FALSE</xm:f>
            <x14:dxf>
              <border>
                <bottom style="thin">
                  <color rgb="FFFF0000"/>
                </bottom>
                <vertical/>
                <horizontal/>
              </border>
            </x14:dxf>
          </x14:cfRule>
          <x14:cfRule type="expression" priority="502" id="{082CA4F7-A3BB-4BDB-BBA3-E0DD2042F4C0}">
            <xm:f>'Sprachen &amp; Rückgabewerte'!$I$12=FALSE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501" id="{4979C0D1-4F27-457A-BF2E-722ED7D4537D}">
            <xm:f>AND('Sprachen &amp; Rückgabewerte'!$I$11=FALSE,'Sprachen &amp; Rückgabewerte'!$I$12=FALSE)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500" id="{6807A594-23FA-49C5-9077-AEA6069DEE9C}">
            <xm:f>AND('Sprachen &amp; Rückgabewerte'!$I$10=FALSE,'Sprachen &amp; Rückgabewerte'!$I$11=FALSE,'Sprachen &amp; Rückgabewerte'!$I$12=FALSE)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81" id="{09770D21-B614-43EA-BA3A-3FB0E873DD4B}">
            <xm:f>AND($AP$86="",'Sprachen &amp; Rückgabewerte'!$I$51=TRUE)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498" id="{4D0B24C1-E1E0-4E5A-A4FD-1484D87E2483}">
            <xm:f>'Sprachen &amp; Rückgabewerte'!$I$51=TRUE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496" id="{D310F8AE-5035-40D9-940D-46DB16A27C18}">
            <xm:f>'Sprachen &amp; Rückgabewerte'!$C$41=FALSE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362" id="{658341EA-B03F-4685-BF39-3F4509788787}">
            <xm:f>'Sprachen &amp; Rückgabewerte'!$C$42=FALSE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215" id="{F68CD35B-2829-46B8-93CA-CA1D5258511E}">
            <xm:f>'Sprachen &amp; Rückgabewerte'!$C$44=FALSE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209" id="{7FEE6610-B07A-40BE-A7EF-A232BA68AB13}">
            <xm:f>'Sprachen &amp; Rückgabewerte'!$C$45=FALSE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570" id="{D507BB43-BD5F-4C77-8248-9C0AA09E17A9}">
            <xm:f>'Sprachen &amp; Rückgabewerte'!$C$46=FALSE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489" id="{BBFDD7AE-319D-4CB7-A85D-BD566DA9E85F}">
            <xm:f>'Sprachen &amp; Rückgabewerte'!$C$47=FALSE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205" id="{D80EC06C-2329-4CFA-974D-8D4775AC8C70}">
            <xm:f>'Sprachen &amp; Rückgabewerte'!$C$49=FALSE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465" id="{B25A7B0D-B93A-4F69-B8C6-376BDA5E3EED}">
            <xm:f>G$20='Sprachen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485" id="{A6C258F1-2893-4B8F-BDA5-90DFB72B53A2}">
            <xm:f>G$20='Sprachen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425" id="{9B2879D9-406B-429B-A50D-779472AF73AF}">
            <xm:f>'Sprachen &amp; Rückgabewerte'!$L$41=0</xm:f>
            <x14:dxf>
              <border>
                <left style="thin">
                  <color rgb="FFFF0000"/>
                </left>
                <vertical/>
                <horizontal/>
              </border>
            </x14:dxf>
          </x14:cfRule>
          <xm:sqref>C5:C8</xm:sqref>
        </x14:conditionalFormatting>
        <x14:conditionalFormatting xmlns:xm="http://schemas.microsoft.com/office/excel/2006/main">
          <x14:cfRule type="expression" priority="424" id="{6C8E224F-4117-48DD-B898-BE63D62E95F7}">
            <xm:f>'Sprachen &amp; Rückgabewerte'!$L$41=0</xm:f>
            <x14:dxf>
              <border>
                <top style="thin">
                  <color rgb="FFFF0000"/>
                </top>
                <vertical/>
                <horizontal/>
              </border>
            </x14:dxf>
          </x14:cfRule>
          <xm:sqref>C5:R5</xm:sqref>
        </x14:conditionalFormatting>
        <x14:conditionalFormatting xmlns:xm="http://schemas.microsoft.com/office/excel/2006/main">
          <x14:cfRule type="expression" priority="423" id="{93270315-8226-43F6-ACCA-721497C98F6F}">
            <xm:f>'Sprachen &amp; Rückgabewerte'!$L$41=0</xm:f>
            <x14:dxf>
              <border>
                <right style="thin">
                  <color rgb="FFFF0000"/>
                </right>
                <vertical/>
                <horizontal/>
              </border>
            </x14:dxf>
          </x14:cfRule>
          <xm:sqref>R5:R8</xm:sqref>
        </x14:conditionalFormatting>
        <x14:conditionalFormatting xmlns:xm="http://schemas.microsoft.com/office/excel/2006/main">
          <x14:cfRule type="expression" priority="422" id="{1C1D9CC1-5C23-4EA9-90F2-036557639925}">
            <xm:f>'Sprachen &amp; Rückgabewerte'!$L$41=0</xm:f>
            <x14:dxf>
              <border>
                <bottom style="thin">
                  <color rgb="FFFF0000"/>
                </bottom>
                <vertical/>
                <horizontal/>
              </border>
            </x14:dxf>
          </x14:cfRule>
          <xm:sqref>C8:R8</xm:sqref>
        </x14:conditionalFormatting>
        <x14:conditionalFormatting xmlns:xm="http://schemas.microsoft.com/office/excel/2006/main">
          <x14:cfRule type="expression" priority="421" id="{97ABD76C-7941-4561-BF40-3875D114261D}">
            <xm:f>'Sprachen &amp; Rückgabewerte'!$L$42=0</xm:f>
            <x14:dxf>
              <border>
                <left style="thin">
                  <color rgb="FFFF0000"/>
                </left>
                <vertical/>
                <horizontal/>
              </border>
            </x14:dxf>
          </x14:cfRule>
          <xm:sqref>S5:S8</xm:sqref>
        </x14:conditionalFormatting>
        <x14:conditionalFormatting xmlns:xm="http://schemas.microsoft.com/office/excel/2006/main">
          <x14:cfRule type="expression" priority="178" id="{3753A55A-5671-45EC-AF57-0A1A5678984B}">
            <xm:f>'Sprachen &amp; Rückgabewerte'!$L$42=0</xm:f>
            <x14:dxf>
              <border>
                <top style="thin">
                  <color rgb="FFFF0000"/>
                </top>
                <vertical/>
                <horizontal/>
              </border>
            </x14:dxf>
          </x14:cfRule>
          <xm:sqref>S5:AG5</xm:sqref>
        </x14:conditionalFormatting>
        <x14:conditionalFormatting xmlns:xm="http://schemas.microsoft.com/office/excel/2006/main">
          <x14:cfRule type="expression" priority="419" id="{8940A42F-45EA-43B0-82CA-ED71BD16EBFB}">
            <xm:f>'Sprachen &amp; Rückgabewerte'!$L$42=0</xm:f>
            <x14:dxf>
              <border>
                <right style="thin">
                  <color rgb="FFFF0000"/>
                </right>
                <vertical/>
                <horizontal/>
              </border>
            </x14:dxf>
          </x14:cfRule>
          <xm:sqref>AG5:AG8</xm:sqref>
        </x14:conditionalFormatting>
        <x14:conditionalFormatting xmlns:xm="http://schemas.microsoft.com/office/excel/2006/main">
          <x14:cfRule type="expression" priority="418" id="{4FB0F3E9-62C9-4BB6-B08D-46F107BE8828}">
            <xm:f>'Sprachen &amp; Rückgabewerte'!$L$42=0</xm:f>
            <x14:dxf>
              <border>
                <bottom style="thin">
                  <color rgb="FFFF0000"/>
                </bottom>
                <vertical/>
                <horizontal/>
              </border>
            </x14:dxf>
          </x14:cfRule>
          <xm:sqref>S8:AG8</xm:sqref>
        </x14:conditionalFormatting>
        <x14:conditionalFormatting xmlns:xm="http://schemas.microsoft.com/office/excel/2006/main">
          <x14:cfRule type="expression" priority="417" id="{413A127C-3F89-44C1-8968-E5DD32514790}">
            <xm:f>'Sprachen &amp; Rückgabewerte'!$L$43=0</xm:f>
            <x14:dxf>
              <border>
                <left style="thin">
                  <color rgb="FFFF0000"/>
                </left>
                <vertical/>
                <horizontal/>
              </border>
            </x14:dxf>
          </x14:cfRule>
          <xm:sqref>AH5:AH8</xm:sqref>
        </x14:conditionalFormatting>
        <x14:conditionalFormatting xmlns:xm="http://schemas.microsoft.com/office/excel/2006/main">
          <x14:cfRule type="expression" priority="175" id="{C69D6067-8572-40C3-9169-4644E6C0A904}">
            <xm:f>'Sprachen &amp; Rückgabewerte'!$L$43=0</xm:f>
            <x14:dxf>
              <border>
                <top style="thin">
                  <color rgb="FFFF0000"/>
                </top>
                <vertical/>
                <horizontal/>
              </border>
            </x14:dxf>
          </x14:cfRule>
          <xm:sqref>AH5:AM5</xm:sqref>
        </x14:conditionalFormatting>
        <x14:conditionalFormatting xmlns:xm="http://schemas.microsoft.com/office/excel/2006/main">
          <x14:cfRule type="expression" priority="415" id="{85DBBB4B-41E6-4CD4-B9C8-0AAF8D5402D6}">
            <xm:f>'Sprachen &amp; Rückgabewerte'!$L$43=0</xm:f>
            <x14:dxf>
              <border>
                <right style="thin">
                  <color rgb="FFFF0000"/>
                </right>
                <vertical/>
                <horizontal/>
              </border>
            </x14:dxf>
          </x14:cfRule>
          <xm:sqref>AM5:AM8</xm:sqref>
        </x14:conditionalFormatting>
        <x14:conditionalFormatting xmlns:xm="http://schemas.microsoft.com/office/excel/2006/main">
          <x14:cfRule type="expression" priority="414" id="{247D74DA-2DD5-4574-85E7-E8BA775863B2}">
            <xm:f>'Sprachen &amp; Rückgabewerte'!$L$43=0</xm:f>
            <x14:dxf>
              <border>
                <bottom style="thin">
                  <color rgb="FFFF0000"/>
                </bottom>
                <vertical/>
                <horizontal/>
              </border>
            </x14:dxf>
          </x14:cfRule>
          <xm:sqref>AH8:AM8</xm:sqref>
        </x14:conditionalFormatting>
        <x14:conditionalFormatting xmlns:xm="http://schemas.microsoft.com/office/excel/2006/main">
          <x14:cfRule type="expression" priority="413" id="{D6E0E1D0-835F-46B3-8F7C-121E814A05CA}">
            <xm:f>'Sprachen &amp; Rückgabewerte'!$L$44=0</xm:f>
            <x14:dxf>
              <border>
                <left style="thin">
                  <color rgb="FFFF0000"/>
                </left>
                <vertical/>
                <horizontal/>
              </border>
            </x14:dxf>
          </x14:cfRule>
          <xm:sqref>AN5:AN8</xm:sqref>
        </x14:conditionalFormatting>
        <x14:conditionalFormatting xmlns:xm="http://schemas.microsoft.com/office/excel/2006/main">
          <x14:cfRule type="expression" priority="412" id="{FFEE65DF-5171-448C-A731-03A155C5704E}">
            <xm:f>'Sprachen &amp; Rückgabewerte'!$L$44=0</xm:f>
            <x14:dxf>
              <border>
                <top style="thin">
                  <color rgb="FFFF0000"/>
                </top>
                <vertical/>
                <horizontal/>
              </border>
            </x14:dxf>
          </x14:cfRule>
          <xm:sqref>AN5:AT5</xm:sqref>
        </x14:conditionalFormatting>
        <x14:conditionalFormatting xmlns:xm="http://schemas.microsoft.com/office/excel/2006/main">
          <x14:cfRule type="expression" priority="411" id="{78E3A88B-5830-4DEA-9C2A-39983FB1EF92}">
            <xm:f>'Sprachen &amp; Rückgabewerte'!$L$44=0</xm:f>
            <x14:dxf>
              <border>
                <right style="thin">
                  <color rgb="FFFF0000"/>
                </right>
                <vertical/>
                <horizontal/>
              </border>
            </x14:dxf>
          </x14:cfRule>
          <xm:sqref>AT5:AT8</xm:sqref>
        </x14:conditionalFormatting>
        <x14:conditionalFormatting xmlns:xm="http://schemas.microsoft.com/office/excel/2006/main">
          <x14:cfRule type="expression" priority="410" id="{59AE603F-97ED-49BC-9ED3-453E33B6E634}">
            <xm:f>'Sprachen &amp; Rückgabewerte'!$L$44=0</xm:f>
            <x14:dxf>
              <border>
                <bottom style="thin">
                  <color rgb="FFFF0000"/>
                </bottom>
                <vertical/>
                <horizontal/>
              </border>
            </x14:dxf>
          </x14:cfRule>
          <xm:sqref>AN8:AT8</xm:sqref>
        </x14:conditionalFormatting>
        <x14:conditionalFormatting xmlns:xm="http://schemas.microsoft.com/office/excel/2006/main">
          <x14:cfRule type="expression" priority="408" id="{4040DA42-B028-45C8-8861-50810F047BF6}">
            <xm:f>'Sprachen &amp; Rückgabewerte'!$L$45=0</xm:f>
            <x14:dxf>
              <border>
                <left style="thin">
                  <color rgb="FFFF0000"/>
                </left>
                <vertical/>
                <horizontal/>
              </border>
            </x14:dxf>
          </x14:cfRule>
          <xm:sqref>C9:C30</xm:sqref>
        </x14:conditionalFormatting>
        <x14:conditionalFormatting xmlns:xm="http://schemas.microsoft.com/office/excel/2006/main">
          <x14:cfRule type="expression" priority="401" id="{C41E1FA2-06B0-46C0-81DD-C60D3F3D88D2}">
            <xm:f>'Sprachen &amp; Rückgabewerte'!$L$46=0</xm:f>
            <x14:dxf>
              <border>
                <bottom style="thin">
                  <color rgb="FFFF0000"/>
                </bottom>
                <vertical/>
                <horizontal/>
              </border>
            </x14:dxf>
          </x14:cfRule>
          <x14:cfRule type="expression" priority="407" id="{6754468F-9C24-4C3B-99A4-FFF3242DF8DB}">
            <xm:f>'Sprachen &amp; Rückgabewerte'!$L$45=0</xm:f>
            <x14:dxf>
              <border>
                <bottom style="thin">
                  <color rgb="FFFF0000"/>
                </bottom>
                <vertical/>
                <horizontal/>
              </border>
            </x14:dxf>
          </x14:cfRule>
          <xm:sqref>C30:AT30</xm:sqref>
        </x14:conditionalFormatting>
        <x14:conditionalFormatting xmlns:xm="http://schemas.microsoft.com/office/excel/2006/main">
          <x14:cfRule type="expression" priority="406" id="{C7665F82-0B15-40A5-AD21-43861A640D8B}">
            <xm:f>'Sprachen &amp; Rückgabewerte'!$L$45=0</xm:f>
            <x14:dxf>
              <border>
                <top style="thin">
                  <color rgb="FFFF0000"/>
                </top>
                <vertical/>
                <horizontal/>
              </border>
            </x14:dxf>
          </x14:cfRule>
          <xm:sqref>C9:AT9</xm:sqref>
        </x14:conditionalFormatting>
        <x14:conditionalFormatting xmlns:xm="http://schemas.microsoft.com/office/excel/2006/main">
          <x14:cfRule type="expression" priority="405" id="{63993AA7-06B5-4D57-A595-D032E2FE17E4}">
            <xm:f>'Sprachen &amp; Rückgabewerte'!$L$45=0</xm:f>
            <x14:dxf>
              <border>
                <right style="thin">
                  <color rgb="FFFF0000"/>
                </right>
                <vertical/>
                <horizontal/>
              </border>
            </x14:dxf>
          </x14:cfRule>
          <xm:sqref>AT9:AT30</xm:sqref>
        </x14:conditionalFormatting>
        <x14:conditionalFormatting xmlns:xm="http://schemas.microsoft.com/office/excel/2006/main">
          <x14:cfRule type="expression" priority="404" id="{51DAB7B2-9493-4B8E-B494-29290697C846}">
            <xm:f>'Sprachen &amp; Rückgabewerte'!$L$46=0</xm:f>
            <x14:dxf>
              <border>
                <left style="thin">
                  <color rgb="FFFF0000"/>
                </left>
                <vertical/>
                <horizontal/>
              </border>
            </x14:dxf>
          </x14:cfRule>
          <xm:sqref>C27:C30</xm:sqref>
        </x14:conditionalFormatting>
        <x14:conditionalFormatting xmlns:xm="http://schemas.microsoft.com/office/excel/2006/main">
          <x14:cfRule type="expression" priority="403" id="{36B7EA29-226E-43A9-BB26-F81F50C24B45}">
            <xm:f>'Sprachen &amp; Rückgabewerte'!$L$46=0</xm:f>
            <x14:dxf>
              <border>
                <top style="thin">
                  <color rgb="FFFF0000"/>
                </top>
                <vertical/>
                <horizontal/>
              </border>
            </x14:dxf>
          </x14:cfRule>
          <xm:sqref>C27:AT27</xm:sqref>
        </x14:conditionalFormatting>
        <x14:conditionalFormatting xmlns:xm="http://schemas.microsoft.com/office/excel/2006/main">
          <x14:cfRule type="expression" priority="402" id="{98F98220-761E-4662-ABA2-BEBCF326A417}">
            <xm:f>'Sprachen &amp; Rückgabewerte'!$L$46=0</xm:f>
            <x14:dxf>
              <border>
                <right style="thin">
                  <color rgb="FFFF0000"/>
                </right>
                <vertical/>
                <horizontal/>
              </border>
            </x14:dxf>
          </x14:cfRule>
          <xm:sqref>AT27:AT30</xm:sqref>
        </x14:conditionalFormatting>
        <x14:conditionalFormatting xmlns:xm="http://schemas.microsoft.com/office/excel/2006/main">
          <x14:cfRule type="expression" priority="400" id="{CF6ED8AE-189D-4F4C-9F3B-991D1A47B084}">
            <xm:f>'Sprachen &amp; Rückgabewerte'!$L$47=0</xm:f>
            <x14:dxf>
              <border>
                <left style="thin">
                  <color rgb="FFFF0000"/>
                </left>
                <vertical/>
                <horizontal/>
              </border>
            </x14:dxf>
          </x14:cfRule>
          <xm:sqref>C32:C35</xm:sqref>
        </x14:conditionalFormatting>
        <x14:conditionalFormatting xmlns:xm="http://schemas.microsoft.com/office/excel/2006/main">
          <x14:cfRule type="expression" priority="399" id="{6BFA68C8-42C1-4B47-9358-FB0CD57E7663}">
            <xm:f>'Sprachen &amp; Rückgabewerte'!$L$47=0</xm:f>
            <x14:dxf>
              <border>
                <top style="thin">
                  <color rgb="FFFF0000"/>
                </top>
                <vertical/>
                <horizontal/>
              </border>
            </x14:dxf>
          </x14:cfRule>
          <xm:sqref>C32:AB32</xm:sqref>
        </x14:conditionalFormatting>
        <x14:conditionalFormatting xmlns:xm="http://schemas.microsoft.com/office/excel/2006/main">
          <x14:cfRule type="expression" priority="398" id="{2343BF5F-418E-4E7F-88AA-1AD75D02B5BF}">
            <xm:f>'Sprachen &amp; Rückgabewerte'!$L$47=0</xm:f>
            <x14:dxf>
              <border>
                <right style="thin">
                  <color rgb="FFFF0000"/>
                </right>
                <vertical/>
                <horizontal/>
              </border>
            </x14:dxf>
          </x14:cfRule>
          <xm:sqref>AB32:AB35</xm:sqref>
        </x14:conditionalFormatting>
        <x14:conditionalFormatting xmlns:xm="http://schemas.microsoft.com/office/excel/2006/main">
          <x14:cfRule type="expression" priority="397" id="{06E6AEE8-181B-4EF5-AC65-8D2DC81A8CE1}">
            <xm:f>'Sprachen &amp; Rückgabewerte'!$L$47=0</xm:f>
            <x14:dxf>
              <border>
                <bottom style="thin">
                  <color rgb="FFFF0000"/>
                </bottom>
                <vertical/>
                <horizontal/>
              </border>
            </x14:dxf>
          </x14:cfRule>
          <xm:sqref>C35:AB35</xm:sqref>
        </x14:conditionalFormatting>
        <x14:conditionalFormatting xmlns:xm="http://schemas.microsoft.com/office/excel/2006/main">
          <x14:cfRule type="expression" priority="396" id="{629DB50E-DAE0-4DF7-B654-DE827E6CBF66}">
            <xm:f>'Sprachen &amp; Rückgabewerte'!$M$49=0</xm:f>
            <x14:dxf>
              <border>
                <left style="thin">
                  <color rgb="FFFF0000"/>
                </left>
                <vertical/>
                <horizontal/>
              </border>
            </x14:dxf>
          </x14:cfRule>
          <xm:sqref>C36:C60</xm:sqref>
        </x14:conditionalFormatting>
        <x14:conditionalFormatting xmlns:xm="http://schemas.microsoft.com/office/excel/2006/main">
          <x14:cfRule type="expression" priority="395" id="{27C29809-1434-4E5B-AEBB-9ED431AAA5B6}">
            <xm:f>'Sprachen &amp; Rückgabewerte'!$M$49=0</xm:f>
            <x14:dxf>
              <border>
                <top style="thin">
                  <color rgb="FFFF0000"/>
                </top>
                <vertical/>
                <horizontal/>
              </border>
            </x14:dxf>
          </x14:cfRule>
          <xm:sqref>C36:O36</xm:sqref>
        </x14:conditionalFormatting>
        <x14:conditionalFormatting xmlns:xm="http://schemas.microsoft.com/office/excel/2006/main">
          <x14:cfRule type="expression" priority="394" id="{FC29D0AD-337D-4AAA-8F76-766FEE194275}">
            <xm:f>'Sprachen &amp; Rückgabewerte'!$M$49=0</xm:f>
            <x14:dxf>
              <border>
                <right style="thin">
                  <color rgb="FFFF0000"/>
                </right>
                <vertical/>
                <horizontal/>
              </border>
            </x14:dxf>
          </x14:cfRule>
          <xm:sqref>O36:O60</xm:sqref>
        </x14:conditionalFormatting>
        <x14:conditionalFormatting xmlns:xm="http://schemas.microsoft.com/office/excel/2006/main">
          <x14:cfRule type="expression" priority="393" id="{CEBDF11D-21DC-4208-AF8A-C18428509F6D}">
            <xm:f>'Sprachen &amp; Rückgabewerte'!$M$49=0</xm:f>
            <x14:dxf>
              <border>
                <bottom style="thin">
                  <color rgb="FFFF0000"/>
                </bottom>
                <vertical/>
                <horizontal/>
              </border>
            </x14:dxf>
          </x14:cfRule>
          <xm:sqref>C60:O60</xm:sqref>
        </x14:conditionalFormatting>
        <x14:conditionalFormatting xmlns:xm="http://schemas.microsoft.com/office/excel/2006/main">
          <x14:cfRule type="expression" priority="391" id="{13469A50-4B38-4AA5-9D49-9E8D8363B7D8}">
            <xm:f>'Sprachen &amp; Rückgabewerte'!$L$50=0</xm:f>
            <x14:dxf>
              <border>
                <top style="thin">
                  <color rgb="FFFF0000"/>
                </top>
                <vertical/>
                <horizontal/>
              </border>
            </x14:dxf>
          </x14:cfRule>
          <xm:sqref>P36:AB36</xm:sqref>
        </x14:conditionalFormatting>
        <x14:conditionalFormatting xmlns:xm="http://schemas.microsoft.com/office/excel/2006/main">
          <x14:cfRule type="expression" priority="390" id="{7DDA2CEC-51AC-4526-A239-1469FE0FB14F}">
            <xm:f>'Sprachen &amp; Rückgabewerte'!$L$50=0</xm:f>
            <x14:dxf>
              <border>
                <right style="thin">
                  <color rgb="FFFF0000"/>
                </right>
              </border>
            </x14:dxf>
          </x14:cfRule>
          <xm:sqref>AB36:AB58</xm:sqref>
        </x14:conditionalFormatting>
        <x14:conditionalFormatting xmlns:xm="http://schemas.microsoft.com/office/excel/2006/main">
          <x14:cfRule type="expression" priority="389" id="{EAAF8F36-9795-443E-82FA-9F9264351F6C}">
            <xm:f>'Sprachen &amp; Rückgabewerte'!$L$50=0</xm:f>
            <x14:dxf>
              <border>
                <bottom style="thin">
                  <color rgb="FFFF0000"/>
                </bottom>
                <vertical/>
                <horizontal/>
              </border>
            </x14:dxf>
          </x14:cfRule>
          <xm:sqref>P60</xm:sqref>
        </x14:conditionalFormatting>
        <x14:conditionalFormatting xmlns:xm="http://schemas.microsoft.com/office/excel/2006/main">
          <x14:cfRule type="expression" priority="388" id="{008997B1-ABFE-4600-90C7-E69B61B1F7F7}">
            <xm:f>'Sprachen &amp; Rückgabewerte'!$L$50=0</xm:f>
            <x14:dxf>
              <border>
                <left style="thin">
                  <color rgb="FFFF0000"/>
                </left>
                <vertical/>
                <horizontal/>
              </border>
            </x14:dxf>
          </x14:cfRule>
          <xm:sqref>P36:P43</xm:sqref>
        </x14:conditionalFormatting>
        <x14:conditionalFormatting xmlns:xm="http://schemas.microsoft.com/office/excel/2006/main">
          <x14:cfRule type="expression" priority="387" id="{C5C7B3EA-B77C-4EC0-BDFA-0D703D681A42}">
            <xm:f>'Sprachen &amp; Rückgabewerte'!$L$50=0</xm:f>
            <x14:dxf>
              <border>
                <left style="thin">
                  <color rgb="FFFF0000"/>
                </left>
                <vertical/>
                <horizontal/>
              </border>
            </x14:dxf>
          </x14:cfRule>
          <xm:sqref>P44:S45</xm:sqref>
        </x14:conditionalFormatting>
        <x14:conditionalFormatting xmlns:xm="http://schemas.microsoft.com/office/excel/2006/main">
          <x14:cfRule type="expression" priority="386" id="{0E9C109C-7A5D-4D2C-80CF-271B07ADFE16}">
            <xm:f>'Sprachen &amp; Rückgabewerte'!$L$50=0</xm:f>
            <x14:dxf>
              <border>
                <left style="thin">
                  <color rgb="FFFF0000"/>
                </left>
                <vertical/>
                <horizontal/>
              </border>
            </x14:dxf>
          </x14:cfRule>
          <xm:sqref>P46:P60</xm:sqref>
        </x14:conditionalFormatting>
        <x14:conditionalFormatting xmlns:xm="http://schemas.microsoft.com/office/excel/2006/main">
          <x14:cfRule type="expression" priority="384" id="{574CD065-223D-487F-A65C-A53ECF149BD1}">
            <xm:f>'Sprachen &amp; Rückgabewerte'!$L$51=0</xm:f>
            <x14:dxf>
              <border>
                <top style="thin">
                  <color rgb="FFFF0000"/>
                </top>
                <vertical/>
                <horizontal/>
              </border>
            </x14:dxf>
          </x14:cfRule>
          <xm:sqref>AE32:AT32</xm:sqref>
        </x14:conditionalFormatting>
        <x14:conditionalFormatting xmlns:xm="http://schemas.microsoft.com/office/excel/2006/main">
          <x14:cfRule type="expression" priority="153" id="{BC8335D2-DB29-48F5-B407-45EABD45FFA5}">
            <xm:f>AND($AY$43&lt;&gt;0,'Sprachen &amp; Rückgabewerte'!$I$19=TRUE)</xm:f>
            <x14:dxf>
              <border>
                <right style="thin">
                  <color rgb="FFFF0000"/>
                </right>
                <vertical/>
                <horizontal/>
              </border>
            </x14:dxf>
          </x14:cfRule>
          <x14:cfRule type="expression" priority="383" id="{E4A93283-9676-43DE-8437-198335DCA7DC}">
            <xm:f>'Sprachen &amp; Rückgabewerte'!$L$51=0</xm:f>
            <x14:dxf>
              <border>
                <right style="thin">
                  <color rgb="FFFF0000"/>
                </right>
                <vertical/>
                <horizontal/>
              </border>
            </x14:dxf>
          </x14:cfRule>
          <xm:sqref>AT32:AT40</xm:sqref>
        </x14:conditionalFormatting>
        <x14:conditionalFormatting xmlns:xm="http://schemas.microsoft.com/office/excel/2006/main">
          <x14:cfRule type="expression" priority="382" id="{112D9614-B2A7-42D3-A82C-2B48ED2625BF}">
            <xm:f>'Sprachen &amp; Rückgabewerte'!$L$51=0</xm:f>
            <x14:dxf>
              <border>
                <bottom style="thin">
                  <color rgb="FFFF0000"/>
                </bottom>
                <vertical/>
                <horizontal/>
              </border>
            </x14:dxf>
          </x14:cfRule>
          <xm:sqref>AE40:AT40</xm:sqref>
        </x14:conditionalFormatting>
        <x14:conditionalFormatting xmlns:xm="http://schemas.microsoft.com/office/excel/2006/main">
          <x14:cfRule type="expression" priority="380" id="{2C6903C0-D6B7-4EA9-A164-5C352A8BC1C1}">
            <xm:f>'Sprachen &amp; Rückgabewerte'!$L$52=0</xm:f>
            <x14:dxf>
              <border>
                <top style="thin">
                  <color rgb="FFFF0000"/>
                </top>
                <vertical/>
                <horizontal/>
              </border>
            </x14:dxf>
          </x14:cfRule>
          <xm:sqref>AE42:AT42</xm:sqref>
        </x14:conditionalFormatting>
        <x14:conditionalFormatting xmlns:xm="http://schemas.microsoft.com/office/excel/2006/main">
          <x14:cfRule type="expression" priority="379" id="{A43C25EF-7FC2-453E-A863-A36897753761}">
            <xm:f>'Sprachen &amp; Rückgabewerte'!$L$52=0</xm:f>
            <x14:dxf>
              <border>
                <right style="thin">
                  <color rgb="FFFF0000"/>
                </right>
                <vertical/>
                <horizontal/>
              </border>
            </x14:dxf>
          </x14:cfRule>
          <xm:sqref>AT42:AT50</xm:sqref>
        </x14:conditionalFormatting>
        <x14:conditionalFormatting xmlns:xm="http://schemas.microsoft.com/office/excel/2006/main">
          <x14:cfRule type="expression" priority="378" id="{63906533-387F-422B-9B27-8C1B8CFC4333}">
            <xm:f>'Sprachen &amp; Rückgabewerte'!$L$52=0</xm:f>
            <x14:dxf>
              <border>
                <bottom style="thin">
                  <color rgb="FFFF0000"/>
                </bottom>
                <vertical/>
                <horizontal/>
              </border>
            </x14:dxf>
          </x14:cfRule>
          <xm:sqref>AM50:AT50</xm:sqref>
        </x14:conditionalFormatting>
        <x14:conditionalFormatting xmlns:xm="http://schemas.microsoft.com/office/excel/2006/main">
          <x14:cfRule type="expression" priority="239" id="{F7A30F78-A069-491E-AC7E-95491E41BAE3}">
            <xm:f>OR('Sprachen &amp; Rückgabewerte'!$I$36=TRUE,'Sprachen &amp; Rückgabewerte'!$I$39=TRUE)</xm:f>
            <x14:dxf>
              <font>
                <color theme="1"/>
              </font>
            </x14:dxf>
          </x14:cfRule>
          <x14:cfRule type="expression" priority="377" id="{F61DC8D9-BA7C-40F2-9D0B-A3BE61349B0B}">
            <xm:f>'Sprachen &amp; Rückgabewerte'!$L$52=0</xm:f>
            <x14:dxf>
              <border>
                <bottom style="thin">
                  <color rgb="FFFF0000"/>
                </bottom>
                <vertical/>
                <horizontal/>
              </border>
            </x14:dxf>
          </x14:cfRule>
          <xm:sqref>AF48:AL50</xm:sqref>
        </x14:conditionalFormatting>
        <x14:conditionalFormatting xmlns:xm="http://schemas.microsoft.com/office/excel/2006/main">
          <x14:cfRule type="expression" priority="376" id="{E79160EE-A0C6-49E9-952D-2AEBB2CDC61E}">
            <xm:f>'Sprachen &amp; Rückgabewerte'!$L$52=0</xm:f>
            <x14:dxf>
              <border>
                <bottom style="thin">
                  <color rgb="FFFF0000"/>
                </bottom>
                <vertical/>
                <horizontal/>
              </border>
            </x14:dxf>
          </x14:cfRule>
          <xm:sqref>AE50</xm:sqref>
        </x14:conditionalFormatting>
        <x14:conditionalFormatting xmlns:xm="http://schemas.microsoft.com/office/excel/2006/main">
          <x14:cfRule type="expression" priority="374" id="{A77CF461-5036-4B96-9AFE-5404670C1E8C}">
            <xm:f>'Sprachen &amp; Rückgabewerte'!$L$53=0</xm:f>
            <x14:dxf>
              <border>
                <top style="thin">
                  <color rgb="FFFF0000"/>
                </top>
                <vertical/>
                <horizontal/>
              </border>
            </x14:dxf>
          </x14:cfRule>
          <xm:sqref>AE52:AT52</xm:sqref>
        </x14:conditionalFormatting>
        <x14:conditionalFormatting xmlns:xm="http://schemas.microsoft.com/office/excel/2006/main">
          <x14:cfRule type="expression" priority="373" id="{BE57AD4E-14DB-4A35-A10B-3CEB76DBFF5E}">
            <xm:f>'Sprachen &amp; Rückgabewerte'!$L$53=0</xm:f>
            <x14:dxf>
              <border>
                <right style="thin">
                  <color rgb="FFFF0000"/>
                </right>
                <vertical/>
                <horizontal/>
              </border>
            </x14:dxf>
          </x14:cfRule>
          <xm:sqref>AT52:AT58</xm:sqref>
        </x14:conditionalFormatting>
        <x14:conditionalFormatting xmlns:xm="http://schemas.microsoft.com/office/excel/2006/main">
          <x14:cfRule type="expression" priority="372" id="{F6487480-8F9D-490B-99FA-5020089E814F}">
            <xm:f>'Sprachen &amp; Rückgabewerte'!$L$53=0</xm:f>
            <x14:dxf>
              <border>
                <bottom style="thin">
                  <color rgb="FFFF0000"/>
                </bottom>
                <vertical/>
                <horizontal/>
              </border>
            </x14:dxf>
          </x14:cfRule>
          <xm:sqref>AE58:AT58</xm:sqref>
        </x14:conditionalFormatting>
        <x14:conditionalFormatting xmlns:xm="http://schemas.microsoft.com/office/excel/2006/main">
          <x14:cfRule type="expression" priority="370" id="{9CE44EB0-89A8-4FC5-8847-ABDD43DFF319}">
            <xm:f>'Sprachen &amp; Rückgabewerte'!$L$54=0</xm:f>
            <x14:dxf>
              <border>
                <top style="thin">
                  <color rgb="FFFF0000"/>
                </top>
                <vertical/>
                <horizontal/>
              </border>
            </x14:dxf>
          </x14:cfRule>
          <xm:sqref>AE60:AT60</xm:sqref>
        </x14:conditionalFormatting>
        <x14:conditionalFormatting xmlns:xm="http://schemas.microsoft.com/office/excel/2006/main">
          <x14:cfRule type="expression" priority="369" id="{22C39B3E-EA88-4C2E-AE69-0BE93003D7DC}">
            <xm:f>'Sprachen &amp; Rückgabewerte'!$L$54=0</xm:f>
            <x14:dxf>
              <border>
                <right style="thin">
                  <color rgb="FFFF0000"/>
                </right>
                <vertical/>
                <horizontal/>
              </border>
            </x14:dxf>
          </x14:cfRule>
          <xm:sqref>AT60:AT71</xm:sqref>
        </x14:conditionalFormatting>
        <x14:conditionalFormatting xmlns:xm="http://schemas.microsoft.com/office/excel/2006/main">
          <x14:cfRule type="expression" priority="368" id="{693D484C-3D2D-4617-97D0-608C6D2A6AC0}">
            <xm:f>'Sprachen &amp; Rückgabewerte'!$L$54=0</xm:f>
            <x14:dxf>
              <border>
                <bottom style="thin">
                  <color rgb="FFFF0000"/>
                </bottom>
                <vertical/>
                <horizontal/>
              </border>
            </x14:dxf>
          </x14:cfRule>
          <xm:sqref>AE71:AT71</xm:sqref>
        </x14:conditionalFormatting>
        <x14:conditionalFormatting xmlns:xm="http://schemas.microsoft.com/office/excel/2006/main">
          <x14:cfRule type="expression" priority="366" id="{1E67870B-D4E4-45E5-BC95-582B0A966624}">
            <xm:f>'Sprachen &amp; Rückgabewerte'!$L$55=0</xm:f>
            <x14:dxf>
              <border>
                <top style="thin">
                  <color rgb="FFFF0000"/>
                </top>
                <vertical/>
                <horizontal/>
              </border>
            </x14:dxf>
          </x14:cfRule>
          <xm:sqref>AE83:AT83</xm:sqref>
        </x14:conditionalFormatting>
        <x14:conditionalFormatting xmlns:xm="http://schemas.microsoft.com/office/excel/2006/main">
          <x14:cfRule type="expression" priority="365" id="{4D5F6C1E-447E-4EFC-9F74-52EEA92C31E2}">
            <xm:f>'Sprachen &amp; Rückgabewerte'!$L$55=0</xm:f>
            <x14:dxf>
              <border>
                <right style="thin">
                  <color rgb="FFFF0000"/>
                </right>
                <vertical/>
                <horizontal/>
              </border>
            </x14:dxf>
          </x14:cfRule>
          <xm:sqref>AT83:AT93</xm:sqref>
        </x14:conditionalFormatting>
        <x14:conditionalFormatting xmlns:xm="http://schemas.microsoft.com/office/excel/2006/main">
          <x14:cfRule type="expression" priority="364" id="{E71E51A0-8B55-4A67-A705-C8849C80BE5E}">
            <xm:f>'Sprachen &amp; Rückgabewerte'!$L$55=0</xm:f>
            <x14:dxf>
              <border>
                <bottom style="thin">
                  <color rgb="FFFF0000"/>
                </bottom>
                <vertical/>
                <horizontal/>
              </border>
            </x14:dxf>
          </x14:cfRule>
          <xm:sqref>AE93:AT93</xm:sqref>
        </x14:conditionalFormatting>
        <x14:conditionalFormatting xmlns:xm="http://schemas.microsoft.com/office/excel/2006/main">
          <x14:cfRule type="expression" priority="357" id="{528AF54C-7CEC-4A63-BFF3-57E05229FCB0}">
            <xm:f>'Sprachen &amp; Rückgabewerte'!$M$59=0</xm:f>
            <x14:dxf>
              <border>
                <right style="thin">
                  <color rgb="FFFF0000"/>
                </right>
                <vertical/>
                <horizontal/>
              </border>
            </x14:dxf>
          </x14:cfRule>
          <xm:sqref>AB86</xm:sqref>
        </x14:conditionalFormatting>
        <x14:conditionalFormatting xmlns:xm="http://schemas.microsoft.com/office/excel/2006/main">
          <x14:cfRule type="expression" priority="356" id="{629CFD6F-98B4-44BC-A08A-43A2B44792A4}">
            <xm:f>'Sprachen &amp; Rückgabewerte'!$M$59=0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349" id="{23FE246D-832F-41D0-8C1B-2211340E26EC}">
            <xm:f>K$20='Sprachen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50" id="{FF76540C-4EB4-4834-BFED-4C5CEC16E07E}">
            <xm:f>K$20='Sprachen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347" id="{A84EA898-6EAB-4705-937C-2E4F012B2F31}">
            <xm:f>O$20='Sprachen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48" id="{BA859C25-747D-4A64-9F49-8CF41C812E08}">
            <xm:f>O$20='Sprachen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345" id="{9F7CE6F7-7110-4EEA-8817-8900144E9D41}">
            <xm:f>S$20='Sprachen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46" id="{490D8764-B7A0-4A0F-A68B-2B5688425CD0}">
            <xm:f>S$20='Sprachen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343" id="{A47C058C-CA8A-4172-87AD-1E8143843BD2}">
            <xm:f>W$20='Sprachen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44" id="{05C8FD02-8D5B-4FD4-A5A1-B76BF14A7FC6}">
            <xm:f>W$20='Sprachen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341" id="{590F1F50-DB34-4297-B655-44126255972E}">
            <xm:f>AA$20='Sprachen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42" id="{2B9C97FF-AC54-4CB3-AA5C-D619B59399EE}">
            <xm:f>AA$20='Sprachen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339" id="{0C53908B-E6A0-4612-8E88-00BAEF482A04}">
            <xm:f>AE$20='Sprachen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40" id="{592F0AF0-867A-4DE5-A75D-8BC1746B7873}">
            <xm:f>AE$20='Sprachen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337" id="{35D0F7EC-AE3D-408F-8EFF-BAE1B088B28D}">
            <xm:f>AI$20='Sprachen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38" id="{23078352-6B08-4E0B-9D0B-62ED05C2FD95}">
            <xm:f>AI$20='Sprachen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335" id="{098DF62C-6820-495A-A52F-020EFE9DBB7F}">
            <xm:f>AM$20='Sprachen &amp; Rückgabewerte'!$H$107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336" id="{576660C4-171E-4622-A117-6107C393FC2E}">
            <xm:f>AM$20='Sprachen &amp; Rückgabewerte'!$H$106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288" id="{D82EFCAB-7574-49D8-89FB-0833935795FE}">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286" id="{88698145-2C6A-4DFB-B60A-7E969C4AFA01}">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285" id="{DE2DA488-A332-45B4-AA4A-E3E6B1B59654}">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284" id="{BFE291E2-6676-4D8F-9353-F17CA8DF4209}">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283" id="{573A243E-6B71-4C36-B704-F7D3F11821A6}">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282" id="{7D9A6347-B5B7-419C-AE53-3BDAE1C2DFB8}">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281" id="{D8369599-1775-4BF6-9818-E0A82D811ABD}">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280" id="{91D833F2-423A-4E80-866B-7388B3B7D644}">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279" id="{36388280-F24C-4707-93E7-CB09A6FC99F3}">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278" id="{BD14EB3C-5E98-4173-9113-C3EA144A10CE}">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277" id="{3FF71CF9-C149-42D3-A598-3B00EE9584E7}">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276" id="{16E5547E-1F90-4007-8295-DDD8020595C1}">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275" id="{17933CFB-9FCF-4E91-AEB5-6F3F46031898}">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274" id="{C0FDD986-F447-432C-957E-7D8B034B97FE}">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273" id="{116A4977-89DD-4D56-9F22-8B88C98809DB}">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272" id="{A2AD3038-7D46-4A8B-A542-60F19B0388D1}">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271" id="{9349992A-F404-4E98-9381-AB709EFD4D65}">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185" id="{4C1E806B-96D5-4403-98B4-A0D5A6645103}">
            <xm:f>AND($AL$39="",'Sprachen &amp; Rückgabewerte'!$I$22=TRUE)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42" id="{DE3B6DB4-86B6-459E-9DFD-CE7352108555}">
            <xm:f>'Sprachen &amp; Rückgabewerte'!$I$22=FALSE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201" id="{706223C7-BB6F-4132-825B-C71D52EB1C67}">
            <xm:f>'Sprachen &amp; Rückgabewerte'!$I$36=FALSE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5" id="{1662B34E-7F61-4F70-B3F9-BE130AD73CB5}">
            <xm:f>'Sprachen &amp; Rückgabewerte'!$I$39=FALSE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200" id="{371D2140-9E49-4DC7-94D3-6B23EE88F1D5}">
            <xm:f>AND('Sprachen &amp; Rückgabewerte'!$I$36=FALSE,'Sprachen &amp; Rückgabewerte'!$I$39=FALSE)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79" id="{7273CF32-6345-44F7-A7BC-1000A033B167}">
            <xm:f>'Sprachen &amp; Rückgabewerte'!$I$45=FALSE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235" id="{3D8EC986-9DBA-463B-A7CA-13E9DC3ABF56}">
            <xm:f>'Sprachen &amp; Rückgabewerte'!$L$67=TRUE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234" id="{D95FE6FD-7696-4C72-89CE-0423BBDEFA87}">
            <xm:f>'Sprachen &amp; Rückgabewerte'!$L$68=TRUE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151" id="{B16D7E35-8C2F-4672-8F9C-D94A55FEE831}">
            <xm:f>AND($AY$43&lt;&gt;0,'Sprachen &amp; Rückgabewerte'!$I$19=TRUE)</xm:f>
            <x14:dxf>
              <border>
                <left style="thin">
                  <color rgb="FFFF0000"/>
                </left>
                <bottom/>
                <vertical/>
                <horizontal/>
              </border>
            </x14:dxf>
          </x14:cfRule>
          <x14:cfRule type="expression" priority="232" id="{9D87161D-FFD6-477A-A507-6447D5401286}">
            <xm:f>'Sprachen &amp; Rückgabewerte'!$L$51=0</xm:f>
            <x14:dxf>
              <border>
                <left style="thin">
                  <color rgb="FFFF0000"/>
                </left>
                <vertical/>
                <horizontal/>
              </border>
            </x14:dxf>
          </x14:cfRule>
          <xm:sqref>AD32:AD40</xm:sqref>
        </x14:conditionalFormatting>
        <x14:conditionalFormatting xmlns:xm="http://schemas.microsoft.com/office/excel/2006/main">
          <x14:cfRule type="expression" priority="150" id="{9309BF26-E37B-43BD-98DD-33DC17F6E944}">
            <xm:f>AND($AY$43&lt;&gt;0,'Sprachen &amp; Rückgabewerte'!$I$19=TRUE)</xm:f>
            <x14:dxf>
              <border>
                <bottom style="thin">
                  <color rgb="FFFF0000"/>
                </bottom>
                <vertical/>
                <horizontal/>
              </border>
            </x14:dxf>
          </x14:cfRule>
          <x14:cfRule type="expression" priority="231" id="{EA8EAD5B-357A-4CCF-8978-8DE10903BF03}">
            <xm:f>'Sprachen &amp; Rückgabewerte'!$L$51=0</xm:f>
            <x14:dxf>
              <border>
                <bottom style="thin">
                  <color rgb="FFFF0000"/>
                </bottom>
                <vertical/>
                <horizontal/>
              </border>
            </x14:dxf>
          </x14:cfRule>
          <xm:sqref>AD40</xm:sqref>
        </x14:conditionalFormatting>
        <x14:conditionalFormatting xmlns:xm="http://schemas.microsoft.com/office/excel/2006/main">
          <x14:cfRule type="expression" priority="230" id="{AA43589D-9B2E-4B0A-A913-74706EDF2C6E}">
            <xm:f>'Sprachen &amp; Rückgabewerte'!$L$51=0</xm:f>
            <x14:dxf>
              <border>
                <top style="thin">
                  <color rgb="FFFF0000"/>
                </top>
                <vertical/>
                <horizontal/>
              </border>
            </x14:dxf>
          </x14:cfRule>
          <xm:sqref>AD32</xm:sqref>
        </x14:conditionalFormatting>
        <x14:conditionalFormatting xmlns:xm="http://schemas.microsoft.com/office/excel/2006/main">
          <x14:cfRule type="expression" priority="229" id="{19460B4C-2B32-4ABF-8640-C84337E0BA38}">
            <xm:f>'Sprachen &amp; Rückgabewerte'!$L$52=0</xm:f>
            <x14:dxf>
              <border>
                <left style="thin">
                  <color rgb="FFFF0000"/>
                </left>
                <vertical/>
                <horizontal/>
              </border>
            </x14:dxf>
          </x14:cfRule>
          <xm:sqref>AD42:AD50</xm:sqref>
        </x14:conditionalFormatting>
        <x14:conditionalFormatting xmlns:xm="http://schemas.microsoft.com/office/excel/2006/main">
          <x14:cfRule type="expression" priority="228" id="{D6D6E375-8C49-46D7-B0C0-362A4705F56B}">
            <xm:f>'Sprachen &amp; Rückgabewerte'!$L$52=0</xm:f>
            <x14:dxf>
              <border>
                <top style="thin">
                  <color rgb="FFFF0000"/>
                </top>
                <vertical/>
                <horizontal/>
              </border>
            </x14:dxf>
          </x14:cfRule>
          <xm:sqref>AD42</xm:sqref>
        </x14:conditionalFormatting>
        <x14:conditionalFormatting xmlns:xm="http://schemas.microsoft.com/office/excel/2006/main">
          <x14:cfRule type="expression" priority="227" id="{BDF5F173-A15D-4198-BF54-47694A2454D2}">
            <xm:f>'Sprachen &amp; Rückgabewerte'!$L$52=0</xm:f>
            <x14:dxf>
              <border>
                <bottom style="thin">
                  <color rgb="FFFF0000"/>
                </bottom>
                <vertical/>
                <horizontal/>
              </border>
            </x14:dxf>
          </x14:cfRule>
          <xm:sqref>AD50</xm:sqref>
        </x14:conditionalFormatting>
        <x14:conditionalFormatting xmlns:xm="http://schemas.microsoft.com/office/excel/2006/main">
          <x14:cfRule type="expression" priority="226" id="{FA76F8C3-CF64-4DB6-9689-4765074DE0D0}">
            <xm:f>'Sprachen &amp; Rückgabewerte'!$L$53=0</xm:f>
            <x14:dxf>
              <border>
                <left style="thin">
                  <color rgb="FFFF0000"/>
                </left>
                <vertical/>
                <horizontal/>
              </border>
            </x14:dxf>
          </x14:cfRule>
          <xm:sqref>AD52:AD58</xm:sqref>
        </x14:conditionalFormatting>
        <x14:conditionalFormatting xmlns:xm="http://schemas.microsoft.com/office/excel/2006/main">
          <x14:cfRule type="expression" priority="225" id="{B9B57EF6-BE68-4F01-AE90-F47AD29CCFCA}">
            <xm:f>'Sprachen &amp; Rückgabewerte'!$L$53=0</xm:f>
            <x14:dxf>
              <border>
                <top style="thin">
                  <color rgb="FFFF0000"/>
                </top>
                <vertical/>
                <horizontal/>
              </border>
            </x14:dxf>
          </x14:cfRule>
          <xm:sqref>AD52</xm:sqref>
        </x14:conditionalFormatting>
        <x14:conditionalFormatting xmlns:xm="http://schemas.microsoft.com/office/excel/2006/main">
          <x14:cfRule type="expression" priority="224" id="{4ED43696-078F-4FFB-AF3C-E1E3F08AD99D}">
            <xm:f>'Sprachen &amp; Rückgabewerte'!$L$53=0</xm:f>
            <x14:dxf>
              <border>
                <bottom style="thin">
                  <color rgb="FFFF0000"/>
                </bottom>
                <vertical/>
                <horizontal/>
              </border>
            </x14:dxf>
          </x14:cfRule>
          <xm:sqref>AD58</xm:sqref>
        </x14:conditionalFormatting>
        <x14:conditionalFormatting xmlns:xm="http://schemas.microsoft.com/office/excel/2006/main">
          <x14:cfRule type="expression" priority="223" id="{A28A9151-4F56-4AEA-B32A-5ED255BCA9EC}">
            <xm:f>'Sprachen &amp; Rückgabewerte'!$L$54=0</xm:f>
            <x14:dxf>
              <border>
                <left style="thin">
                  <color rgb="FFFF0000"/>
                </left>
                <vertical/>
                <horizontal/>
              </border>
            </x14:dxf>
          </x14:cfRule>
          <xm:sqref>AD60:AD71</xm:sqref>
        </x14:conditionalFormatting>
        <x14:conditionalFormatting xmlns:xm="http://schemas.microsoft.com/office/excel/2006/main">
          <x14:cfRule type="expression" priority="222" id="{FA1D7E99-85A4-4AD6-BE5C-644BAFD9B6C7}">
            <xm:f>'Sprachen &amp; Rückgabewerte'!$L$54=0</xm:f>
            <x14:dxf>
              <border>
                <top style="thin">
                  <color rgb="FFFF0000"/>
                </top>
                <vertical/>
                <horizontal/>
              </border>
            </x14:dxf>
          </x14:cfRule>
          <xm:sqref>AD60</xm:sqref>
        </x14:conditionalFormatting>
        <x14:conditionalFormatting xmlns:xm="http://schemas.microsoft.com/office/excel/2006/main">
          <x14:cfRule type="expression" priority="221" id="{C6BC96F2-7F26-42CA-B74C-3D7FB5937184}">
            <xm:f>'Sprachen &amp; Rückgabewerte'!$L$54=0</xm:f>
            <x14:dxf>
              <border>
                <bottom style="thin">
                  <color rgb="FFFF0000"/>
                </bottom>
                <vertical/>
                <horizontal/>
              </border>
            </x14:dxf>
          </x14:cfRule>
          <xm:sqref>AD71</xm:sqref>
        </x14:conditionalFormatting>
        <x14:conditionalFormatting xmlns:xm="http://schemas.microsoft.com/office/excel/2006/main">
          <x14:cfRule type="expression" priority="196" id="{1C0B2AE4-E238-44FA-BB21-994BF99FBD39}">
            <xm:f>'Sprachen &amp; Rückgabewerte'!$C$64=0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219" id="{BBC36F70-56B4-42BF-B5B0-D40DE2D86518}">
            <xm:f>'Sprachen &amp; Rückgabewerte'!$L$55=0</xm:f>
            <x14:dxf>
              <border>
                <left style="thin">
                  <color rgb="FFFF0000"/>
                </left>
                <vertical/>
                <horizontal/>
              </border>
            </x14:dxf>
          </x14:cfRule>
          <xm:sqref>AD83:AD93</xm:sqref>
        </x14:conditionalFormatting>
        <x14:conditionalFormatting xmlns:xm="http://schemas.microsoft.com/office/excel/2006/main">
          <x14:cfRule type="expression" priority="218" id="{040CC6F3-ACAE-4F68-AF22-AE1404C1BB98}">
            <xm:f>'Sprachen &amp; Rückgabewerte'!$L$55=0</xm:f>
            <x14:dxf>
              <border>
                <top style="thin">
                  <color rgb="FFFF0000"/>
                </top>
                <vertical/>
                <horizontal/>
              </border>
            </x14:dxf>
          </x14:cfRule>
          <xm:sqref>AD83</xm:sqref>
        </x14:conditionalFormatting>
        <x14:conditionalFormatting xmlns:xm="http://schemas.microsoft.com/office/excel/2006/main">
          <x14:cfRule type="expression" priority="217" id="{2724888A-CAA9-4758-9CAA-1152F7F2584A}">
            <xm:f>'Sprachen &amp; Rückgabewerte'!$L$55=0</xm:f>
            <x14:dxf>
              <border>
                <bottom style="thin">
                  <color rgb="FFFF0000"/>
                </bottom>
                <vertical/>
                <horizontal/>
              </border>
            </x14:dxf>
          </x14:cfRule>
          <xm:sqref>AD93</xm:sqref>
        </x14:conditionalFormatting>
        <x14:conditionalFormatting xmlns:xm="http://schemas.microsoft.com/office/excel/2006/main">
          <x14:cfRule type="expression" priority="183" id="{B8F3D000-4FE3-4AED-8ACF-728FD1640DD4}">
            <xm:f>AND($AE$85="",$AE$84='Sprachen &amp; Rückgabewerte'!$H$89)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04" id="{D06AC102-8174-4996-A918-92104E3CB3AB}">
            <xm:f>$AE$84='Sprachen &amp; Rückgabewerte'!$H$89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558" id="{8A3F5732-761A-4CC2-9460-E3F4A8000187}">
            <xm:f>'Sprachen &amp; Rückgabewerte'!$C$48=FALSE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563" id="{4F4A24BF-6A33-412D-9DDB-E22CF7EA2A54}">
            <xm:f>'Sprachen &amp; Rückgabewerte'!$M$62=3</xm:f>
            <x14:dxf>
              <border>
                <left style="thin">
                  <color rgb="FFFF0000"/>
                </left>
                <vertical/>
                <horizontal/>
              </border>
            </x14:dxf>
          </x14:cfRule>
          <x14:cfRule type="expression" priority="564" id="{96F3995B-AA9B-4FBF-B35B-77E5279E16B3}">
            <xm:f>'Sprachen &amp; Rückgabewerte'!$M$62=2</xm:f>
            <x14:dxf>
              <border>
                <left style="thin">
                  <color rgb="FFFF0000"/>
                </left>
                <vertical/>
                <horizontal/>
              </border>
            </x14:dxf>
          </x14:cfRule>
          <xm:sqref>C73:C97</xm:sqref>
        </x14:conditionalFormatting>
        <x14:conditionalFormatting xmlns:xm="http://schemas.microsoft.com/office/excel/2006/main">
          <x14:cfRule type="expression" priority="565" id="{0266BCF6-24B4-49D6-B177-4AE6E7339945}">
            <xm:f>'Sprachen &amp; Rückgabewerte'!$M$62=2</xm:f>
            <x14:dxf>
              <border>
                <top style="thin">
                  <color rgb="FFFF0000"/>
                </top>
                <vertical/>
                <horizontal/>
              </border>
            </x14:dxf>
          </x14:cfRule>
          <x14:cfRule type="expression" priority="566" id="{4EF7B63E-6011-468D-9CE2-FECA8DE1933C}">
            <xm:f>'Sprachen &amp; Rückgabewerte'!$M$62=3</xm:f>
            <x14:dxf>
              <border>
                <top style="thin">
                  <color rgb="FFFF0000"/>
                </top>
                <vertical/>
                <horizontal/>
              </border>
            </x14:dxf>
          </x14:cfRule>
          <xm:sqref>C73:AB73</xm:sqref>
        </x14:conditionalFormatting>
        <x14:conditionalFormatting xmlns:xm="http://schemas.microsoft.com/office/excel/2006/main">
          <x14:cfRule type="expression" priority="567" id="{596AC873-F642-4A64-A9DA-BE6E8042522C}">
            <xm:f>'Sprachen &amp; Rückgabewerte'!$M$62=2</xm:f>
            <x14:dxf>
              <border>
                <right style="thin">
                  <color rgb="FFFF0000"/>
                </right>
                <vertical/>
                <horizontal/>
              </border>
            </x14:dxf>
          </x14:cfRule>
          <x14:cfRule type="expression" priority="568" id="{FC364CAA-4C51-4690-AEC5-8ABBA6C0FCEA}">
            <xm:f>'Sprachen &amp; Rückgabewerte'!$M$62=3</xm:f>
            <x14:dxf>
              <border>
                <right style="thin">
                  <color rgb="FFFF0000"/>
                </right>
                <vertical/>
                <horizontal/>
              </border>
            </x14:dxf>
          </x14:cfRule>
          <xm:sqref>AB73:AB85</xm:sqref>
        </x14:conditionalFormatting>
        <x14:conditionalFormatting xmlns:xm="http://schemas.microsoft.com/office/excel/2006/main">
          <x14:cfRule type="expression" priority="571" id="{D9C4FAD2-9CD3-4529-BFDA-0CCB1777B5E8}">
            <xm:f>'Sprachen &amp; Rückgabewerte'!$M$62=3</xm:f>
            <x14:dxf>
              <border>
                <bottom style="thin">
                  <color rgb="FFFF0000"/>
                </bottom>
                <vertical/>
                <horizontal/>
              </border>
            </x14:dxf>
          </x14:cfRule>
          <x14:cfRule type="expression" priority="572" id="{03662A94-8E13-4442-AB18-8F23F73F86EA}">
            <xm:f>'Sprachen &amp; Rückgabewerte'!$M$62=2</xm:f>
            <x14:dxf>
              <border>
                <bottom style="thin">
                  <color rgb="FFFF0000"/>
                </bottom>
                <vertical/>
                <horizontal/>
              </border>
            </x14:dxf>
          </x14:cfRule>
          <xm:sqref>C97:K97</xm:sqref>
        </x14:conditionalFormatting>
        <x14:conditionalFormatting xmlns:xm="http://schemas.microsoft.com/office/excel/2006/main">
          <x14:cfRule type="expression" priority="573" id="{9B99DCFA-416E-481F-82F7-6517F59B7134}">
            <xm:f>'Sprachen &amp; Rückgabewerte'!$M$60=0</xm:f>
            <x14:dxf>
              <border>
                <left style="thin">
                  <color rgb="FFFF0000"/>
                </left>
                <vertical/>
                <horizontal/>
              </border>
            </x14:dxf>
          </x14:cfRule>
          <xm:sqref>M73:M85</xm:sqref>
        </x14:conditionalFormatting>
        <x14:conditionalFormatting xmlns:xm="http://schemas.microsoft.com/office/excel/2006/main">
          <x14:cfRule type="expression" priority="574" id="{56E0AB2E-DA4F-4F43-81EF-3324653046B0}">
            <xm:f>'Sprachen &amp; Rückgabewerte'!$M$60=0</xm:f>
            <x14:dxf>
              <border>
                <top style="thin">
                  <color rgb="FFFF0000"/>
                </top>
                <vertical/>
                <horizontal/>
              </border>
            </x14:dxf>
          </x14:cfRule>
          <xm:sqref>M73:S73</xm:sqref>
        </x14:conditionalFormatting>
        <x14:conditionalFormatting xmlns:xm="http://schemas.microsoft.com/office/excel/2006/main">
          <x14:cfRule type="expression" priority="575" id="{0C57F321-5513-483E-9C95-8F912CDC60CA}">
            <xm:f>'Sprachen &amp; Rückgabewerte'!$M$60=0</xm:f>
            <x14:dxf>
              <border>
                <right style="thin">
                  <color rgb="FFFF0000"/>
                </right>
                <vertical/>
                <horizontal/>
              </border>
            </x14:dxf>
          </x14:cfRule>
          <xm:sqref>S73:S85</xm:sqref>
        </x14:conditionalFormatting>
        <x14:conditionalFormatting xmlns:xm="http://schemas.microsoft.com/office/excel/2006/main">
          <x14:cfRule type="expression" priority="569" id="{012BACAC-C703-4C67-92B1-7D0550115DE2}">
            <xm:f>'Sprachen &amp; Rückgabewerte'!$M$60=0</xm:f>
            <x14:dxf>
              <border>
                <bottom style="thin">
                  <color rgb="FFFF0000"/>
                </bottom>
                <vertical/>
                <horizontal/>
              </border>
            </x14:dxf>
          </x14:cfRule>
          <xm:sqref>M85:S85</xm:sqref>
        </x14:conditionalFormatting>
        <x14:conditionalFormatting xmlns:xm="http://schemas.microsoft.com/office/excel/2006/main">
          <x14:cfRule type="expression" priority="577" id="{52B09CEE-4E69-4CEA-BC06-31E3414712B6}">
            <xm:f>'Sprachen &amp; Rückgabewerte'!$M$56=0</xm:f>
            <x14:dxf>
              <border>
                <left style="thin">
                  <color rgb="FFFF0000"/>
                </left>
                <vertical/>
                <horizontal/>
              </border>
            </x14:dxf>
          </x14:cfRule>
          <xm:sqref>C62:C72</xm:sqref>
        </x14:conditionalFormatting>
        <x14:conditionalFormatting xmlns:xm="http://schemas.microsoft.com/office/excel/2006/main">
          <x14:cfRule type="expression" priority="213" id="{78A26E41-8354-48A1-A1BE-CB40AF4E41C2}">
            <xm:f>'Sprachen &amp; Rückgabewerte'!$M$56=0</xm:f>
            <x14:dxf>
              <border>
                <bottom style="thin">
                  <color rgb="FFFF0000"/>
                </bottom>
                <vertical/>
                <horizontal/>
              </border>
            </x14:dxf>
          </x14:cfRule>
          <xm:sqref>C72:AB72</xm:sqref>
        </x14:conditionalFormatting>
        <x14:conditionalFormatting xmlns:xm="http://schemas.microsoft.com/office/excel/2006/main">
          <x14:cfRule type="expression" priority="579" id="{A41C41DC-D87D-4562-AC75-E38D8CD1FEB1}">
            <xm:f>'Sprachen &amp; Rückgabewerte'!$M$56=0</xm:f>
            <x14:dxf>
              <border>
                <right style="thin">
                  <color rgb="FFFF0000"/>
                </right>
                <vertical/>
                <horizontal/>
              </border>
            </x14:dxf>
          </x14:cfRule>
          <xm:sqref>AB62:AB72</xm:sqref>
        </x14:conditionalFormatting>
        <x14:conditionalFormatting xmlns:xm="http://schemas.microsoft.com/office/excel/2006/main">
          <x14:cfRule type="expression" priority="580" id="{73CB0511-D828-403C-B93A-7F092574F022}">
            <xm:f>'Sprachen &amp; Rückgabewerte'!$M$56=0</xm:f>
            <x14:dxf>
              <border>
                <top style="thin">
                  <color rgb="FFFF0000"/>
                </top>
                <vertical/>
                <horizontal/>
              </border>
            </x14:dxf>
          </x14:cfRule>
          <xm:sqref>C62:AB62</xm:sqref>
        </x14:conditionalFormatting>
        <x14:conditionalFormatting xmlns:xm="http://schemas.microsoft.com/office/excel/2006/main">
          <x14:cfRule type="expression" priority="189" id="{130FCAD1-4FB0-4018-B3EA-65E9D2C2A5DC}">
            <xm:f>'Sprachen &amp; Rückgabewerte'!$M$66=FALSE</xm:f>
            <x14:dxf>
              <border>
                <left style="thin">
                  <color rgb="FFFF0000"/>
                </left>
                <vertical/>
                <horizontal/>
              </border>
            </x14:dxf>
          </x14:cfRule>
          <xm:sqref>AD73:AD81</xm:sqref>
        </x14:conditionalFormatting>
        <x14:conditionalFormatting xmlns:xm="http://schemas.microsoft.com/office/excel/2006/main">
          <x14:cfRule type="expression" priority="188" id="{119F4C8D-814F-43B6-B782-268CBD06DCFC}">
            <xm:f>'Sprachen &amp; Rückgabewerte'!$M$66=FALSE</xm:f>
            <x14:dxf>
              <border>
                <top style="thin">
                  <color rgb="FFFF0000"/>
                </top>
                <vertical/>
                <horizontal/>
              </border>
            </x14:dxf>
          </x14:cfRule>
          <xm:sqref>AD73:AT73</xm:sqref>
        </x14:conditionalFormatting>
        <x14:conditionalFormatting xmlns:xm="http://schemas.microsoft.com/office/excel/2006/main">
          <x14:cfRule type="expression" priority="187" id="{7D037735-87BC-44F2-A6C2-7D8F37D9CD5C}">
            <xm:f>'Sprachen &amp; Rückgabewerte'!$M$66=FALSE</xm:f>
            <x14:dxf>
              <border>
                <right style="thin">
                  <color rgb="FFFF0000"/>
                </right>
                <vertical/>
                <horizontal/>
              </border>
            </x14:dxf>
          </x14:cfRule>
          <xm:sqref>AT73:AT81</xm:sqref>
        </x14:conditionalFormatting>
        <x14:conditionalFormatting xmlns:xm="http://schemas.microsoft.com/office/excel/2006/main">
          <x14:cfRule type="expression" priority="186" id="{310CDD4D-18EA-47F0-BE91-5B8875D94092}">
            <xm:f>'Sprachen &amp; Rückgabewerte'!$M$66=FALSE</xm:f>
            <x14:dxf>
              <border>
                <bottom style="thin">
                  <color rgb="FFFF0000"/>
                </bottom>
                <vertical/>
                <horizontal/>
              </border>
            </x14:dxf>
          </x14:cfRule>
          <xm:sqref>AD81:AT81</xm:sqref>
        </x14:conditionalFormatting>
        <x14:conditionalFormatting xmlns:xm="http://schemas.microsoft.com/office/excel/2006/main">
          <x14:cfRule type="expression" priority="156" id="{FE8FD19C-9485-4573-B92C-AD3D6AC36820}">
            <xm:f>'Sprachen &amp; Rückgabewerte'!$I$19=FALSE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64" id="{36979AD7-69B3-48B2-B81E-C656E4C7B825}">
            <xm:f>'Sprachen &amp; Rückgabewerte'!$I$13=FALSE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155" id="{F1F90DBC-B14F-424E-BB81-FB6A8FDBCBDB}">
            <xm:f>AND($AY$43&lt;&gt;0,'Sprachen &amp; Rückgabewerte'!$I$19=TRUE)</xm:f>
            <x14:dxf>
              <border>
                <top style="thin">
                  <color rgb="FFFF0000"/>
                </top>
                <vertical/>
                <horizontal/>
              </border>
            </x14:dxf>
          </x14:cfRule>
          <x14:cfRule type="expression" priority="161" id="{8DFE0C94-61F9-4806-818B-34223F1263F8}">
            <xm:f>'Sprachen &amp; Rückgabewerte'!$I$19=FALSE</xm:f>
            <x14:dxf>
              <border>
                <top/>
                <vertical/>
                <horizontal/>
              </border>
            </x14:dxf>
          </x14:cfRule>
          <xm:sqref>AU32:AV32</xm:sqref>
        </x14:conditionalFormatting>
        <x14:conditionalFormatting xmlns:xm="http://schemas.microsoft.com/office/excel/2006/main">
          <x14:cfRule type="expression" priority="159" id="{6CE3047A-309F-4E81-91C1-57FD0B2D5744}">
            <xm:f>AND($AY$43&lt;&gt;0,'Sprachen &amp; Rückgabewerte'!$I$19=TRUE)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58" id="{7EB9F6EC-4767-4E0D-9FC9-520F09E26A95}">
            <xm:f>AND($AY$43&lt;&gt;0,'Sprachen &amp; Rückgabewerte'!$I$19=TRUE)</xm:f>
            <x14:dxf>
              <border>
                <right style="thin">
                  <color rgb="FFFF0000"/>
                </right>
                <vertical/>
                <horizontal/>
              </border>
            </x14:dxf>
          </x14:cfRule>
          <xm:sqref>BA33:BA43</xm:sqref>
        </x14:conditionalFormatting>
        <x14:conditionalFormatting xmlns:xm="http://schemas.microsoft.com/office/excel/2006/main">
          <x14:cfRule type="expression" priority="157" id="{4328D074-DD93-42BA-8082-97E8581513C1}">
            <xm:f>AND($AY$43&lt;&gt;0,'Sprachen &amp; Rückgabewerte'!$I$19=TRUE)</xm:f>
            <x14:dxf>
              <border>
                <bottom style="thin">
                  <color rgb="FFFF0000"/>
                </bottom>
                <vertical/>
                <horizontal/>
              </border>
            </x14:dxf>
          </x14:cfRule>
          <xm:sqref>AW43:BA43</xm:sqref>
        </x14:conditionalFormatting>
        <x14:conditionalFormatting xmlns:xm="http://schemas.microsoft.com/office/excel/2006/main">
          <x14:cfRule type="expression" priority="162" id="{0B62978E-C3D5-477D-A26E-59D51364A166}">
            <xm:f>AND($AY$43&lt;&gt;0,'Sprachen &amp; Rückgabewerte'!$I$19=TRUE)</xm:f>
            <x14:dxf>
              <border>
                <left style="thin">
                  <color rgb="FFFF0000"/>
                </left>
                <vertical/>
                <horizontal/>
              </border>
            </x14:dxf>
          </x14:cfRule>
          <xm:sqref>AW33:AW43</xm:sqref>
        </x14:conditionalFormatting>
        <x14:conditionalFormatting xmlns:xm="http://schemas.microsoft.com/office/excel/2006/main">
          <x14:cfRule type="expression" priority="154" id="{77030E63-5DF4-4C27-A5EF-4BC10FFB3900}">
            <xm:f>AND($AY$43&lt;&gt;0,'Sprachen &amp; Rückgabewerte'!$I$19=TRUE)</xm:f>
            <x14:dxf>
              <border>
                <top style="thin">
                  <color rgb="FFFF0000"/>
                </top>
                <vertical/>
                <horizontal/>
              </border>
            </x14:dxf>
          </x14:cfRule>
          <xm:sqref>AD32:AT32</xm:sqref>
        </x14:conditionalFormatting>
        <x14:conditionalFormatting xmlns:xm="http://schemas.microsoft.com/office/excel/2006/main">
          <x14:cfRule type="expression" priority="152" id="{8898F87D-99B2-4FFD-91BF-8DACE635F397}">
            <xm:f>AND($AY$43&lt;&gt;0,'Sprachen &amp; Rückgabewerte'!$I$19=TRUE)</xm:f>
            <x14:dxf>
              <border>
                <bottom style="thin">
                  <color rgb="FFFF0000"/>
                </bottom>
                <vertical/>
                <horizontal/>
              </border>
            </x14:dxf>
          </x14:cfRule>
          <xm:sqref>AD40:AT40</xm:sqref>
        </x14:conditionalFormatting>
        <x14:conditionalFormatting xmlns:xm="http://schemas.microsoft.com/office/excel/2006/main">
          <x14:cfRule type="expression" priority="134" id="{5A11C568-5342-4FD3-9148-2892CE3017AF}">
            <xm:f>AND('Sprachen &amp; Rückgabewerte'!$I$50=TRUE,'Sprachen &amp; Rückgabewerte'!$C$95&lt;&gt;0)</xm:f>
            <x14:dxf>
              <border>
                <top style="thin">
                  <color rgb="FFFF0000"/>
                </top>
                <vertical/>
                <horizontal/>
              </border>
            </x14:dxf>
          </x14:cfRule>
          <xm:sqref>B101:AU101</xm:sqref>
        </x14:conditionalFormatting>
        <x14:conditionalFormatting xmlns:xm="http://schemas.microsoft.com/office/excel/2006/main">
          <x14:cfRule type="expression" priority="133" id="{84546E24-EFD1-482C-81C5-11B9EF0EAB62}">
            <xm:f>AND('Sprachen &amp; Rückgabewerte'!$I$50=TRUE,'Sprachen &amp; Rückgabewerte'!$C$95&lt;&gt;0)</xm:f>
            <x14:dxf>
              <border>
                <right style="thin">
                  <color rgb="FFFF0000"/>
                </right>
                <vertical/>
                <horizontal/>
              </border>
            </x14:dxf>
          </x14:cfRule>
          <xm:sqref>AU101:AU136</xm:sqref>
        </x14:conditionalFormatting>
        <x14:conditionalFormatting xmlns:xm="http://schemas.microsoft.com/office/excel/2006/main">
          <x14:cfRule type="expression" priority="132" id="{8B98683C-6B35-427B-8364-DEA5546CFBF5}">
            <xm:f>AND('Sprachen &amp; Rückgabewerte'!$I$50=TRUE,'Sprachen &amp; Rückgabewerte'!$C$95&lt;&gt;0)</xm:f>
            <x14:dxf>
              <border>
                <bottom style="thin">
                  <color rgb="FFFF0000"/>
                </bottom>
                <vertical/>
                <horizontal/>
              </border>
            </x14:dxf>
          </x14:cfRule>
          <xm:sqref>B136:AU136</xm:sqref>
        </x14:conditionalFormatting>
        <x14:conditionalFormatting xmlns:xm="http://schemas.microsoft.com/office/excel/2006/main">
          <x14:cfRule type="expression" priority="131" id="{EB3F31E1-AA0C-43DC-922E-3EEDFD818669}">
            <xm:f>AND('Sprachen &amp; Rückgabewerte'!$I$50=TRUE,'Sprachen &amp; Rückgabewerte'!$C$95&lt;&gt;0)</xm:f>
            <x14:dxf>
              <border>
                <left style="thin">
                  <color rgb="FFFF0000"/>
                </left>
                <vertical/>
                <horizontal/>
              </border>
            </x14:dxf>
          </x14:cfRule>
          <xm:sqref>B101:B136</xm:sqref>
        </x14:conditionalFormatting>
        <x14:conditionalFormatting xmlns:xm="http://schemas.microsoft.com/office/excel/2006/main">
          <x14:cfRule type="expression" priority="130" id="{6401EB78-11F8-4959-BB7B-8EDC0253407F}">
            <xm:f>AND('Sprachen &amp; Rückgabewerte'!$I$50=TRUE,'Sprachen &amp; Rückgabewerte'!$C$95&lt;&gt;0)</xm:f>
            <x14:dxf>
              <border>
                <top style="thin">
                  <color rgb="FFFF0000"/>
                </top>
                <bottom/>
                <vertical/>
                <horizontal/>
              </border>
            </x14:dxf>
          </x14:cfRule>
          <xm:sqref>AV101</xm:sqref>
        </x14:conditionalFormatting>
        <x14:conditionalFormatting xmlns:xm="http://schemas.microsoft.com/office/excel/2006/main">
          <x14:cfRule type="expression" priority="125" id="{4766351A-C49B-4A58-8CDA-546F04F0668E}">
            <xm:f>'Sprachen &amp; Rückgabewerte'!$I$50=FALSE</xm:f>
            <x14:dxf>
              <border>
                <right/>
                <vertical/>
                <horizontal/>
              </border>
            </x14:dxf>
          </x14:cfRule>
          <x14:cfRule type="expression" priority="129" id="{F0448CC6-EF41-476E-AF6B-8C7010E191A9}">
            <xm:f>AND('Sprachen &amp; Rückgabewerte'!$I$50=TRUE,'Sprachen &amp; Rückgabewerte'!$C$95&lt;&gt;0)</xm:f>
            <x14:dxf>
              <border>
                <right style="thin">
                  <color rgb="FFFF0000"/>
                </right>
                <vertical/>
                <horizontal/>
              </border>
            </x14:dxf>
          </x14:cfRule>
          <xm:sqref>AV84:AV100</xm:sqref>
        </x14:conditionalFormatting>
        <x14:conditionalFormatting xmlns:xm="http://schemas.microsoft.com/office/excel/2006/main">
          <x14:cfRule type="expression" priority="126" id="{28D22000-DCA3-4BE2-BF12-2DDB7B40C32E}">
            <xm:f>'Sprachen &amp; Rückgabewerte'!$I$50=FALSE</xm:f>
            <x14:dxf>
              <border>
                <top/>
                <vertical/>
                <horizontal/>
              </border>
            </x14:dxf>
          </x14:cfRule>
          <x14:cfRule type="expression" priority="128" id="{7B6EFB19-997A-4D90-9D9A-43A6A763CBCC}">
            <xm:f>AND('Sprachen &amp; Rückgabewerte'!$I$50=TRUE,'Sprachen &amp; Rückgabewerte'!$C$95&lt;&gt;0)</xm:f>
            <x14:dxf>
              <border>
                <top style="thin">
                  <color rgb="FFFF0000"/>
                </top>
                <vertical/>
                <horizontal/>
              </border>
            </x14:dxf>
          </x14:cfRule>
          <xm:sqref>AU84:AV84</xm:sqref>
        </x14:conditionalFormatting>
        <x14:conditionalFormatting xmlns:xm="http://schemas.microsoft.com/office/excel/2006/main">
          <x14:cfRule type="expression" priority="124" id="{46BFC2BA-A96A-4452-AF1F-25E04BC71238}">
            <xm:f>'Sprachen &amp; Rückgabewerte'!$I$50=FALSE</xm:f>
            <x14:dxf>
              <border>
                <bottom/>
                <vertical/>
                <horizontal/>
              </border>
            </x14:dxf>
          </x14:cfRule>
          <xm:sqref>AV100</xm:sqref>
        </x14:conditionalFormatting>
        <x14:conditionalFormatting xmlns:xm="http://schemas.microsoft.com/office/excel/2006/main">
          <x14:cfRule type="expression" priority="112" id="{DFF039F9-6239-426D-9E15-D71802073D70}">
            <xm:f>'Sprachen &amp; Rückgabewerte'!$S$41=3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585" id="{EC779C36-98BB-4A42-AACC-084826F997BC}">
            <xm:f>'Sprachen &amp; Rückgabewerte'!$S$41=2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586" id="{B3956108-1A9B-4E23-A735-319FA0C92A3E}">
            <xm:f>'Sprachen &amp; Rückgabewerte'!$S$41=1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588" id="{AF5F2098-ED3B-4349-8CFB-61B11D4768DA}">
            <xm:f>'Sprachen &amp; Rückgabewerte'!$S$41=3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589" id="{A313477C-B479-40F9-86F9-3A2F0BD5BC65}">
            <xm:f>'Sprachen &amp; Rückgabewerte'!$S$41=2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590" id="{4C5DC6D0-0976-46E5-9F41-9C493562B0B1}">
            <xm:f>'Sprachen &amp; Rückgabewerte'!$S$41=3</xm:f>
            <x14:dxf>
              <font>
                <b/>
                <i val="0"/>
                <color theme="1"/>
              </font>
            </x14:dxf>
          </x14:cfRule>
          <x14:cfRule type="expression" priority="591" id="{C5EF86F3-B9DA-4334-B722-3323FD680E99}">
            <xm:f>'Sprachen &amp; Rückgabewerte'!$S$41=3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592" id="{ED397C57-5727-4E5C-BD35-8D976D9F6208}">
            <xm:f>'Sprachen &amp; Rückgabewerte'!$S$41=3</xm:f>
            <x14:dxf>
              <font>
                <b/>
                <i val="0"/>
                <color theme="1"/>
              </font>
            </x14:dxf>
          </x14:cfRule>
          <xm:sqref>L46</xm:sqref>
        </x14:conditionalFormatting>
        <x14:conditionalFormatting xmlns:xm="http://schemas.microsoft.com/office/excel/2006/main">
          <x14:cfRule type="expression" priority="593" id="{1A827384-057C-4190-A043-E23401683182}">
            <xm:f>'Sprachen &amp; Rückgabewerte'!$S$41=2</xm:f>
            <x14:dxf>
              <font>
                <b/>
                <i val="0"/>
                <color theme="1"/>
              </font>
            </x14:dxf>
          </x14:cfRule>
          <x14:cfRule type="expression" priority="594" id="{CC40A531-4058-4825-8A2A-35A30C05C448}">
            <xm:f>'Sprachen &amp; Rückgabewerte'!$S$41=3</xm:f>
            <x14:dxf>
              <font>
                <b/>
                <i val="0"/>
                <color theme="1"/>
              </font>
            </x14:dxf>
          </x14:cfRule>
          <xm:sqref>L47</xm:sqref>
        </x14:conditionalFormatting>
        <x14:conditionalFormatting xmlns:xm="http://schemas.microsoft.com/office/excel/2006/main">
          <x14:cfRule type="expression" priority="595" id="{438BC191-8C3F-40AA-B1B1-ED912E6313A4}">
            <xm:f>'Sprachen &amp; Rückgabewerte'!$S$41=3</xm:f>
            <x14:dxf>
              <font>
                <b/>
                <i val="0"/>
                <color theme="1"/>
              </font>
            </x14:dxf>
          </x14:cfRule>
          <x14:cfRule type="expression" priority="596" id="{1BE51E2B-F68D-4126-8C72-71EA531F27F8}">
            <xm:f>'Sprachen &amp; Rückgabewerte'!$S$41=2</xm:f>
            <x14:dxf>
              <font>
                <b/>
                <i val="0"/>
                <color theme="1"/>
              </font>
            </x14:dxf>
          </x14:cfRule>
          <x14:cfRule type="expression" priority="597" id="{4E253605-EB2A-48EF-90D3-AA1B103ED572}">
            <xm:f>'Sprachen &amp; Rückgabewerte'!$S$41=1</xm:f>
            <x14:dxf>
              <font>
                <b/>
                <i val="0"/>
                <color theme="1"/>
              </font>
            </x14:dxf>
          </x14:cfRule>
          <xm:sqref>L48</xm:sqref>
        </x14:conditionalFormatting>
        <x14:conditionalFormatting xmlns:xm="http://schemas.microsoft.com/office/excel/2006/main">
          <x14:cfRule type="expression" priority="121" id="{F47B3D03-6D06-4344-90A9-C869154A1630}">
            <xm:f>'Sprachen &amp; Rückgabewerte'!$M$71=0</xm:f>
            <x14:dxf>
              <border>
                <top style="thin">
                  <color rgb="FFFF0000"/>
                </top>
                <vertical/>
                <horizontal/>
              </border>
            </x14:dxf>
          </x14:cfRule>
          <xm:sqref>AW45:AX45</xm:sqref>
        </x14:conditionalFormatting>
        <x14:conditionalFormatting xmlns:xm="http://schemas.microsoft.com/office/excel/2006/main">
          <x14:cfRule type="expression" priority="120" id="{E077E72A-A7DA-42FD-B802-1A17430C095B}">
            <xm:f>'Sprachen &amp; Rückgabewerte'!$M$71=0</xm:f>
            <x14:dxf>
              <border>
                <right style="thin">
                  <color rgb="FFFF0000"/>
                </right>
                <vertical/>
                <horizontal/>
              </border>
            </x14:dxf>
          </x14:cfRule>
          <xm:sqref>AX45:AX47 AW48:AX48 AX49</xm:sqref>
        </x14:conditionalFormatting>
        <x14:conditionalFormatting xmlns:xm="http://schemas.microsoft.com/office/excel/2006/main">
          <x14:cfRule type="expression" priority="119" id="{34B7971C-4257-45CA-B93E-D9C9ACE13915}">
            <xm:f>'Sprachen &amp; Rückgabewerte'!$M$71=0</xm:f>
            <x14:dxf>
              <border>
                <bottom style="thin">
                  <color rgb="FFFF0000"/>
                </bottom>
                <vertical/>
                <horizontal/>
              </border>
            </x14:dxf>
          </x14:cfRule>
          <xm:sqref>AW49:AX49</xm:sqref>
        </x14:conditionalFormatting>
        <x14:conditionalFormatting xmlns:xm="http://schemas.microsoft.com/office/excel/2006/main">
          <x14:cfRule type="expression" priority="118" id="{CF929DAD-789B-451F-8BD5-1A38776BB44A}">
            <xm:f>'Sprachen &amp; Rückgabewerte'!$M$71=0</xm:f>
            <x14:dxf>
              <border>
                <left style="thin">
                  <color rgb="FFFF0000"/>
                </left>
                <vertical/>
                <horizontal/>
              </border>
            </x14:dxf>
          </x14:cfRule>
          <xm:sqref>AW49 AW48:AX48 AW45:AW47</xm:sqref>
        </x14:conditionalFormatting>
        <x14:conditionalFormatting xmlns:xm="http://schemas.microsoft.com/office/excel/2006/main">
          <x14:cfRule type="expression" priority="114" id="{B0D449CA-28B5-4AFE-9C45-AE9863239796}">
            <xm:f>'Sprachen &amp; Rückgabewerte'!$L$71=1</xm:f>
            <x14:dxf>
              <font>
                <color theme="0" tint="-0.14996795556505021"/>
              </font>
              <fill>
                <patternFill>
                  <bgColor theme="0" tint="-0.14996795556505021"/>
                </patternFill>
              </fill>
              <border>
                <top/>
                <vertical/>
                <horizontal/>
              </border>
            </x14:dxf>
          </x14:cfRule>
          <x14:cfRule type="expression" priority="117" id="{9B321A3F-169D-46CC-91EF-87697B6E2BB1}">
            <xm:f>'Sprachen &amp; Rückgabewerte'!$M$71=0</xm:f>
            <x14:dxf>
              <border>
                <top style="thin">
                  <color rgb="FFFF0000"/>
                </top>
                <vertical/>
                <horizontal/>
              </border>
            </x14:dxf>
          </x14:cfRule>
          <xm:sqref>AU45:AV45</xm:sqref>
        </x14:conditionalFormatting>
        <x14:conditionalFormatting xmlns:xm="http://schemas.microsoft.com/office/excel/2006/main">
          <x14:cfRule type="expression" priority="116" id="{5C0E485B-08A5-4A58-A880-EB69F35EE295}">
            <xm:f>'Sprachen &amp; Rückgabewerte'!$L$71=1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83" id="{44D6130B-7297-4A44-AFC3-598E3E4BCFC6}">
            <xm:f>'Sprachen &amp; Rückgabewerte'!$I$50=FALSE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82" id="{0530E3BB-2290-4224-87A4-0FBA830E0D24}">
            <xm:f>'Sprachen &amp; Rückgabewerte'!$I$50=FALSE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80" id="{186201EA-D53B-443F-8D24-F6D7160A332C}">
            <xm:f>$AX$19='Sprachen &amp; Rückgabewerte'!$H$155</xm:f>
            <x14:dxf>
              <font>
                <color rgb="FFFF0000"/>
              </font>
            </x14:dxf>
          </x14:cfRule>
          <xm:sqref>AX19:BA20</xm:sqref>
        </x14:conditionalFormatting>
        <x14:conditionalFormatting xmlns:xm="http://schemas.microsoft.com/office/excel/2006/main">
          <x14:cfRule type="expression" priority="76" id="{38AACAC2-96D2-4E69-95E5-009AA30B9A6B}">
            <xm:f>$A$9='Sprachen &amp; Rückgabewerte'!$H$132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70" id="{3D23F8A1-E4AB-4C79-9AFD-D9D0897A0FC6}">
            <xm:f>$AN$80&lt;&gt;'Sprachen &amp; Rückgabewerte'!$H$85</xm:f>
            <x14:dxf>
              <border>
                <left style="thin">
                  <color auto="1"/>
                </left>
                <top style="thin">
                  <color auto="1"/>
                </top>
                <vertical/>
                <horizontal/>
              </border>
            </x14:dxf>
          </x14:cfRule>
          <xm:sqref>AW76</xm:sqref>
        </x14:conditionalFormatting>
        <x14:conditionalFormatting xmlns:xm="http://schemas.microsoft.com/office/excel/2006/main">
          <x14:cfRule type="expression" priority="69" id="{743DB4B4-4101-4788-91FC-EBD166AFEAF2}">
            <xm:f>$AN$80&lt;&gt;'Sprachen &amp; Rückgabewerte'!$H$85</xm:f>
            <x14:dxf>
              <border>
                <left style="thin">
                  <color auto="1"/>
                </left>
                <vertical/>
                <horizontal/>
              </border>
            </x14:dxf>
          </x14:cfRule>
          <xm:sqref>AW77</xm:sqref>
        </x14:conditionalFormatting>
        <x14:conditionalFormatting xmlns:xm="http://schemas.microsoft.com/office/excel/2006/main">
          <x14:cfRule type="expression" priority="68" id="{FEEC5CC2-7E44-4193-8556-336720FADD8B}">
            <xm:f>$AN$80&lt;&gt;'Sprachen &amp; Rückgabewerte'!$H$85</xm:f>
            <x14:dxf>
              <border>
                <left style="thin">
                  <color auto="1"/>
                </left>
                <vertical/>
                <horizontal/>
              </border>
            </x14:dxf>
          </x14:cfRule>
          <xm:sqref>AW78</xm:sqref>
        </x14:conditionalFormatting>
        <x14:conditionalFormatting xmlns:xm="http://schemas.microsoft.com/office/excel/2006/main">
          <x14:cfRule type="expression" priority="67" id="{25550195-F534-4761-AE6D-9BE7817F597A}">
            <xm:f>$AN$80&lt;&gt;'Sprachen &amp; Rückgabewerte'!$H$85</xm:f>
            <x14:dxf>
              <border>
                <left style="thin">
                  <color auto="1"/>
                </left>
                <vertical/>
                <horizontal/>
              </border>
            </x14:dxf>
          </x14:cfRule>
          <xm:sqref>AW79</xm:sqref>
        </x14:conditionalFormatting>
        <x14:conditionalFormatting xmlns:xm="http://schemas.microsoft.com/office/excel/2006/main">
          <x14:cfRule type="expression" priority="66" id="{F55F2388-44D2-4DC8-B96B-52EE81622D74}">
            <xm:f>$AN$80&lt;&gt;'Sprachen &amp; Rückgabewerte'!$H$85</xm:f>
            <x14:dxf>
              <border>
                <left style="thin">
                  <color auto="1"/>
                </left>
                <bottom style="thin">
                  <color auto="1"/>
                </bottom>
                <vertical/>
                <horizontal/>
              </border>
            </x14:dxf>
          </x14:cfRule>
          <xm:sqref>AW80</xm:sqref>
        </x14:conditionalFormatting>
        <x14:conditionalFormatting xmlns:xm="http://schemas.microsoft.com/office/excel/2006/main">
          <x14:cfRule type="expression" priority="65" id="{A01D22B6-D4EE-4EEE-91FD-570477D8B1BC}">
            <xm:f>$AN$80&lt;&gt;'Sprachen &amp; Rückgabewerte'!$H$86</xm:f>
            <x14:dxf>
              <border>
                <right style="thin">
                  <color auto="1"/>
                </right>
                <top style="thin">
                  <color auto="1"/>
                </top>
                <vertical/>
                <horizontal/>
              </border>
            </x14:dxf>
          </x14:cfRule>
          <xm:sqref>AX76</xm:sqref>
        </x14:conditionalFormatting>
        <x14:conditionalFormatting xmlns:xm="http://schemas.microsoft.com/office/excel/2006/main">
          <x14:cfRule type="expression" priority="64" id="{A62A749A-D7E2-44A8-81B0-4291C3D0AE81}">
            <xm:f>$AN$80&lt;&gt;'Sprachen &amp; Rückgabewerte'!$H$86</xm:f>
            <x14:dxf>
              <border>
                <right style="thin">
                  <color auto="1"/>
                </right>
                <vertical/>
                <horizontal/>
              </border>
            </x14:dxf>
          </x14:cfRule>
          <xm:sqref>AX77</xm:sqref>
        </x14:conditionalFormatting>
        <x14:conditionalFormatting xmlns:xm="http://schemas.microsoft.com/office/excel/2006/main">
          <x14:cfRule type="expression" priority="63" id="{FBF7D4A3-31DD-4D38-A067-C44796F7B8B7}">
            <xm:f>$AN$80&lt;&gt;'Sprachen &amp; Rückgabewerte'!$H$86</xm:f>
            <x14:dxf>
              <border>
                <right style="thin">
                  <color auto="1"/>
                </right>
                <vertical/>
                <horizontal/>
              </border>
            </x14:dxf>
          </x14:cfRule>
          <xm:sqref>AX78</xm:sqref>
        </x14:conditionalFormatting>
        <x14:conditionalFormatting xmlns:xm="http://schemas.microsoft.com/office/excel/2006/main">
          <x14:cfRule type="expression" priority="62" id="{F07B0A03-6F94-4D21-B9C8-DCC77615760C}">
            <xm:f>$AN$80&lt;&gt;'Sprachen &amp; Rückgabewerte'!$H$86</xm:f>
            <x14:dxf>
              <border>
                <right style="thin">
                  <color auto="1"/>
                </right>
                <vertical/>
                <horizontal/>
              </border>
            </x14:dxf>
          </x14:cfRule>
          <xm:sqref>AX79</xm:sqref>
        </x14:conditionalFormatting>
        <x14:conditionalFormatting xmlns:xm="http://schemas.microsoft.com/office/excel/2006/main">
          <x14:cfRule type="expression" priority="61" id="{2119E9FD-BADA-465C-92BD-C06E69AA08B6}">
            <xm:f>$AN$80&lt;&gt;'Sprachen &amp; Rückgabewerte'!$H$86</xm:f>
            <x14:dxf>
              <border>
                <right style="thin">
                  <color auto="1"/>
                </right>
                <bottom style="thin">
                  <color auto="1"/>
                </bottom>
                <vertical/>
                <horizontal/>
              </border>
            </x14:dxf>
          </x14:cfRule>
          <xm:sqref>AX80</xm:sqref>
        </x14:conditionalFormatting>
        <x14:conditionalFormatting xmlns:xm="http://schemas.microsoft.com/office/excel/2006/main">
          <x14:cfRule type="expression" priority="52" id="{E14C991C-A98A-4EAF-8B87-1C4B842E1D16}">
            <xm:f>'Sprachen &amp; Rückgabewerte'!$L$50=0</xm:f>
            <x14:dxf>
              <border>
                <right style="thin">
                  <color rgb="FFFF0000"/>
                </right>
                <bottom style="thin">
                  <color rgb="FFFF0000"/>
                </bottom>
                <vertical/>
                <horizontal/>
              </border>
            </x14:dxf>
          </x14:cfRule>
          <xm:sqref>Q59:AB60</xm:sqref>
        </x14:conditionalFormatting>
        <x14:conditionalFormatting xmlns:xm="http://schemas.microsoft.com/office/excel/2006/main">
          <x14:cfRule type="expression" priority="48" id="{F6819327-A448-4A92-A88E-DFAB1E7E1058}">
            <xm:f>'Sprachen &amp; Rückgabewerte'!$M$59=0</xm:f>
            <x14:dxf>
              <border>
                <top style="thin">
                  <color rgb="FFFF0000"/>
                </top>
                <vertical/>
                <horizontal/>
              </border>
            </x14:dxf>
          </x14:cfRule>
          <xm:sqref>M86</xm:sqref>
        </x14:conditionalFormatting>
        <x14:conditionalFormatting xmlns:xm="http://schemas.microsoft.com/office/excel/2006/main">
          <x14:cfRule type="expression" priority="47" id="{8B5DF6FB-76A2-4BBC-ADB5-A204F5840F8F}">
            <xm:f>'Sprachen &amp; Rückgabewerte'!$M$59=0</xm:f>
            <x14:dxf>
              <border>
                <bottom style="thin">
                  <color rgb="FFFF0000"/>
                </bottom>
                <vertical/>
                <horizontal/>
              </border>
            </x14:dxf>
          </x14:cfRule>
          <xm:sqref>M97</xm:sqref>
        </x14:conditionalFormatting>
        <x14:conditionalFormatting xmlns:xm="http://schemas.microsoft.com/office/excel/2006/main">
          <x14:cfRule type="expression" priority="49" id="{A454C3DD-3414-4A00-8A2F-A97A33E23521}">
            <xm:f>'Sprachen &amp; Rückgabewerte'!$M$62=2</xm:f>
            <x14:dxf>
              <border>
                <left style="thin">
                  <color rgb="FFFF0000"/>
                </left>
                <vertical/>
                <horizontal/>
              </border>
            </x14:dxf>
          </x14:cfRule>
          <x14:cfRule type="expression" priority="50" id="{8BB6835C-054D-4DAF-860F-CB6777C29834}">
            <xm:f>'Sprachen &amp; Rückgabewerte'!$M$62=3</xm:f>
            <x14:dxf>
              <border>
                <left style="thin">
                  <color rgb="FFFF0000"/>
                </left>
                <vertical/>
                <horizontal/>
              </border>
            </x14:dxf>
          </x14:cfRule>
          <x14:cfRule type="expression" priority="51" id="{A1F45E74-641A-47DD-9A5E-DE7DD657010E}">
            <xm:f>'Sprachen &amp; Rückgabewerte'!$M$59=0</xm:f>
            <x14:dxf>
              <border>
                <left style="thin">
                  <color rgb="FFFF0000"/>
                </left>
                <vertical/>
                <horizontal/>
              </border>
            </x14:dxf>
          </x14:cfRule>
          <xm:sqref>M86:M97</xm:sqref>
        </x14:conditionalFormatting>
        <x14:conditionalFormatting xmlns:xm="http://schemas.microsoft.com/office/excel/2006/main">
          <x14:cfRule type="expression" priority="260" id="{C8A6CB38-BE2A-4862-8788-4AE79BCF4779}">
            <xm:f>'Sprachen &amp; Rückgabewerte'!$M$62=2</xm:f>
            <x14:dxf>
              <border>
                <bottom style="thin">
                  <color rgb="FFFF0000"/>
                </bottom>
                <vertical/>
                <horizontal/>
              </border>
            </x14:dxf>
          </x14:cfRule>
          <x14:cfRule type="expression" priority="351" id="{7148C8D4-0675-4CB7-8A9E-89DC0B76C89D}">
            <xm:f>'Sprachen &amp; Rückgabewerte'!$M$62=3</xm:f>
            <x14:dxf>
              <border>
                <bottom style="thin">
                  <color rgb="FFFF0000"/>
                </bottom>
                <vertical/>
                <horizontal/>
              </border>
            </x14:dxf>
          </x14:cfRule>
          <xm:sqref>M85:AB85</xm:sqref>
        </x14:conditionalFormatting>
        <x14:conditionalFormatting xmlns:xm="http://schemas.microsoft.com/office/excel/2006/main">
          <x14:cfRule type="expression" priority="45" id="{2AC4EC44-E93E-49A6-8788-D11C6ADCCECE}">
            <xm:f>'Sprachen &amp; Rückgabewerte'!$M$62=3</xm:f>
            <x14:dxf>
              <border>
                <bottom style="thin">
                  <color rgb="FFFF0000"/>
                </bottom>
                <vertical/>
                <horizontal/>
              </border>
            </x14:dxf>
          </x14:cfRule>
          <x14:cfRule type="expression" priority="46" id="{51EB32F6-CB06-4F1F-8395-38DDDCB4D1EC}">
            <xm:f>'Sprachen &amp; Rückgabewerte'!$M$62=2</xm:f>
            <x14:dxf>
              <border>
                <bottom style="thin">
                  <color rgb="FFFF0000"/>
                </bottom>
                <vertical/>
                <horizontal/>
              </border>
            </x14:dxf>
          </x14:cfRule>
          <xm:sqref>L97</xm:sqref>
        </x14:conditionalFormatting>
        <x14:conditionalFormatting xmlns:xm="http://schemas.microsoft.com/office/excel/2006/main">
          <x14:cfRule type="expression" priority="44" id="{025D58CB-7559-41CA-AB4C-6D630C11CB75}">
            <xm:f>'Sprachen &amp; Rückgabewerte'!$M$59=0</xm:f>
            <x14:dxf>
              <border>
                <top style="thin">
                  <color rgb="FFFF0000"/>
                </top>
                <vertical/>
                <horizontal/>
              </border>
            </x14:dxf>
          </x14:cfRule>
          <xm:sqref>N86:AB86</xm:sqref>
        </x14:conditionalFormatting>
        <x14:conditionalFormatting xmlns:xm="http://schemas.microsoft.com/office/excel/2006/main">
          <x14:cfRule type="expression" priority="43" id="{BCEAFACA-52B3-4B6F-AA8D-085A72F87703}">
            <xm:f>'Sprachen &amp; Rückgabewerte'!$M$59=0</xm:f>
            <x14:dxf>
              <border>
                <bottom style="thin">
                  <color rgb="FFFF0000"/>
                </bottom>
                <vertical/>
                <horizontal/>
              </border>
            </x14:dxf>
          </x14:cfRule>
          <xm:sqref>N97:V97 Z97:AB97</xm:sqref>
        </x14:conditionalFormatting>
        <x14:conditionalFormatting xmlns:xm="http://schemas.microsoft.com/office/excel/2006/main">
          <x14:cfRule type="expression" priority="41" id="{41917DB2-C366-4DF3-956F-661E9F7CE157}">
            <xm:f>'Sprachen &amp; Rückgabewerte'!$I$5=FALSE</xm:f>
            <x14:dxf>
              <font>
                <color theme="0" tint="-0.14996795556505021"/>
              </font>
              <fill>
                <patternFill>
                  <bgColor theme="0" tint="-0.14996795556505021"/>
                </patternFill>
              </fill>
              <border>
                <left/>
                <right/>
                <top/>
                <bottom/>
                <vertical/>
                <horizontal/>
              </border>
            </x14:dxf>
          </x14:cfRule>
          <xm:sqref>M6:Q6</xm:sqref>
        </x14:conditionalFormatting>
        <x14:conditionalFormatting xmlns:xm="http://schemas.microsoft.com/office/excel/2006/main">
          <x14:cfRule type="expression" priority="40" id="{49538552-71DF-45AB-A0C8-E757A3A654FC}">
            <xm:f>'Sprachen &amp; Rückgabewerte'!$U$49=FALSE</xm:f>
            <x14:dxf>
              <border>
                <top style="thin">
                  <color rgb="FFFF0000"/>
                </top>
                <vertical/>
                <horizontal/>
              </border>
            </x14:dxf>
          </x14:cfRule>
          <xm:sqref>E23:AR23</xm:sqref>
        </x14:conditionalFormatting>
        <x14:conditionalFormatting xmlns:xm="http://schemas.microsoft.com/office/excel/2006/main">
          <x14:cfRule type="expression" priority="39" id="{9207705A-602A-47FC-83B6-8EC39EA3202B}">
            <xm:f>'Sprachen &amp; Rückgabewerte'!$U$49=FALSE</xm:f>
            <x14:dxf>
              <border>
                <left style="thin">
                  <color rgb="FFFF0000"/>
                </left>
                <vertical/>
                <horizontal/>
              </border>
            </x14:dxf>
          </x14:cfRule>
          <xm:sqref>E23:H26</xm:sqref>
        </x14:conditionalFormatting>
        <x14:conditionalFormatting xmlns:xm="http://schemas.microsoft.com/office/excel/2006/main">
          <x14:cfRule type="expression" priority="37" id="{68220DC2-4044-4D7A-B582-6B67EA9EA64E}">
            <xm:f>'Sprachen &amp; Rückgabewerte'!$U$49=FALSE</xm:f>
            <x14:dxf>
              <border>
                <right style="thin">
                  <color rgb="FFFF0000"/>
                </right>
                <vertical/>
                <horizontal/>
              </border>
            </x14:dxf>
          </x14:cfRule>
          <xm:sqref>AO23:AR26</xm:sqref>
        </x14:conditionalFormatting>
        <x14:conditionalFormatting xmlns:xm="http://schemas.microsoft.com/office/excel/2006/main">
          <x14:cfRule type="expression" priority="36" id="{AF521CD8-A619-4641-B6D3-8F2FE3B52984}">
            <xm:f>'Sprachen &amp; Rückgabewerte'!$I$39=FALSE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3" id="{5A76215E-013F-4776-8781-BDC9174B47FC}">
            <xm:f>'Sprachen &amp; Rückgabewerte'!$I$39=FALSE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32" id="{52955502-07C9-4D3E-BF9C-A25BAC2148D0}">
            <xm:f>AND('Sprachen &amp; Rückgabewerte'!$C$16=1,$F$16="")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31" id="{09F0EEA9-B257-4EC6-8E56-3DF4C9593ACA}">
            <xm:f>AND('Sprachen &amp; Rückgabewerte'!$C$17=1,$J$16="")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30" id="{03E3B25B-2230-4850-92C2-6759D1FF7521}">
            <xm:f>AND('Sprachen &amp; Rückgabewerte'!$C$18=1,$N$16="")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9" id="{750301E8-36C9-4AE1-A341-6D6B3D8CB781}">
            <xm:f>AND('Sprachen &amp; Rückgabewerte'!$C$19=1,$R$16="")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8" id="{CC0BFFEE-BFC8-494E-A66E-2A4238DAB57F}">
            <xm:f>AND('Sprachen &amp; Rückgabewerte'!$C$20=1,$V$16="")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7" id="{92672AF0-6412-4783-A1CA-DDD4402BE260}">
            <xm:f>AND('Sprachen &amp; Rückgabewerte'!$C$21=1,$Z$16="")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6" id="{2C3736D6-6290-4290-81EC-C32919328B3B}">
            <xm:f>AND('Sprachen &amp; Rückgabewerte'!$C$22=1,$AD$16="")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5" id="{344BABF6-76D2-457B-A558-9A24E6C3C060}">
            <xm:f>AND('Sprachen &amp; Rückgabewerte'!$C$23=1,$AH$16="")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4" id="{060F4AA8-FE32-4927-8A05-B36AD0A22E15}">
            <xm:f>AND('Sprachen &amp; Rückgabewerte'!$C$24=1,$AL$16="")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3" id="{0995E209-D6E7-4C89-80D8-81D7585FF8A8}">
            <xm:f>AND('Sprachen &amp; Rückgabewerte'!$C$25=1,$AP$16="")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22" id="{05A48606-27FA-41E4-82A2-8BE53E7C9C7D}">
            <xm:f>'Sprachen &amp; Rückgabewerte'!$I$71=FALSE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21" id="{23484BF2-6302-400D-8F0F-DD04F50B208B}">
            <xm:f>AND('Sprachen &amp; Rückgabewerte'!$I$71=TRUE,$AP$74="",$AP$75="",$AP$76="")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6" id="{FF967B7A-A997-4100-87FB-C9DC60FB867B}">
            <xm:f>OR($AQ$96='Sprachen &amp; Rückgabewerte'!$H$96,$AQ$96="")</xm:f>
            <x14:dxf>
              <border>
                <bottom/>
                <vertical/>
                <horizontal/>
              </border>
            </x14:dxf>
          </x14:cfRule>
          <x14:cfRule type="expression" priority="17" id="{08CF3B54-7F68-487B-B78F-28E5C7EB95D9}">
            <xm:f>AND($AQ$96='Sprachen &amp; Rückgabewerte'!$H$95,$AW$96="")</xm:f>
            <x14:dxf>
              <border>
                <bottom style="thin">
                  <color rgb="FFFF0000"/>
                </bottom>
                <vertical/>
                <horizontal/>
              </border>
            </x14:dxf>
          </x14:cfRule>
          <xm:sqref>AS96:AV96</xm:sqref>
        </x14:conditionalFormatting>
        <x14:conditionalFormatting xmlns:xm="http://schemas.microsoft.com/office/excel/2006/main">
          <x14:cfRule type="expression" priority="14" id="{B4A14FB5-309E-4FCB-822A-4951617C22BC}">
            <xm:f>OR($AQ$96='Sprachen &amp; Rückgabewerte'!$H$96,$AQ$96="")</xm:f>
            <x14:dxf>
              <fill>
                <patternFill>
                  <bgColor theme="0" tint="-0.14996795556505021"/>
                </patternFill>
              </fill>
              <border>
                <left/>
                <right/>
                <top/>
                <bottom/>
                <vertical/>
                <horizontal/>
              </border>
            </x14:dxf>
          </x14:cfRule>
          <x14:cfRule type="expression" priority="15" id="{45D3CFED-9D8A-4012-89DD-A2C6A88588E1}">
            <xm:f>AND($AQ$96='Sprachen &amp; Rückgabewerte'!$H$95,$AW$96="")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3" id="{89F43066-B34E-4A56-ACA1-0C673B2479EA}">
            <xm:f>'Sprachen &amp; Rückgabewerte'!$W$68&gt;0</xm:f>
            <x14:dxf>
              <border>
                <bottom style="thin">
                  <color rgb="FFFF0000"/>
                </bottom>
                <vertical/>
                <horizontal/>
              </border>
            </x14:dxf>
          </x14:cfRule>
          <xm:sqref>AD97:AT97</xm:sqref>
        </x14:conditionalFormatting>
        <x14:conditionalFormatting xmlns:xm="http://schemas.microsoft.com/office/excel/2006/main">
          <x14:cfRule type="expression" priority="12" id="{EDB5C4EF-AA69-4B5E-ADFC-6F3F7420ED52}">
            <xm:f>'Sprachen &amp; Rückgabewerte'!$W$68&gt;0</xm:f>
            <x14:dxf>
              <border>
                <top style="thin">
                  <color rgb="FFFF0000"/>
                </top>
                <vertical/>
                <horizontal/>
              </border>
            </x14:dxf>
          </x14:cfRule>
          <xm:sqref>AD95:AT95</xm:sqref>
        </x14:conditionalFormatting>
        <x14:conditionalFormatting xmlns:xm="http://schemas.microsoft.com/office/excel/2006/main">
          <x14:cfRule type="expression" priority="11" id="{B757392A-AC30-49A6-B46F-FEE15BE87E35}">
            <xm:f>'Sprachen &amp; Rückgabewerte'!$W$68&gt;0</xm:f>
            <x14:dxf>
              <border>
                <left style="thin">
                  <color rgb="FFFF0000"/>
                </left>
                <vertical/>
                <horizontal/>
              </border>
            </x14:dxf>
          </x14:cfRule>
          <xm:sqref>AD95:AD97</xm:sqref>
        </x14:conditionalFormatting>
        <x14:conditionalFormatting xmlns:xm="http://schemas.microsoft.com/office/excel/2006/main">
          <x14:cfRule type="expression" priority="10" id="{006647E1-2438-4AB7-A96C-AAA708E460B6}">
            <xm:f>'Sprachen &amp; Rückgabewerte'!$W$68&gt;0</xm:f>
            <x14:dxf>
              <border>
                <right style="thin">
                  <color rgb="FFFF0000"/>
                </right>
                <vertical/>
                <horizontal/>
              </border>
            </x14:dxf>
          </x14:cfRule>
          <xm:sqref>AT95:AT97</xm:sqref>
        </x14:conditionalFormatting>
        <x14:conditionalFormatting xmlns:xm="http://schemas.microsoft.com/office/excel/2006/main">
          <x14:cfRule type="expression" priority="7" id="{4D5F0CA9-03FA-44B4-8246-396133F8C17D}">
            <xm:f>'Sprachen &amp; Rückgabewerte'!$C$51=FALSE</xm:f>
            <x14:dxf>
              <font>
                <color theme="0" tint="-0.14996795556505021"/>
              </font>
              <fill>
                <patternFill>
                  <bgColor theme="0" tint="-0.14996795556505021"/>
                </patternFill>
              </fill>
              <border>
                <left/>
                <right/>
                <top/>
                <bottom style="thin">
                  <color auto="1"/>
                </bottom>
                <vertical/>
                <horizontal/>
              </border>
            </x14:dxf>
          </x14:cfRule>
          <x14:cfRule type="expression" priority="8" id="{E596E894-DB0D-40DB-93D3-B6533D43B50D}">
            <xm:f>'Sprachen &amp; Rückgabewerte'!$U$65=FALSE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V97:Y97</xm:sqref>
        </x14:conditionalFormatting>
        <x14:conditionalFormatting xmlns:xm="http://schemas.microsoft.com/office/excel/2006/main">
          <x14:cfRule type="expression" priority="4" id="{1F1B196A-63DA-40E1-B270-DE94C5B15F6B}">
            <xm:f>'Sprachen &amp; Rückgabewerte'!$W$78&lt;&gt;0</xm:f>
            <x14:dxf>
              <border>
                <bottom style="thin">
                  <color rgb="FFFF0000"/>
                </bottom>
                <vertical/>
                <horizontal/>
              </border>
            </x14:dxf>
          </x14:cfRule>
          <xm:sqref>AW11:BB11</xm:sqref>
        </x14:conditionalFormatting>
        <x14:conditionalFormatting xmlns:xm="http://schemas.microsoft.com/office/excel/2006/main">
          <x14:cfRule type="expression" priority="3" id="{4CC16C52-1DED-4092-9088-DE45A01383F5}">
            <xm:f>'Sprachen &amp; Rückgabewerte'!$W$78&lt;&gt;0</xm:f>
            <x14:dxf>
              <border>
                <top style="thin">
                  <color rgb="FFFF0000"/>
                </top>
                <vertical/>
                <horizontal/>
              </border>
            </x14:dxf>
          </x14:cfRule>
          <xm:sqref>AW6:BB6</xm:sqref>
        </x14:conditionalFormatting>
        <x14:conditionalFormatting xmlns:xm="http://schemas.microsoft.com/office/excel/2006/main">
          <x14:cfRule type="expression" priority="2" id="{9DE65FE6-BAEE-414E-8DC8-4FC9BA27CC9E}">
            <xm:f>'Sprachen &amp; Rückgabewerte'!$W$78&lt;&gt;0</xm:f>
            <x14:dxf>
              <border>
                <left style="thin">
                  <color rgb="FFFF0000"/>
                </left>
                <vertical/>
                <horizontal/>
              </border>
            </x14:dxf>
          </x14:cfRule>
          <xm:sqref>AW6:AW11</xm:sqref>
        </x14:conditionalFormatting>
        <x14:conditionalFormatting xmlns:xm="http://schemas.microsoft.com/office/excel/2006/main">
          <x14:cfRule type="expression" priority="1" id="{BE11F46E-BCFF-40AB-8AB4-E6DE68487854}">
            <xm:f>'Sprachen &amp; Rückgabewerte'!$W$78&lt;&gt;0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3">
        <x14:dataValidation type="list" allowBlank="1" showInputMessage="1" showErrorMessage="1" xr:uid="{00000000-0002-0000-0300-000007000000}">
          <x14:formula1>
            <xm:f>'Sprachen &amp; Rückgabewerte'!$M$86:$M$138</xm:f>
          </x14:formula1>
          <xm:sqref>AM88:AR88</xm:sqref>
        </x14:dataValidation>
        <x14:dataValidation type="list" showInputMessage="1" showErrorMessage="1" xr:uid="{00000000-0002-0000-0300-000008000000}">
          <x14:formula1>
            <xm:f>'Sprachen &amp; Rückgabewerte'!$B$70:$B$72</xm:f>
          </x14:formula1>
          <xm:sqref>H85:K85 V85:Y85 O85:R85 X72:AA72</xm:sqref>
        </x14:dataValidation>
        <x14:dataValidation type="list" allowBlank="1" showInputMessage="1" showErrorMessage="1" xr:uid="{00000000-0002-0000-0300-000009000000}">
          <x14:formula1>
            <xm:f>'Sprachen &amp; Rückgabewerte'!$H$103:$H$107</xm:f>
          </x14:formula1>
          <xm:sqref>G20:AP20</xm:sqref>
        </x14:dataValidation>
        <x14:dataValidation type="list" showInputMessage="1" showErrorMessage="1" xr:uid="{00000000-0002-0000-0300-00000A000000}">
          <x14:formula1>
            <xm:f>'Sprachen &amp; Rückgabewerte'!$B$33:$B$34</xm:f>
          </x14:formula1>
          <xm:sqref>E23:AR26</xm:sqref>
        </x14:dataValidation>
        <x14:dataValidation type="list" showInputMessage="1" showErrorMessage="1" xr:uid="{00000000-0002-0000-0300-00000B000000}">
          <x14:formula1>
            <xm:f>'Sprachen &amp; Rückgabewerte'!$A$11:$A$18</xm:f>
          </x14:formula1>
          <xm:sqref>AM43:AQ43</xm:sqref>
        </x14:dataValidation>
        <x14:dataValidation type="list" showInputMessage="1" showErrorMessage="1" xr:uid="{00000000-0002-0000-0300-00000C000000}">
          <x14:formula1>
            <xm:f>'Sprachen &amp; Rückgabewerte'!$A$19:$A$21</xm:f>
          </x14:formula1>
          <xm:sqref>AR43:AS43</xm:sqref>
        </x14:dataValidation>
        <x14:dataValidation type="list" allowBlank="1" showInputMessage="1" showErrorMessage="1" xr:uid="{00000000-0002-0000-0300-00000D000000}">
          <x14:formula1>
            <xm:f>'Sprachen &amp; Rückgabewerte'!$J$67:$J$69</xm:f>
          </x14:formula1>
          <xm:sqref>AN70:AS70</xm:sqref>
        </x14:dataValidation>
        <x14:dataValidation type="list" allowBlank="1" showInputMessage="1" showErrorMessage="1" xr:uid="{00000000-0002-0000-0300-00000E000000}">
          <x14:formula1>
            <xm:f>'Sprachen &amp; Rückgabewerte'!$J$77:$J$79</xm:f>
          </x14:formula1>
          <xm:sqref>AN78:AP78</xm:sqref>
        </x14:dataValidation>
        <x14:dataValidation type="list" allowBlank="1" showInputMessage="1" showErrorMessage="1" xr:uid="{00000000-0002-0000-0300-00000F000000}">
          <x14:formula1>
            <xm:f>'Sprachen &amp; Rückgabewerte'!$J$80:$J$81</xm:f>
          </x14:formula1>
          <xm:sqref>AN79:AP79</xm:sqref>
        </x14:dataValidation>
        <x14:dataValidation type="list" allowBlank="1" showInputMessage="1" showErrorMessage="1" xr:uid="{00000000-0002-0000-0300-000010000000}">
          <x14:formula1>
            <xm:f>'Sprachen &amp; Rückgabewerte'!$J$84:$J$86</xm:f>
          </x14:formula1>
          <xm:sqref>AN80:AS80</xm:sqref>
        </x14:dataValidation>
        <x14:dataValidation type="list" allowBlank="1" showInputMessage="1" showErrorMessage="1" xr:uid="{00000000-0002-0000-0300-000011000000}">
          <x14:formula1>
            <xm:f>'Sprachen &amp; Rückgabewerte'!$J$94:$J$96</xm:f>
          </x14:formula1>
          <xm:sqref>AO55:AP55</xm:sqref>
        </x14:dataValidation>
        <x14:dataValidation type="list" showInputMessage="1" showErrorMessage="1" xr:uid="{00000000-0002-0000-0300-000012000000}">
          <x14:formula1>
            <xm:f>'Sprachen &amp; Rückgabewerte'!$B$73:$B$75</xm:f>
          </x14:formula1>
          <xm:sqref>H96:K96</xm:sqref>
        </x14:dataValidation>
        <x14:dataValidation type="list" allowBlank="1" showInputMessage="1" showErrorMessage="1" xr:uid="{00000000-0002-0000-0300-000013000000}">
          <x14:formula1>
            <xm:f>'Sprachen &amp; Rückgabewerte'!$B$9:$B$14</xm:f>
          </x14:formula1>
          <xm:sqref>F10:G10 J10:K10 N10:O10 R10:S10 V10:W10 Z10:AA10 AD10:AE10 AH10:AI10 AL10:AM10 AP10:AQ10</xm:sqref>
        </x14:dataValidation>
        <x14:dataValidation type="list" showInputMessage="1" showErrorMessage="1" xr:uid="{00000000-0002-0000-0300-000014000000}">
          <x14:formula1>
            <xm:f>'Sprachen &amp; Rückgabewerte'!$B$67:$B$69</xm:f>
          </x14:formula1>
          <xm:sqref>F72:I72 L72:O72</xm:sqref>
        </x14:dataValidation>
        <x14:dataValidation type="list" allowBlank="1" showInputMessage="1" showErrorMessage="1" xr:uid="{00000000-0002-0000-0300-000015000000}">
          <x14:formula1>
            <xm:f>'Sprachen &amp; Rückgabewerte'!$J$91:$J$93</xm:f>
          </x14:formula1>
          <xm:sqref>AM49:AP49</xm:sqref>
        </x14:dataValidation>
        <x14:dataValidation type="list" allowBlank="1" showInputMessage="1" showErrorMessage="1" xr:uid="{00000000-0002-0000-0300-000016000000}">
          <x14:formula1>
            <xm:f>'Sprachen &amp; Rückgabewerte'!$N$78:$N$80</xm:f>
          </x14:formula1>
          <xm:sqref>AE70:AL70</xm:sqref>
        </x14:dataValidation>
        <x14:dataValidation type="list" allowBlank="1" showInputMessage="1" showErrorMessage="1" xr:uid="{00000000-0002-0000-0300-000017000000}">
          <x14:formula1>
            <xm:f>'Sprachen &amp; Rückgabewerte'!$J$134:$J$136</xm:f>
          </x14:formula1>
          <xm:sqref>AX34:AY42</xm:sqref>
        </x14:dataValidation>
        <x14:dataValidation type="list" allowBlank="1" showInputMessage="1" showErrorMessage="1" xr:uid="{00000000-0002-0000-0300-000018000000}">
          <x14:formula1>
            <xm:f>'Sprachen &amp; Rückgabewerte'!$B$81:$B$84</xm:f>
          </x14:formula1>
          <xm:sqref>T104</xm:sqref>
        </x14:dataValidation>
        <x14:dataValidation type="list" allowBlank="1" showInputMessage="1" showErrorMessage="1" xr:uid="{00000000-0002-0000-0300-000019000000}">
          <x14:formula1>
            <xm:f>'Sprachen &amp; Rückgabewerte'!$J$142:$J$144</xm:f>
          </x14:formula1>
          <xm:sqref>T110</xm:sqref>
        </x14:dataValidation>
        <x14:dataValidation type="list" allowBlank="1" showInputMessage="1" showErrorMessage="1" xr:uid="{00000000-0002-0000-0300-00001A000000}">
          <x14:formula1>
            <xm:f>'Sprachen &amp; Rückgabewerte'!$J$145:$J$147</xm:f>
          </x14:formula1>
          <xm:sqref>T114</xm:sqref>
        </x14:dataValidation>
        <x14:dataValidation type="list" showInputMessage="1" showErrorMessage="1" xr:uid="{00000000-0002-0000-0300-00001B000000}">
          <x14:formula1>
            <xm:f>'Sprachen &amp; Rückgabewerte'!$R$41:$R$43</xm:f>
          </x14:formula1>
          <xm:sqref>AF11:AG11 AN11:AO11 X11:Y11 T11:U11 P11:Q11 L11:M11 AB11:AC11 AJ11:AK11 H11:I11</xm:sqref>
        </x14:dataValidation>
        <x14:dataValidation type="list" allowBlank="1" showInputMessage="1" showErrorMessage="1" xr:uid="{00000000-0002-0000-0300-00001C000000}">
          <x14:formula1>
            <xm:f>'Sprachen &amp; Rückgabewerte'!$Q$41:$Q$51</xm:f>
          </x14:formula1>
          <xm:sqref>AP74:AP76</xm:sqref>
        </x14:dataValidation>
        <x14:dataValidation type="list" allowBlank="1" showInputMessage="1" showErrorMessage="1" xr:uid="{00000000-0002-0000-0300-00001D000000}">
          <x14:formula1>
            <xm:f>'Sprachen &amp; Rückgabewerte'!$J$150:$J$153</xm:f>
          </x14:formula1>
          <xm:sqref>AW48:AX48</xm:sqref>
        </x14:dataValidation>
        <x14:dataValidation type="list" allowBlank="1" showInputMessage="1" showErrorMessage="1" xr:uid="{00000000-0002-0000-0300-00001E000000}">
          <x14:formula1>
            <xm:f>'Sprachen &amp; Rückgabewerte'!$J$87:$J$89</xm:f>
          </x14:formula1>
          <xm:sqref>AE84:AL84</xm:sqref>
        </x14:dataValidation>
        <x14:dataValidation type="list" allowBlank="1" showInputMessage="1" showErrorMessage="1" xr:uid="{00000000-0002-0000-0300-00001F000000}">
          <x14:formula1>
            <xm:f>'Sprachen &amp; Rückgabewerte'!$J$133:$J$136</xm:f>
          </x14:formula1>
          <xm:sqref>AX33:AY33</xm:sqref>
        </x14:dataValidation>
        <x14:dataValidation type="list" showInputMessage="1" showErrorMessage="1" errorTitle="SG-Typ auswählen" error="Bitte wählen Sie einen Sky-Glass Typ aus. Spezialaufbau bitte im Feld Speziell eingeben!" xr:uid="{00000000-0002-0000-0300-000020000000}">
          <x14:formula1>
            <xm:f>'Sprachen &amp; Rückgabewerte'!$AI$3:$AI$45</xm:f>
          </x14:formula1>
          <xm:sqref>AE53:AG53</xm:sqref>
        </x14:dataValidation>
        <x14:dataValidation type="list" allowBlank="1" showInputMessage="1" showErrorMessage="1" xr:uid="{00000000-0002-0000-0300-000021000000}">
          <x14:formula1>
            <xm:f>'Sprachen &amp; Rückgabewerte'!$J$174:$J$175</xm:f>
          </x14:formula1>
          <xm:sqref>AM46:AS46</xm:sqref>
        </x14:dataValidation>
        <x14:dataValidation type="list" allowBlank="1" showInputMessage="1" showErrorMessage="1" xr:uid="{00000000-0002-0000-0300-000022000000}">
          <x14:formula1>
            <xm:f>'Sprachen &amp; Rückgabewerte'!$J$177:$J$178</xm:f>
          </x14:formula1>
          <xm:sqref>AM47:AS47</xm:sqref>
        </x14:dataValidation>
        <x14:dataValidation type="list" allowBlank="1" showInputMessage="1" showErrorMessage="1" xr:uid="{00000000-0002-0000-0300-000023000000}">
          <x14:formula1>
            <xm:f>'Sprachen &amp; Rückgabewerte'!$A$28:$A$30</xm:f>
          </x14:formula1>
          <xm:sqref>F16:G17 J16:K17 N16:O17 R16:S17 V16:W17 Z16:AA17 AD16:AE17 AH16:AI17 AL16:AM17 AP16:AQ17</xm:sqref>
        </x14:dataValidation>
        <x14:dataValidation type="list" allowBlank="1" showInputMessage="1" showErrorMessage="1" xr:uid="{566B0F43-757A-4E96-83F8-4CB48B66E78A}">
          <x14:formula1>
            <xm:f>'Sprachen &amp; Rückgabewerte'!$H$95:$H$96</xm:f>
          </x14:formula1>
          <xm:sqref>AQ96:AR96</xm:sqref>
        </x14:dataValidation>
        <x14:dataValidation type="list" allowBlank="1" showInputMessage="1" showErrorMessage="1" xr:uid="{62CEB257-9558-44DC-9565-196482A1E4B2}">
          <x14:formula1>
            <xm:f>'Sprachen &amp; Rückgabewerte'!$H$191:$H$192</xm:f>
          </x14:formula1>
          <xm:sqref>V97:Y97</xm:sqref>
        </x14:dataValidation>
        <x14:dataValidation type="list" allowBlank="1" showInputMessage="1" showErrorMessage="1" xr:uid="{7F80D1E6-B77F-4C2A-BE8C-261EC3E3151C}">
          <x14:formula1>
            <xm:f>'Sprachen &amp; Rückgabewerte'!$H$198:$H$199</xm:f>
          </x14:formula1>
          <xm:sqref>AZ9:BA9</xm:sqref>
        </x14:dataValidation>
        <x14:dataValidation type="list" allowBlank="1" showInputMessage="1" showErrorMessage="1" xr:uid="{8369CD8F-9F7D-45CE-B7A1-7167AD1B938C}">
          <x14:formula1>
            <xm:f>'Sprachen &amp; Rückgabewerte'!$H$196:$H$197</xm:f>
          </x14:formula1>
          <xm:sqref>AZ10:BA10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CAB93-42F3-4C25-B135-3B952BF7864D}">
  <dimension ref="A1:AN209"/>
  <sheetViews>
    <sheetView showGridLines="0" topLeftCell="A101" zoomScale="70" zoomScaleNormal="70" workbookViewId="0">
      <selection activeCell="G120" sqref="G120"/>
    </sheetView>
  </sheetViews>
  <sheetFormatPr baseColWidth="10" defaultColWidth="11.42578125" defaultRowHeight="12.75" x14ac:dyDescent="0.2"/>
  <cols>
    <col min="1" max="1" width="19.140625" style="272" customWidth="1"/>
    <col min="2" max="2" width="16.7109375" style="272" customWidth="1"/>
    <col min="3" max="3" width="11.42578125" style="272" customWidth="1"/>
    <col min="4" max="7" width="40.7109375" style="272" customWidth="1"/>
    <col min="8" max="8" width="34.28515625" style="272" customWidth="1"/>
    <col min="9" max="9" width="30.42578125" style="272" customWidth="1"/>
    <col min="10" max="10" width="25.7109375" style="272" customWidth="1"/>
    <col min="11" max="11" width="15.5703125" style="272" customWidth="1"/>
    <col min="12" max="12" width="13.42578125" style="272" customWidth="1"/>
    <col min="13" max="13" width="16.140625" style="272" customWidth="1"/>
    <col min="14" max="17" width="11.42578125" style="272"/>
    <col min="18" max="18" width="12.5703125" style="272" customWidth="1"/>
    <col min="19" max="19" width="10.140625" style="272" customWidth="1"/>
    <col min="20" max="20" width="10.28515625" style="272" customWidth="1"/>
    <col min="21" max="21" width="21.5703125" style="272" customWidth="1"/>
    <col min="22" max="22" width="11.42578125" style="272"/>
    <col min="23" max="23" width="11.42578125" style="272" customWidth="1"/>
    <col min="24" max="26" width="11.42578125" style="272"/>
    <col min="27" max="27" width="12.28515625" style="272" customWidth="1"/>
    <col min="28" max="28" width="11.42578125" style="272"/>
    <col min="29" max="29" width="13.7109375" style="272" customWidth="1"/>
    <col min="30" max="30" width="13.5703125" style="272" customWidth="1"/>
    <col min="31" max="31" width="11.5703125" style="272" customWidth="1"/>
    <col min="32" max="33" width="11.42578125" style="272"/>
    <col min="34" max="34" width="23.7109375" style="272" customWidth="1"/>
    <col min="35" max="37" width="11.42578125" style="272"/>
    <col min="38" max="38" width="14.42578125" style="272" customWidth="1"/>
    <col min="39" max="39" width="11.42578125" style="272"/>
    <col min="40" max="40" width="13.5703125" style="272" customWidth="1"/>
    <col min="41" max="16384" width="11.42578125" style="272"/>
  </cols>
  <sheetData>
    <row r="1" spans="1:40" ht="13.5" thickBot="1" x14ac:dyDescent="0.25">
      <c r="H1" s="46" t="s">
        <v>211</v>
      </c>
      <c r="Y1" s="272" t="s">
        <v>178</v>
      </c>
      <c r="Z1" s="272" t="s">
        <v>179</v>
      </c>
      <c r="AA1" s="272" t="s">
        <v>180</v>
      </c>
      <c r="AE1" s="272" t="s">
        <v>582</v>
      </c>
      <c r="AF1" s="272" t="s">
        <v>583</v>
      </c>
      <c r="AG1" s="272" t="s">
        <v>584</v>
      </c>
      <c r="AJ1" s="309" t="str">
        <f>IF($I$125=TRUE,AE1,Y1)</f>
        <v>Ug=</v>
      </c>
      <c r="AK1" s="318" t="str">
        <f>IF($I$125=TRUE,AF1,Z1)</f>
        <v>Lt=</v>
      </c>
      <c r="AL1" s="318" t="str">
        <f>IF($I$125=TRUE,AG1,AA1)</f>
        <v>g=</v>
      </c>
    </row>
    <row r="2" spans="1:40" x14ac:dyDescent="0.2">
      <c r="B2" s="29" t="s">
        <v>175</v>
      </c>
      <c r="C2" s="30" t="s">
        <v>91</v>
      </c>
      <c r="D2" s="16" t="s">
        <v>419</v>
      </c>
      <c r="E2" s="17" t="s">
        <v>420</v>
      </c>
      <c r="F2" s="17" t="s">
        <v>421</v>
      </c>
      <c r="G2" s="18" t="s">
        <v>422</v>
      </c>
      <c r="H2" s="448" t="str">
        <f>IF($B$3=$A$3,D2,IF($B$3=$A$4,E2,IF($B$3=$A$5,F2,IF($B$3=$A$6,G2,""))))</f>
        <v>Sprache:</v>
      </c>
      <c r="I2" s="46" t="s">
        <v>191</v>
      </c>
      <c r="X2" s="34" t="s">
        <v>585</v>
      </c>
      <c r="Y2" s="370"/>
      <c r="Z2" s="370"/>
      <c r="AA2" s="370"/>
      <c r="AB2" s="370"/>
      <c r="AC2" s="371"/>
      <c r="AD2" s="34" t="s">
        <v>586</v>
      </c>
      <c r="AE2" s="370"/>
      <c r="AF2" s="370"/>
      <c r="AG2" s="370"/>
      <c r="AH2" s="371"/>
      <c r="AI2" s="34" t="s">
        <v>587</v>
      </c>
      <c r="AJ2" s="370"/>
      <c r="AK2" s="370"/>
      <c r="AL2" s="370"/>
      <c r="AM2" s="370"/>
      <c r="AN2" s="371"/>
    </row>
    <row r="3" spans="1:40" x14ac:dyDescent="0.2">
      <c r="A3" s="272">
        <v>1</v>
      </c>
      <c r="B3" s="449">
        <v>1</v>
      </c>
      <c r="C3" s="450" t="s">
        <v>92</v>
      </c>
      <c r="D3" s="451" t="s">
        <v>92</v>
      </c>
      <c r="E3" s="452" t="s">
        <v>93</v>
      </c>
      <c r="F3" s="452" t="s">
        <v>94</v>
      </c>
      <c r="G3" s="453" t="s">
        <v>95</v>
      </c>
      <c r="H3" s="448" t="str">
        <f>IF($B$3=$A$3,D3,IF($B$3=$A$4,E3,IF($B$3=$A$5,F3,IF($B$3=$A$6,G3,""))))</f>
        <v>DEUTSCH</v>
      </c>
      <c r="I3" s="454"/>
      <c r="X3" s="317" t="s">
        <v>719</v>
      </c>
      <c r="Y3" s="318">
        <v>0.5</v>
      </c>
      <c r="Z3" s="318">
        <v>73</v>
      </c>
      <c r="AA3" s="318">
        <v>54</v>
      </c>
      <c r="AB3" s="318" t="s">
        <v>740</v>
      </c>
      <c r="AC3" s="325"/>
      <c r="AD3" s="317" t="s">
        <v>719</v>
      </c>
      <c r="AE3" s="455">
        <v>0.23</v>
      </c>
      <c r="AF3" s="318">
        <v>0.41</v>
      </c>
      <c r="AG3" s="318">
        <v>0.59</v>
      </c>
      <c r="AH3" s="325" t="s">
        <v>754</v>
      </c>
      <c r="AI3" s="317" t="str">
        <f t="shared" ref="AI3:AM25" si="0">IF($I$125=TRUE,AD3,X3)</f>
        <v>SG-31</v>
      </c>
      <c r="AJ3" s="309">
        <f t="shared" si="0"/>
        <v>0.5</v>
      </c>
      <c r="AK3" s="318">
        <f t="shared" si="0"/>
        <v>73</v>
      </c>
      <c r="AL3" s="318">
        <f t="shared" si="0"/>
        <v>54</v>
      </c>
      <c r="AM3" s="318" t="str">
        <f t="shared" si="0"/>
        <v>E6/18/E6/E6</v>
      </c>
      <c r="AN3" s="325"/>
    </row>
    <row r="4" spans="1:40" x14ac:dyDescent="0.2">
      <c r="A4" s="272">
        <v>2</v>
      </c>
      <c r="B4" s="456"/>
      <c r="C4" s="457" t="s">
        <v>93</v>
      </c>
      <c r="D4" s="317" t="s">
        <v>96</v>
      </c>
      <c r="E4" s="458" t="s">
        <v>97</v>
      </c>
      <c r="F4" s="458" t="s">
        <v>98</v>
      </c>
      <c r="G4" s="459" t="s">
        <v>99</v>
      </c>
      <c r="H4" s="448" t="str">
        <f>IF($B$3=$A$3,D4,IF($B$3=$A$4,E4,IF($B$3=$A$5,F4,IF($B$3=$A$6,G4,""))))</f>
        <v>BESTELLUNG</v>
      </c>
      <c r="I4" s="454"/>
      <c r="X4" s="273" t="s">
        <v>720</v>
      </c>
      <c r="Y4" s="309">
        <v>0.6</v>
      </c>
      <c r="Z4" s="309">
        <v>72</v>
      </c>
      <c r="AA4" s="309">
        <v>53</v>
      </c>
      <c r="AB4" s="309" t="s">
        <v>741</v>
      </c>
      <c r="AC4" s="310"/>
      <c r="AD4" s="273" t="s">
        <v>720</v>
      </c>
      <c r="AE4" s="309">
        <v>0.23</v>
      </c>
      <c r="AF4" s="309">
        <v>0.4</v>
      </c>
      <c r="AG4" s="309">
        <v>0.57999999999999996</v>
      </c>
      <c r="AH4" s="310" t="s">
        <v>755</v>
      </c>
      <c r="AI4" s="273" t="str">
        <f t="shared" si="0"/>
        <v>SG-32</v>
      </c>
      <c r="AJ4" s="309">
        <f t="shared" si="0"/>
        <v>0.6</v>
      </c>
      <c r="AK4" s="309">
        <f t="shared" si="0"/>
        <v>72</v>
      </c>
      <c r="AL4" s="309">
        <f t="shared" si="0"/>
        <v>53</v>
      </c>
      <c r="AM4" s="309" t="str">
        <f t="shared" si="0"/>
        <v>E8/16/E8/14/E8</v>
      </c>
      <c r="AN4" s="310"/>
    </row>
    <row r="5" spans="1:40" x14ac:dyDescent="0.2">
      <c r="A5" s="272">
        <v>3</v>
      </c>
      <c r="B5" s="456"/>
      <c r="C5" s="457" t="s">
        <v>94</v>
      </c>
      <c r="D5" s="273" t="s">
        <v>0</v>
      </c>
      <c r="E5" s="309" t="s">
        <v>1</v>
      </c>
      <c r="F5" s="309" t="s">
        <v>101</v>
      </c>
      <c r="G5" s="310" t="s">
        <v>100</v>
      </c>
      <c r="H5" s="448" t="str">
        <f>IF($B$3=$A$3,D5,IF($B$3=$A$4,E5,IF($B$3=$A$5,F5,IF($B$3=$A$6,G5,""))))</f>
        <v>Gemäss Zeichnung Nr.:</v>
      </c>
      <c r="I5" s="454" t="b">
        <v>0</v>
      </c>
      <c r="X5" s="273" t="s">
        <v>721</v>
      </c>
      <c r="Y5" s="309">
        <v>0.6</v>
      </c>
      <c r="Z5" s="309">
        <v>73</v>
      </c>
      <c r="AA5" s="309" t="s">
        <v>823</v>
      </c>
      <c r="AB5" s="309" t="s">
        <v>742</v>
      </c>
      <c r="AC5" s="310"/>
      <c r="AD5" s="273" t="s">
        <v>721</v>
      </c>
      <c r="AE5" s="309">
        <v>0.23</v>
      </c>
      <c r="AF5" s="309">
        <v>0.41</v>
      </c>
      <c r="AG5" s="309">
        <v>0.57999999999999996</v>
      </c>
      <c r="AH5" s="310" t="s">
        <v>756</v>
      </c>
      <c r="AI5" s="273" t="str">
        <f t="shared" si="0"/>
        <v>SG-33</v>
      </c>
      <c r="AJ5" s="309">
        <f t="shared" si="0"/>
        <v>0.6</v>
      </c>
      <c r="AK5" s="309">
        <f t="shared" si="0"/>
        <v>73</v>
      </c>
      <c r="AL5" s="309" t="str">
        <f t="shared" si="0"/>
        <v>54/52</v>
      </c>
      <c r="AM5" s="309" t="str">
        <f t="shared" si="0"/>
        <v>V-W8-2/16/E6/16/E6</v>
      </c>
      <c r="AN5" s="310"/>
    </row>
    <row r="6" spans="1:40" ht="13.5" thickBot="1" x14ac:dyDescent="0.25">
      <c r="A6" s="272">
        <v>4</v>
      </c>
      <c r="B6" s="460"/>
      <c r="C6" s="461" t="s">
        <v>95</v>
      </c>
      <c r="D6" s="273" t="s">
        <v>102</v>
      </c>
      <c r="E6" s="309" t="s">
        <v>103</v>
      </c>
      <c r="F6" s="309" t="s">
        <v>104</v>
      </c>
      <c r="G6" s="310" t="s">
        <v>344</v>
      </c>
      <c r="H6" s="448" t="str">
        <f>IF($B$3=$A$3,D6,IF($B$3=$A$4,E6,IF($B$3=$A$5,F6,IF($B$3=$A$6,G6,""))))</f>
        <v>Gemäss Skizze: (Ansicht von Aussen)</v>
      </c>
      <c r="I6" s="454" t="b">
        <v>0</v>
      </c>
      <c r="X6" s="273" t="s">
        <v>723</v>
      </c>
      <c r="Y6" s="309">
        <v>0.6</v>
      </c>
      <c r="Z6" s="309">
        <v>72</v>
      </c>
      <c r="AA6" s="309" t="s">
        <v>824</v>
      </c>
      <c r="AB6" s="309" t="s">
        <v>743</v>
      </c>
      <c r="AC6" s="310"/>
      <c r="AD6" s="273" t="s">
        <v>723</v>
      </c>
      <c r="AE6" s="309">
        <v>0.23</v>
      </c>
      <c r="AF6" s="309">
        <v>0.4</v>
      </c>
      <c r="AG6" s="309">
        <v>0.56999999999999995</v>
      </c>
      <c r="AH6" s="310" t="s">
        <v>757</v>
      </c>
      <c r="AI6" s="273" t="str">
        <f t="shared" si="0"/>
        <v>SG-34</v>
      </c>
      <c r="AJ6" s="309">
        <f t="shared" si="0"/>
        <v>0.6</v>
      </c>
      <c r="AK6" s="309">
        <f t="shared" si="0"/>
        <v>72</v>
      </c>
      <c r="AL6" s="309" t="str">
        <f t="shared" si="0"/>
        <v>52/53</v>
      </c>
      <c r="AM6" s="309" t="str">
        <f t="shared" si="0"/>
        <v>V-W8-2/14/E8/14/E8</v>
      </c>
      <c r="AN6" s="310"/>
    </row>
    <row r="7" spans="1:40" ht="13.5" thickBot="1" x14ac:dyDescent="0.25">
      <c r="D7" s="273" t="s">
        <v>473</v>
      </c>
      <c r="E7" s="309" t="s">
        <v>474</v>
      </c>
      <c r="F7" s="309" t="s">
        <v>475</v>
      </c>
      <c r="G7" s="310" t="s">
        <v>476</v>
      </c>
      <c r="H7" s="448" t="str">
        <f t="shared" ref="H7:H71" si="1">IF($B$3=$A$3,D7,IF($B$3=$A$4,E7,IF($B$3=$A$5,F7,IF($B$3=$A$6,G7,""))))</f>
        <v xml:space="preserve">Objekt: </v>
      </c>
      <c r="I7" s="454"/>
      <c r="X7" s="273" t="s">
        <v>724</v>
      </c>
      <c r="Y7" s="309">
        <v>0.6</v>
      </c>
      <c r="Z7" s="309">
        <v>71</v>
      </c>
      <c r="AA7" s="309">
        <v>51</v>
      </c>
      <c r="AB7" s="309" t="s">
        <v>744</v>
      </c>
      <c r="AC7" s="310"/>
      <c r="AD7" s="273" t="s">
        <v>724</v>
      </c>
      <c r="AE7" s="309">
        <v>0.22</v>
      </c>
      <c r="AF7" s="309">
        <v>0.37</v>
      </c>
      <c r="AG7" s="309">
        <v>0.56999999999999995</v>
      </c>
      <c r="AH7" s="310" t="s">
        <v>758</v>
      </c>
      <c r="AI7" s="273" t="str">
        <f t="shared" si="0"/>
        <v>SG-35</v>
      </c>
      <c r="AJ7" s="309">
        <f t="shared" si="0"/>
        <v>0.6</v>
      </c>
      <c r="AK7" s="309">
        <f t="shared" si="0"/>
        <v>71</v>
      </c>
      <c r="AL7" s="309">
        <f t="shared" si="0"/>
        <v>51</v>
      </c>
      <c r="AM7" s="309" t="str">
        <f t="shared" si="0"/>
        <v xml:space="preserve">E6/14/V-T12-2/14/E6 </v>
      </c>
      <c r="AN7" s="310"/>
    </row>
    <row r="8" spans="1:40" x14ac:dyDescent="0.2">
      <c r="B8" s="16" t="s">
        <v>183</v>
      </c>
      <c r="C8" s="18" t="s">
        <v>187</v>
      </c>
      <c r="D8" s="273" t="s">
        <v>181</v>
      </c>
      <c r="E8" s="309" t="s">
        <v>182</v>
      </c>
      <c r="F8" s="309" t="s">
        <v>105</v>
      </c>
      <c r="G8" s="310" t="s">
        <v>106</v>
      </c>
      <c r="H8" s="448" t="str">
        <f t="shared" si="1"/>
        <v>Bestelldatum:</v>
      </c>
      <c r="I8" s="454"/>
      <c r="X8" s="273" t="s">
        <v>725</v>
      </c>
      <c r="Y8" s="309">
        <v>0.6</v>
      </c>
      <c r="Z8" s="309">
        <v>72</v>
      </c>
      <c r="AA8" s="309">
        <v>51</v>
      </c>
      <c r="AB8" s="309" t="s">
        <v>745</v>
      </c>
      <c r="AC8" s="310"/>
      <c r="AD8" s="273" t="s">
        <v>725</v>
      </c>
      <c r="AE8" s="309">
        <v>0.23</v>
      </c>
      <c r="AF8" s="309">
        <v>0.37</v>
      </c>
      <c r="AG8" s="309">
        <v>0.56999999999999995</v>
      </c>
      <c r="AH8" s="310" t="s">
        <v>759</v>
      </c>
      <c r="AI8" s="273" t="str">
        <f t="shared" si="0"/>
        <v>SG-36</v>
      </c>
      <c r="AJ8" s="309">
        <f t="shared" si="0"/>
        <v>0.6</v>
      </c>
      <c r="AK8" s="309">
        <f t="shared" si="0"/>
        <v>72</v>
      </c>
      <c r="AL8" s="309">
        <f t="shared" si="0"/>
        <v>51</v>
      </c>
      <c r="AM8" s="309" t="str">
        <f t="shared" si="0"/>
        <v>E8/14/V-W8-2/14/E8</v>
      </c>
      <c r="AN8" s="310"/>
    </row>
    <row r="9" spans="1:40" ht="13.5" thickBot="1" x14ac:dyDescent="0.25">
      <c r="B9" s="317" t="s">
        <v>868</v>
      </c>
      <c r="C9" s="363" t="s">
        <v>869</v>
      </c>
      <c r="D9" s="273" t="s">
        <v>2</v>
      </c>
      <c r="E9" s="309" t="s">
        <v>3</v>
      </c>
      <c r="F9" s="309" t="s">
        <v>4</v>
      </c>
      <c r="G9" s="310" t="s">
        <v>107</v>
      </c>
      <c r="H9" s="448" t="str">
        <f t="shared" si="1"/>
        <v>Projekt-Nr.:</v>
      </c>
      <c r="I9" s="454"/>
      <c r="X9" s="273" t="s">
        <v>726</v>
      </c>
      <c r="Y9" s="309">
        <v>0.5</v>
      </c>
      <c r="Z9" s="309">
        <v>71</v>
      </c>
      <c r="AA9" s="309" t="s">
        <v>825</v>
      </c>
      <c r="AB9" s="309" t="s">
        <v>746</v>
      </c>
      <c r="AC9" s="310"/>
      <c r="AD9" s="273" t="s">
        <v>726</v>
      </c>
      <c r="AE9" s="309">
        <v>0.22</v>
      </c>
      <c r="AF9" s="309">
        <v>0.39</v>
      </c>
      <c r="AG9" s="309">
        <v>0.56999999999999995</v>
      </c>
      <c r="AH9" s="310" t="s">
        <v>760</v>
      </c>
      <c r="AI9" s="273" t="str">
        <f t="shared" si="0"/>
        <v>SG-37</v>
      </c>
      <c r="AJ9" s="309">
        <f t="shared" si="0"/>
        <v>0.5</v>
      </c>
      <c r="AK9" s="309">
        <f t="shared" si="0"/>
        <v>71</v>
      </c>
      <c r="AL9" s="309" t="str">
        <f t="shared" si="0"/>
        <v>52/49</v>
      </c>
      <c r="AM9" s="309" t="str">
        <f t="shared" si="0"/>
        <v xml:space="preserve">V-W8-P/12/E6/12/V-T12-P </v>
      </c>
      <c r="AN9" s="310"/>
    </row>
    <row r="10" spans="1:40" x14ac:dyDescent="0.2">
      <c r="A10" s="57" t="s">
        <v>44</v>
      </c>
      <c r="B10" s="462" t="s">
        <v>184</v>
      </c>
      <c r="C10" s="463" t="s">
        <v>188</v>
      </c>
      <c r="D10" s="273" t="s">
        <v>5</v>
      </c>
      <c r="E10" s="309" t="s">
        <v>6</v>
      </c>
      <c r="F10" s="309" t="s">
        <v>7</v>
      </c>
      <c r="G10" s="310" t="s">
        <v>319</v>
      </c>
      <c r="H10" s="448" t="str">
        <f t="shared" si="1"/>
        <v>2-gleisig</v>
      </c>
      <c r="I10" s="464" t="b">
        <v>0</v>
      </c>
      <c r="X10" s="273">
        <v>0</v>
      </c>
      <c r="Y10" s="52"/>
      <c r="Z10" s="309"/>
      <c r="AA10" s="309"/>
      <c r="AB10" s="309"/>
      <c r="AC10" s="310"/>
      <c r="AD10" s="273">
        <v>0</v>
      </c>
      <c r="AE10" s="309">
        <v>0</v>
      </c>
      <c r="AF10" s="309">
        <v>0</v>
      </c>
      <c r="AG10" s="309">
        <v>0</v>
      </c>
      <c r="AH10" s="310" t="str">
        <f>$H$54</f>
        <v>Glastyp wählen</v>
      </c>
      <c r="AI10" s="273">
        <f t="shared" si="0"/>
        <v>0</v>
      </c>
      <c r="AJ10" s="309">
        <f t="shared" si="0"/>
        <v>0</v>
      </c>
      <c r="AK10" s="309">
        <f t="shared" si="0"/>
        <v>0</v>
      </c>
      <c r="AL10" s="309">
        <f t="shared" si="0"/>
        <v>0</v>
      </c>
      <c r="AM10" s="309">
        <f t="shared" si="0"/>
        <v>0</v>
      </c>
      <c r="AN10" s="310"/>
    </row>
    <row r="11" spans="1:40" x14ac:dyDescent="0.2">
      <c r="A11" s="465"/>
      <c r="B11" s="466" t="s">
        <v>185</v>
      </c>
      <c r="C11" s="467" t="s">
        <v>189</v>
      </c>
      <c r="D11" s="273" t="s">
        <v>8</v>
      </c>
      <c r="E11" s="309" t="s">
        <v>9</v>
      </c>
      <c r="F11" s="309" t="s">
        <v>816</v>
      </c>
      <c r="G11" s="310" t="s">
        <v>320</v>
      </c>
      <c r="H11" s="448" t="str">
        <f t="shared" si="1"/>
        <v>3-gleisig</v>
      </c>
      <c r="I11" s="464" t="b">
        <v>0</v>
      </c>
      <c r="X11" s="273" t="s">
        <v>727</v>
      </c>
      <c r="Y11" s="309">
        <v>0.5</v>
      </c>
      <c r="Z11" s="309">
        <v>64</v>
      </c>
      <c r="AA11" s="309">
        <v>45</v>
      </c>
      <c r="AB11" s="318" t="s">
        <v>740</v>
      </c>
      <c r="AC11" s="310"/>
      <c r="AD11" s="273" t="s">
        <v>727</v>
      </c>
      <c r="AE11" s="309">
        <v>0.23</v>
      </c>
      <c r="AF11" s="309">
        <v>0.35</v>
      </c>
      <c r="AG11" s="309">
        <v>0.52</v>
      </c>
      <c r="AH11" s="310" t="s">
        <v>761</v>
      </c>
      <c r="AI11" s="273" t="str">
        <f t="shared" si="0"/>
        <v>SG-41</v>
      </c>
      <c r="AJ11" s="309">
        <f t="shared" si="0"/>
        <v>0.5</v>
      </c>
      <c r="AK11" s="309">
        <f t="shared" si="0"/>
        <v>64</v>
      </c>
      <c r="AL11" s="309">
        <f t="shared" si="0"/>
        <v>45</v>
      </c>
      <c r="AM11" s="309" t="str">
        <f t="shared" si="0"/>
        <v>E6/18/E6/E6</v>
      </c>
      <c r="AN11" s="310"/>
    </row>
    <row r="12" spans="1:40" x14ac:dyDescent="0.2">
      <c r="A12" s="448" t="s">
        <v>177</v>
      </c>
      <c r="B12" s="466" t="s">
        <v>186</v>
      </c>
      <c r="C12" s="467" t="s">
        <v>190</v>
      </c>
      <c r="D12" s="273" t="s">
        <v>10</v>
      </c>
      <c r="E12" s="309" t="s">
        <v>11</v>
      </c>
      <c r="F12" s="309" t="s">
        <v>817</v>
      </c>
      <c r="G12" s="310" t="s">
        <v>321</v>
      </c>
      <c r="H12" s="448" t="str">
        <f t="shared" si="1"/>
        <v>4-gleisig</v>
      </c>
      <c r="I12" s="464" t="b">
        <f>IF(AND(I11=TRUE,'Pos. 2'!AT5=1),TRUE,FALSE)</f>
        <v>0</v>
      </c>
      <c r="X12" s="273" t="s">
        <v>728</v>
      </c>
      <c r="Y12" s="309">
        <v>0.6</v>
      </c>
      <c r="Z12" s="309">
        <v>63</v>
      </c>
      <c r="AA12" s="309">
        <v>45</v>
      </c>
      <c r="AB12" s="309" t="s">
        <v>741</v>
      </c>
      <c r="AC12" s="310"/>
      <c r="AD12" s="273" t="s">
        <v>728</v>
      </c>
      <c r="AE12" s="309">
        <v>0.23</v>
      </c>
      <c r="AF12" s="309">
        <v>0.34</v>
      </c>
      <c r="AG12" s="309">
        <v>0.51</v>
      </c>
      <c r="AH12" s="310" t="s">
        <v>763</v>
      </c>
      <c r="AI12" s="273" t="str">
        <f t="shared" si="0"/>
        <v>SG-42</v>
      </c>
      <c r="AJ12" s="309">
        <f t="shared" si="0"/>
        <v>0.6</v>
      </c>
      <c r="AK12" s="309">
        <f t="shared" si="0"/>
        <v>63</v>
      </c>
      <c r="AL12" s="309">
        <f t="shared" si="0"/>
        <v>45</v>
      </c>
      <c r="AM12" s="309" t="str">
        <f t="shared" si="0"/>
        <v>E8/16/E8/14/E8</v>
      </c>
      <c r="AN12" s="310"/>
    </row>
    <row r="13" spans="1:40" x14ac:dyDescent="0.2">
      <c r="A13" s="448" t="s">
        <v>222</v>
      </c>
      <c r="B13" s="468" t="s">
        <v>416</v>
      </c>
      <c r="C13" s="469" t="s">
        <v>415</v>
      </c>
      <c r="D13" s="273" t="s">
        <v>12</v>
      </c>
      <c r="E13" s="309" t="s">
        <v>13</v>
      </c>
      <c r="F13" s="309" t="s">
        <v>14</v>
      </c>
      <c r="G13" s="310" t="s">
        <v>108</v>
      </c>
      <c r="H13" s="448" t="str">
        <f t="shared" si="1"/>
        <v>Teilung Achsmasse</v>
      </c>
      <c r="I13" s="454" t="b">
        <v>0</v>
      </c>
      <c r="X13" s="273" t="s">
        <v>729</v>
      </c>
      <c r="Y13" s="309">
        <v>0.5</v>
      </c>
      <c r="Z13" s="309">
        <v>64</v>
      </c>
      <c r="AA13" s="309" t="s">
        <v>828</v>
      </c>
      <c r="AB13" s="309" t="s">
        <v>742</v>
      </c>
      <c r="AC13" s="310"/>
      <c r="AD13" s="273" t="s">
        <v>729</v>
      </c>
      <c r="AE13" s="309">
        <v>0.22</v>
      </c>
      <c r="AF13" s="309">
        <v>0.35</v>
      </c>
      <c r="AG13" s="309">
        <v>0.51</v>
      </c>
      <c r="AH13" s="310" t="s">
        <v>762</v>
      </c>
      <c r="AI13" s="273" t="str">
        <f t="shared" si="0"/>
        <v>SG-43</v>
      </c>
      <c r="AJ13" s="309">
        <f t="shared" si="0"/>
        <v>0.5</v>
      </c>
      <c r="AK13" s="309">
        <f t="shared" si="0"/>
        <v>64</v>
      </c>
      <c r="AL13" s="309" t="str">
        <f t="shared" si="0"/>
        <v>44/46</v>
      </c>
      <c r="AM13" s="309" t="str">
        <f t="shared" si="0"/>
        <v>V-W8-2/16/E6/16/E6</v>
      </c>
      <c r="AN13" s="310"/>
    </row>
    <row r="14" spans="1:40" ht="13.5" thickBot="1" x14ac:dyDescent="0.25">
      <c r="A14" s="448" t="s">
        <v>221</v>
      </c>
      <c r="B14" s="377" t="s">
        <v>417</v>
      </c>
      <c r="C14" s="470" t="s">
        <v>414</v>
      </c>
      <c r="D14" s="273" t="s">
        <v>110</v>
      </c>
      <c r="E14" s="309" t="s">
        <v>109</v>
      </c>
      <c r="F14" s="5" t="s">
        <v>15</v>
      </c>
      <c r="G14" s="59" t="s">
        <v>345</v>
      </c>
      <c r="H14" s="448" t="str">
        <f t="shared" si="1"/>
        <v>alle Gläser gleiche Breite (Empfehlung)</v>
      </c>
      <c r="I14" s="454" t="b">
        <v>0</v>
      </c>
      <c r="X14" s="273" t="s">
        <v>722</v>
      </c>
      <c r="Y14" s="309">
        <v>0.6</v>
      </c>
      <c r="Z14" s="309">
        <v>64</v>
      </c>
      <c r="AA14" s="309" t="s">
        <v>827</v>
      </c>
      <c r="AB14" s="309" t="s">
        <v>743</v>
      </c>
      <c r="AC14" s="310"/>
      <c r="AD14" s="273" t="s">
        <v>722</v>
      </c>
      <c r="AE14" s="309">
        <v>0.23</v>
      </c>
      <c r="AF14" s="309">
        <v>0.34</v>
      </c>
      <c r="AG14" s="309">
        <v>0.5</v>
      </c>
      <c r="AH14" s="310" t="s">
        <v>764</v>
      </c>
      <c r="AI14" s="273" t="str">
        <f t="shared" si="0"/>
        <v>SG-44</v>
      </c>
      <c r="AJ14" s="309">
        <f t="shared" si="0"/>
        <v>0.6</v>
      </c>
      <c r="AK14" s="309">
        <f t="shared" si="0"/>
        <v>64</v>
      </c>
      <c r="AL14" s="309" t="str">
        <f t="shared" si="0"/>
        <v>43/45</v>
      </c>
      <c r="AM14" s="309" t="str">
        <f t="shared" si="0"/>
        <v>V-W8-2/14/E8/14/E8</v>
      </c>
      <c r="AN14" s="310"/>
    </row>
    <row r="15" spans="1:40" x14ac:dyDescent="0.2">
      <c r="A15" s="448" t="s">
        <v>223</v>
      </c>
      <c r="B15" s="85" t="s">
        <v>194</v>
      </c>
      <c r="C15" s="35"/>
      <c r="D15" s="273" t="s">
        <v>16</v>
      </c>
      <c r="E15" s="309" t="s">
        <v>16</v>
      </c>
      <c r="F15" s="309" t="s">
        <v>16</v>
      </c>
      <c r="G15" s="310" t="s">
        <v>16</v>
      </c>
      <c r="H15" s="448" t="str">
        <f t="shared" si="1"/>
        <v>Standard</v>
      </c>
      <c r="I15" s="454" t="b">
        <v>0</v>
      </c>
      <c r="X15" s="273" t="s">
        <v>730</v>
      </c>
      <c r="Y15" s="309">
        <v>0.6</v>
      </c>
      <c r="Z15" s="309">
        <v>63</v>
      </c>
      <c r="AA15" s="309">
        <v>43</v>
      </c>
      <c r="AB15" s="309" t="s">
        <v>744</v>
      </c>
      <c r="AC15" s="310"/>
      <c r="AD15" s="273" t="s">
        <v>730</v>
      </c>
      <c r="AE15" s="309">
        <v>0.22</v>
      </c>
      <c r="AF15" s="309">
        <v>0.31</v>
      </c>
      <c r="AG15" s="309">
        <v>0.5</v>
      </c>
      <c r="AH15" s="310" t="s">
        <v>765</v>
      </c>
      <c r="AI15" s="273" t="str">
        <f t="shared" si="0"/>
        <v>SG-45</v>
      </c>
      <c r="AJ15" s="309">
        <f t="shared" si="0"/>
        <v>0.6</v>
      </c>
      <c r="AK15" s="309">
        <f t="shared" si="0"/>
        <v>63</v>
      </c>
      <c r="AL15" s="309">
        <f t="shared" si="0"/>
        <v>43</v>
      </c>
      <c r="AM15" s="309" t="str">
        <f t="shared" si="0"/>
        <v xml:space="preserve">E6/14/V-T12-2/14/E6 </v>
      </c>
      <c r="AN15" s="310"/>
    </row>
    <row r="16" spans="1:40" x14ac:dyDescent="0.2">
      <c r="A16" s="448" t="s">
        <v>224</v>
      </c>
      <c r="B16" s="471" t="s">
        <v>195</v>
      </c>
      <c r="C16" s="463">
        <f>IF(AND($I$20=TRUE,OR('Pos. 2'!$F$10='Sprachen &amp; Rückgabewerte(2)'!$B$10,'Pos. 2'!$F$10='Sprachen &amp; Rückgabewerte(2)'!$B$11)),1,0)</f>
        <v>0</v>
      </c>
      <c r="D16" s="273" t="s">
        <v>17</v>
      </c>
      <c r="E16" s="309" t="s">
        <v>18</v>
      </c>
      <c r="F16" s="309" t="s">
        <v>19</v>
      </c>
      <c r="G16" s="310" t="s">
        <v>322</v>
      </c>
      <c r="H16" s="448" t="str">
        <f t="shared" si="1"/>
        <v>Einbruchschutz RC2</v>
      </c>
      <c r="I16" s="454" t="b">
        <v>0</v>
      </c>
      <c r="X16" s="273" t="s">
        <v>731</v>
      </c>
      <c r="Y16" s="309">
        <v>0.6</v>
      </c>
      <c r="Z16" s="309">
        <v>61</v>
      </c>
      <c r="AA16" s="309">
        <v>43</v>
      </c>
      <c r="AB16" s="309" t="s">
        <v>745</v>
      </c>
      <c r="AC16" s="310"/>
      <c r="AD16" s="273" t="s">
        <v>731</v>
      </c>
      <c r="AE16" s="309">
        <v>0.23</v>
      </c>
      <c r="AF16" s="309">
        <v>0.31</v>
      </c>
      <c r="AG16" s="309">
        <v>0.5</v>
      </c>
      <c r="AH16" s="310" t="s">
        <v>766</v>
      </c>
      <c r="AI16" s="273" t="str">
        <f t="shared" si="0"/>
        <v>SG-46</v>
      </c>
      <c r="AJ16" s="309">
        <f t="shared" si="0"/>
        <v>0.6</v>
      </c>
      <c r="AK16" s="309">
        <f t="shared" si="0"/>
        <v>61</v>
      </c>
      <c r="AL16" s="309">
        <f t="shared" si="0"/>
        <v>43</v>
      </c>
      <c r="AM16" s="309" t="str">
        <f t="shared" si="0"/>
        <v>E8/14/V-W8-2/14/E8</v>
      </c>
      <c r="AN16" s="310"/>
    </row>
    <row r="17" spans="1:40" x14ac:dyDescent="0.2">
      <c r="A17" s="448" t="s">
        <v>225</v>
      </c>
      <c r="B17" s="466" t="s">
        <v>196</v>
      </c>
      <c r="C17" s="467">
        <f>IF(AND($I$20=TRUE,OR('Pos. 2'!$J$10='Sprachen &amp; Rückgabewerte(2)'!$B$10,'Pos. 2'!$J$10='Sprachen &amp; Rückgabewerte(2)'!$B$11)),1,0)</f>
        <v>0</v>
      </c>
      <c r="D17" s="273" t="s">
        <v>313</v>
      </c>
      <c r="E17" s="309" t="s">
        <v>20</v>
      </c>
      <c r="F17" s="309" t="s">
        <v>21</v>
      </c>
      <c r="G17" s="310" t="s">
        <v>122</v>
      </c>
      <c r="H17" s="448" t="str">
        <f t="shared" si="1"/>
        <v>Positionsüberwachung (P)</v>
      </c>
      <c r="I17" s="454" t="b">
        <v>0</v>
      </c>
      <c r="X17" s="273" t="s">
        <v>732</v>
      </c>
      <c r="Y17" s="309">
        <v>0.5</v>
      </c>
      <c r="Z17" s="309">
        <v>63</v>
      </c>
      <c r="AA17" s="309" t="s">
        <v>826</v>
      </c>
      <c r="AB17" s="309" t="s">
        <v>747</v>
      </c>
      <c r="AC17" s="310"/>
      <c r="AD17" s="273" t="s">
        <v>732</v>
      </c>
      <c r="AE17" s="309">
        <v>0.22</v>
      </c>
      <c r="AF17" s="309">
        <v>0.34</v>
      </c>
      <c r="AG17" s="309">
        <v>0.5</v>
      </c>
      <c r="AH17" s="310" t="s">
        <v>767</v>
      </c>
      <c r="AI17" s="273" t="str">
        <f t="shared" si="0"/>
        <v>SG-47</v>
      </c>
      <c r="AJ17" s="309">
        <f t="shared" si="0"/>
        <v>0.5</v>
      </c>
      <c r="AK17" s="309">
        <f t="shared" si="0"/>
        <v>63</v>
      </c>
      <c r="AL17" s="309" t="str">
        <f t="shared" si="0"/>
        <v>44/41</v>
      </c>
      <c r="AM17" s="309" t="str">
        <f t="shared" si="0"/>
        <v xml:space="preserve">V-W-8P/12/E6/12/V-T12-P </v>
      </c>
      <c r="AN17" s="310"/>
    </row>
    <row r="18" spans="1:40" x14ac:dyDescent="0.2">
      <c r="A18" s="448" t="s">
        <v>226</v>
      </c>
      <c r="B18" s="466" t="s">
        <v>197</v>
      </c>
      <c r="C18" s="467">
        <f>IF(AND($I$20=TRUE,OR('Pos. 2'!$N$10='Sprachen &amp; Rückgabewerte(2)'!$B$10,'Pos. 2'!$N$10='Sprachen &amp; Rückgabewerte(2)'!$B$11)),1,0)</f>
        <v>0</v>
      </c>
      <c r="D18" s="273" t="s">
        <v>314</v>
      </c>
      <c r="E18" s="309" t="s">
        <v>22</v>
      </c>
      <c r="F18" s="309" t="s">
        <v>315</v>
      </c>
      <c r="G18" s="310" t="s">
        <v>123</v>
      </c>
      <c r="H18" s="448" t="str">
        <f t="shared" si="1"/>
        <v xml:space="preserve">Riegelüberwachung (R) </v>
      </c>
      <c r="I18" s="454" t="b">
        <v>0</v>
      </c>
      <c r="X18" s="273">
        <v>0</v>
      </c>
      <c r="Y18" s="309"/>
      <c r="Z18" s="309"/>
      <c r="AA18" s="309"/>
      <c r="AB18" s="309"/>
      <c r="AC18" s="310"/>
      <c r="AD18" s="273">
        <v>0</v>
      </c>
      <c r="AE18" s="309">
        <v>0</v>
      </c>
      <c r="AF18" s="309">
        <v>0</v>
      </c>
      <c r="AG18" s="309">
        <v>0</v>
      </c>
      <c r="AH18" s="310" t="str">
        <f>$H$54</f>
        <v>Glastyp wählen</v>
      </c>
      <c r="AI18" s="273">
        <f t="shared" si="0"/>
        <v>0</v>
      </c>
      <c r="AJ18" s="309">
        <f t="shared" si="0"/>
        <v>0</v>
      </c>
      <c r="AK18" s="309">
        <f t="shared" si="0"/>
        <v>0</v>
      </c>
      <c r="AL18" s="309">
        <f t="shared" si="0"/>
        <v>0</v>
      </c>
      <c r="AM18" s="309">
        <f t="shared" si="0"/>
        <v>0</v>
      </c>
      <c r="AN18" s="310"/>
    </row>
    <row r="19" spans="1:40" x14ac:dyDescent="0.2">
      <c r="A19" s="448"/>
      <c r="B19" s="466" t="s">
        <v>198</v>
      </c>
      <c r="C19" s="467">
        <f>IF(AND($I$20=TRUE,OR('Pos. 2'!$R$10='Sprachen &amp; Rückgabewerte(2)'!$B$10,'Pos. 2'!$R$10='Sprachen &amp; Rückgabewerte(2)'!$B$11)),1,0)</f>
        <v>0</v>
      </c>
      <c r="D19" s="273" t="s">
        <v>316</v>
      </c>
      <c r="E19" s="309" t="s">
        <v>23</v>
      </c>
      <c r="F19" s="309" t="s">
        <v>24</v>
      </c>
      <c r="G19" s="310" t="s">
        <v>121</v>
      </c>
      <c r="H19" s="448" t="str">
        <f t="shared" si="1"/>
        <v>Glasbruchüberwachung (G)</v>
      </c>
      <c r="I19" s="454" t="b">
        <v>0</v>
      </c>
      <c r="X19" s="273" t="s">
        <v>733</v>
      </c>
      <c r="Y19" s="309">
        <v>0.5</v>
      </c>
      <c r="Z19" s="309">
        <v>55</v>
      </c>
      <c r="AA19" s="309">
        <v>33</v>
      </c>
      <c r="AB19" s="318" t="s">
        <v>740</v>
      </c>
      <c r="AC19" s="310"/>
      <c r="AD19" s="273" t="s">
        <v>733</v>
      </c>
      <c r="AE19" s="309">
        <v>0.23</v>
      </c>
      <c r="AF19" s="309">
        <v>0.28999999999999998</v>
      </c>
      <c r="AG19" s="309">
        <v>0.46</v>
      </c>
      <c r="AH19" s="310" t="s">
        <v>768</v>
      </c>
      <c r="AI19" s="273" t="str">
        <f t="shared" si="0"/>
        <v>SG-51</v>
      </c>
      <c r="AJ19" s="309">
        <f t="shared" si="0"/>
        <v>0.5</v>
      </c>
      <c r="AK19" s="309">
        <f t="shared" si="0"/>
        <v>55</v>
      </c>
      <c r="AL19" s="309">
        <f t="shared" si="0"/>
        <v>33</v>
      </c>
      <c r="AM19" s="309" t="str">
        <f t="shared" si="0"/>
        <v>E6/18/E6/E6</v>
      </c>
      <c r="AN19" s="310"/>
    </row>
    <row r="20" spans="1:40" x14ac:dyDescent="0.2">
      <c r="A20" s="448" t="s">
        <v>227</v>
      </c>
      <c r="B20" s="466" t="s">
        <v>199</v>
      </c>
      <c r="C20" s="467">
        <f>IF(AND($I$20=TRUE,OR('Pos. 2'!$V$10='Sprachen &amp; Rückgabewerte(2)'!$B$10,'Pos. 2'!$V$10='Sprachen &amp; Rückgabewerte(2)'!$B$11)),1,0)</f>
        <v>0</v>
      </c>
      <c r="D20" s="273" t="s">
        <v>25</v>
      </c>
      <c r="E20" s="309" t="s">
        <v>192</v>
      </c>
      <c r="F20" s="309" t="s">
        <v>26</v>
      </c>
      <c r="G20" s="310" t="s">
        <v>124</v>
      </c>
      <c r="H20" s="448" t="str">
        <f t="shared" si="1"/>
        <v>Elektrischer Antrieb, Anzahl</v>
      </c>
      <c r="I20" s="454" t="b">
        <v>0</v>
      </c>
      <c r="X20" s="273" t="s">
        <v>734</v>
      </c>
      <c r="Y20" s="309">
        <v>0.6</v>
      </c>
      <c r="Z20" s="309">
        <v>54</v>
      </c>
      <c r="AA20" s="309">
        <v>33</v>
      </c>
      <c r="AB20" s="309" t="s">
        <v>741</v>
      </c>
      <c r="AC20" s="310"/>
      <c r="AD20" s="273" t="s">
        <v>734</v>
      </c>
      <c r="AE20" s="309">
        <v>0.23</v>
      </c>
      <c r="AF20" s="309">
        <v>0.28000000000000003</v>
      </c>
      <c r="AG20" s="309">
        <v>0.46</v>
      </c>
      <c r="AH20" s="310" t="s">
        <v>769</v>
      </c>
      <c r="AI20" s="273" t="str">
        <f t="shared" si="0"/>
        <v>SG-52</v>
      </c>
      <c r="AJ20" s="309">
        <f t="shared" si="0"/>
        <v>0.6</v>
      </c>
      <c r="AK20" s="309">
        <f t="shared" si="0"/>
        <v>54</v>
      </c>
      <c r="AL20" s="309">
        <f t="shared" si="0"/>
        <v>33</v>
      </c>
      <c r="AM20" s="309" t="str">
        <f t="shared" si="0"/>
        <v>E8/16/E8/14/E8</v>
      </c>
      <c r="AN20" s="310"/>
    </row>
    <row r="21" spans="1:40" x14ac:dyDescent="0.2">
      <c r="A21" s="448" t="s">
        <v>228</v>
      </c>
      <c r="B21" s="466" t="s">
        <v>200</v>
      </c>
      <c r="C21" s="467">
        <f>IF(AND($I$20=TRUE,OR('Pos. 2'!$Z$10='Sprachen &amp; Rückgabewerte(2)'!$B$10,'Pos. 2'!$Z$10='Sprachen &amp; Rückgabewerte(2)'!$B$11)),1,0)</f>
        <v>0</v>
      </c>
      <c r="D21" s="273" t="s">
        <v>27</v>
      </c>
      <c r="E21" s="309" t="s">
        <v>692</v>
      </c>
      <c r="F21" s="309" t="s">
        <v>28</v>
      </c>
      <c r="G21" s="310" t="s">
        <v>125</v>
      </c>
      <c r="H21" s="448" t="str">
        <f t="shared" si="1"/>
        <v>Stk.</v>
      </c>
      <c r="I21" s="454"/>
      <c r="X21" s="273" t="s">
        <v>735</v>
      </c>
      <c r="Y21" s="309">
        <v>0.5</v>
      </c>
      <c r="Z21" s="309">
        <v>55</v>
      </c>
      <c r="AA21" s="309" t="s">
        <v>831</v>
      </c>
      <c r="AB21" s="309" t="s">
        <v>742</v>
      </c>
      <c r="AC21" s="310"/>
      <c r="AD21" s="273" t="s">
        <v>735</v>
      </c>
      <c r="AE21" s="309">
        <v>0.23</v>
      </c>
      <c r="AF21" s="309">
        <v>0.28999999999999998</v>
      </c>
      <c r="AG21" s="309">
        <v>0.45</v>
      </c>
      <c r="AH21" s="310" t="s">
        <v>770</v>
      </c>
      <c r="AI21" s="273" t="str">
        <f t="shared" si="0"/>
        <v>SG-53</v>
      </c>
      <c r="AJ21" s="309">
        <f t="shared" si="0"/>
        <v>0.5</v>
      </c>
      <c r="AK21" s="309">
        <f t="shared" si="0"/>
        <v>55</v>
      </c>
      <c r="AL21" s="309" t="str">
        <f t="shared" si="0"/>
        <v>32/34</v>
      </c>
      <c r="AM21" s="309" t="str">
        <f t="shared" si="0"/>
        <v>V-W8-2/16/E6/16/E6</v>
      </c>
      <c r="AN21" s="310"/>
    </row>
    <row r="22" spans="1:40" x14ac:dyDescent="0.2">
      <c r="A22" s="448"/>
      <c r="B22" s="466" t="s">
        <v>201</v>
      </c>
      <c r="C22" s="467">
        <f>IF(AND($I$20=TRUE,OR('Pos. 2'!$AD$10='Sprachen &amp; Rückgabewerte(2)'!$B$10,'Pos. 2'!$AD$10='Sprachen &amp; Rückgabewerte(2)'!$B$11)),1,0)</f>
        <v>0</v>
      </c>
      <c r="D22" s="273" t="s">
        <v>29</v>
      </c>
      <c r="E22" s="309" t="s">
        <v>312</v>
      </c>
      <c r="F22" s="309" t="s">
        <v>311</v>
      </c>
      <c r="G22" s="310" t="s">
        <v>468</v>
      </c>
      <c r="H22" s="448" t="str">
        <f t="shared" si="1"/>
        <v>geforderte Klassen:</v>
      </c>
      <c r="I22" s="454" t="b">
        <v>0</v>
      </c>
      <c r="X22" s="273" t="s">
        <v>736</v>
      </c>
      <c r="Y22" s="309">
        <v>0.6</v>
      </c>
      <c r="Z22" s="309">
        <v>54</v>
      </c>
      <c r="AA22" s="309" t="s">
        <v>830</v>
      </c>
      <c r="AB22" s="309" t="s">
        <v>743</v>
      </c>
      <c r="AC22" s="310"/>
      <c r="AD22" s="273" t="s">
        <v>736</v>
      </c>
      <c r="AE22" s="309">
        <v>0.23</v>
      </c>
      <c r="AF22" s="309">
        <v>0.28000000000000003</v>
      </c>
      <c r="AG22" s="309">
        <v>0.45</v>
      </c>
      <c r="AH22" s="310" t="s">
        <v>771</v>
      </c>
      <c r="AI22" s="273" t="str">
        <f t="shared" si="0"/>
        <v>SG-54</v>
      </c>
      <c r="AJ22" s="309">
        <f t="shared" si="0"/>
        <v>0.6</v>
      </c>
      <c r="AK22" s="309">
        <f t="shared" si="0"/>
        <v>54</v>
      </c>
      <c r="AL22" s="309" t="str">
        <f t="shared" si="0"/>
        <v>31/33</v>
      </c>
      <c r="AM22" s="309" t="str">
        <f t="shared" si="0"/>
        <v>V-W8-2/14/E8/14/E8</v>
      </c>
      <c r="AN22" s="310"/>
    </row>
    <row r="23" spans="1:40" x14ac:dyDescent="0.2">
      <c r="A23" s="368">
        <v>1</v>
      </c>
      <c r="B23" s="466" t="s">
        <v>202</v>
      </c>
      <c r="C23" s="467">
        <f>IF(AND($I$20=TRUE,OR('Pos. 2'!$AH$10='Sprachen &amp; Rückgabewerte(2)'!$B$10,'Pos. 2'!$AH$10='Sprachen &amp; Rückgabewerte(2)'!$B$11)),1,0)</f>
        <v>0</v>
      </c>
      <c r="D23" s="6" t="s">
        <v>118</v>
      </c>
      <c r="E23" s="7" t="s">
        <v>119</v>
      </c>
      <c r="F23" s="7" t="s">
        <v>120</v>
      </c>
      <c r="G23" s="8" t="s">
        <v>323</v>
      </c>
      <c r="H23" s="448" t="str">
        <f t="shared" si="1"/>
        <v>(Schlagregen, Luftdurchlässigkeit)</v>
      </c>
      <c r="I23" s="454"/>
      <c r="X23" s="273" t="s">
        <v>737</v>
      </c>
      <c r="Y23" s="309">
        <v>0.6</v>
      </c>
      <c r="Z23" s="309">
        <v>53</v>
      </c>
      <c r="AA23" s="309">
        <v>25</v>
      </c>
      <c r="AB23" s="309" t="s">
        <v>744</v>
      </c>
      <c r="AC23" s="310"/>
      <c r="AD23" s="273" t="s">
        <v>737</v>
      </c>
      <c r="AE23" s="309">
        <v>0.22</v>
      </c>
      <c r="AF23" s="309">
        <v>0.23</v>
      </c>
      <c r="AG23" s="309">
        <v>0.45</v>
      </c>
      <c r="AH23" s="310" t="s">
        <v>772</v>
      </c>
      <c r="AI23" s="273" t="str">
        <f t="shared" si="0"/>
        <v>SG-55</v>
      </c>
      <c r="AJ23" s="309">
        <f t="shared" si="0"/>
        <v>0.6</v>
      </c>
      <c r="AK23" s="309">
        <f t="shared" si="0"/>
        <v>53</v>
      </c>
      <c r="AL23" s="309">
        <f t="shared" si="0"/>
        <v>25</v>
      </c>
      <c r="AM23" s="309" t="str">
        <f t="shared" si="0"/>
        <v xml:space="preserve">E6/14/V-T12-2/14/E6 </v>
      </c>
      <c r="AN23" s="310"/>
    </row>
    <row r="24" spans="1:40" ht="13.5" thickBot="1" x14ac:dyDescent="0.25">
      <c r="A24" s="472">
        <v>2</v>
      </c>
      <c r="B24" s="466" t="s">
        <v>203</v>
      </c>
      <c r="C24" s="467">
        <f>IF(AND($I$20=TRUE,OR('Pos. 2'!$AL$10='Sprachen &amp; Rückgabewerte(2)'!$B$10,'Pos. 2'!$AL$10='Sprachen &amp; Rückgabewerte(2)'!$B$11)),1,0)</f>
        <v>0</v>
      </c>
      <c r="D24" s="273" t="s">
        <v>111</v>
      </c>
      <c r="E24" s="309" t="s">
        <v>112</v>
      </c>
      <c r="F24" s="309" t="s">
        <v>113</v>
      </c>
      <c r="G24" s="310" t="s">
        <v>114</v>
      </c>
      <c r="H24" s="448" t="str">
        <f t="shared" si="1"/>
        <v>Speziell:</v>
      </c>
      <c r="I24" s="454"/>
      <c r="X24" s="273" t="s">
        <v>738</v>
      </c>
      <c r="Y24" s="309">
        <v>0.6</v>
      </c>
      <c r="Z24" s="309">
        <v>54</v>
      </c>
      <c r="AA24" s="309">
        <v>26</v>
      </c>
      <c r="AB24" s="309" t="s">
        <v>745</v>
      </c>
      <c r="AC24" s="310"/>
      <c r="AD24" s="273" t="s">
        <v>738</v>
      </c>
      <c r="AE24" s="309">
        <v>0.23</v>
      </c>
      <c r="AF24" s="309">
        <v>0.23</v>
      </c>
      <c r="AG24" s="309">
        <v>0.45</v>
      </c>
      <c r="AH24" s="310" t="s">
        <v>773</v>
      </c>
      <c r="AI24" s="273" t="str">
        <f t="shared" si="0"/>
        <v>SG-56</v>
      </c>
      <c r="AJ24" s="309">
        <f t="shared" si="0"/>
        <v>0.6</v>
      </c>
      <c r="AK24" s="309">
        <f t="shared" si="0"/>
        <v>54</v>
      </c>
      <c r="AL24" s="309">
        <f t="shared" si="0"/>
        <v>26</v>
      </c>
      <c r="AM24" s="309" t="str">
        <f t="shared" si="0"/>
        <v>E8/14/V-W8-2/14/E8</v>
      </c>
      <c r="AN24" s="310"/>
    </row>
    <row r="25" spans="1:40" ht="13.5" thickBot="1" x14ac:dyDescent="0.25">
      <c r="B25" s="473" t="s">
        <v>204</v>
      </c>
      <c r="C25" s="470">
        <f>IF(AND($I$20=TRUE,OR('Pos. 2'!$AP$10='Sprachen &amp; Rückgabewerte(2)'!$B$10,'Pos. 2'!$AP$10='Sprachen &amp; Rückgabewerte(2)'!$B$11)),1,0)</f>
        <v>0</v>
      </c>
      <c r="D25" s="273" t="s">
        <v>30</v>
      </c>
      <c r="E25" s="309" t="s">
        <v>30</v>
      </c>
      <c r="F25" s="309" t="s">
        <v>30</v>
      </c>
      <c r="G25" s="310" t="s">
        <v>30</v>
      </c>
      <c r="H25" s="448" t="str">
        <f t="shared" si="1"/>
        <v>Pool</v>
      </c>
      <c r="I25" s="454" t="b">
        <v>0</v>
      </c>
      <c r="X25" s="273" t="s">
        <v>739</v>
      </c>
      <c r="Y25" s="309">
        <v>0.5</v>
      </c>
      <c r="Z25" s="309">
        <v>53</v>
      </c>
      <c r="AA25" s="309" t="s">
        <v>829</v>
      </c>
      <c r="AB25" s="309" t="s">
        <v>747</v>
      </c>
      <c r="AC25" s="310"/>
      <c r="AD25" s="273" t="s">
        <v>739</v>
      </c>
      <c r="AE25" s="309">
        <v>0.22</v>
      </c>
      <c r="AF25" s="309">
        <v>0.28000000000000003</v>
      </c>
      <c r="AG25" s="309">
        <v>0.45</v>
      </c>
      <c r="AH25" s="310" t="s">
        <v>774</v>
      </c>
      <c r="AI25" s="474" t="str">
        <f t="shared" si="0"/>
        <v>SG-57</v>
      </c>
      <c r="AJ25" s="475">
        <f t="shared" si="0"/>
        <v>0.5</v>
      </c>
      <c r="AK25" s="475">
        <f t="shared" si="0"/>
        <v>53</v>
      </c>
      <c r="AL25" s="475" t="str">
        <f t="shared" si="0"/>
        <v>32/31</v>
      </c>
      <c r="AM25" s="475" t="str">
        <f t="shared" si="0"/>
        <v xml:space="preserve">V-W-8P/12/E6/12/V-T12-P </v>
      </c>
      <c r="AN25" s="476"/>
    </row>
    <row r="26" spans="1:40" ht="13.5" thickBot="1" x14ac:dyDescent="0.25">
      <c r="D26" s="273" t="s">
        <v>115</v>
      </c>
      <c r="E26" s="309" t="s">
        <v>707</v>
      </c>
      <c r="F26" s="309" t="s">
        <v>708</v>
      </c>
      <c r="G26" s="310" t="s">
        <v>324</v>
      </c>
      <c r="H26" s="448" t="str">
        <f t="shared" si="1"/>
        <v>Schallschutz</v>
      </c>
      <c r="I26" s="454" t="b">
        <v>0</v>
      </c>
      <c r="X26" s="273">
        <v>0</v>
      </c>
      <c r="Y26" s="309">
        <v>0</v>
      </c>
      <c r="Z26" s="309">
        <v>0</v>
      </c>
      <c r="AA26" s="309">
        <v>0</v>
      </c>
      <c r="AB26" s="309" t="str">
        <f>$H$54</f>
        <v>Glastyp wählen</v>
      </c>
      <c r="AC26" s="310"/>
      <c r="AD26" s="326">
        <v>0</v>
      </c>
      <c r="AE26" s="477">
        <v>0</v>
      </c>
      <c r="AF26" s="477">
        <v>0</v>
      </c>
      <c r="AG26" s="477">
        <v>0</v>
      </c>
      <c r="AH26" s="310" t="str">
        <f>$H$54</f>
        <v>Glastyp wählen</v>
      </c>
      <c r="AI26" s="273">
        <f t="shared" ref="AI26:AM41" si="2">IF($I$125=TRUE,AD26,X26)</f>
        <v>0</v>
      </c>
      <c r="AJ26" s="309">
        <f t="shared" si="2"/>
        <v>0</v>
      </c>
      <c r="AK26" s="309">
        <f t="shared" si="2"/>
        <v>0</v>
      </c>
      <c r="AL26" s="309">
        <f t="shared" si="2"/>
        <v>0</v>
      </c>
      <c r="AM26" s="309" t="str">
        <f t="shared" si="2"/>
        <v>Glastyp wählen</v>
      </c>
      <c r="AN26" s="310"/>
    </row>
    <row r="27" spans="1:40" x14ac:dyDescent="0.2">
      <c r="A27" s="57" t="s">
        <v>885</v>
      </c>
      <c r="B27" s="34" t="s">
        <v>205</v>
      </c>
      <c r="C27" s="371"/>
      <c r="D27" s="273" t="s">
        <v>116</v>
      </c>
      <c r="E27" s="309" t="s">
        <v>116</v>
      </c>
      <c r="F27" s="309" t="s">
        <v>116</v>
      </c>
      <c r="G27" s="310" t="s">
        <v>116</v>
      </c>
      <c r="H27" s="448" t="str">
        <f t="shared" si="1"/>
        <v>MINERGIE Modul</v>
      </c>
      <c r="I27" s="454" t="b">
        <v>0</v>
      </c>
      <c r="X27" s="273" t="s">
        <v>789</v>
      </c>
      <c r="Y27" s="309">
        <v>1.1000000000000001</v>
      </c>
      <c r="Z27" s="309">
        <v>79</v>
      </c>
      <c r="AA27" s="309">
        <v>61</v>
      </c>
      <c r="AB27" s="309" t="s">
        <v>805</v>
      </c>
      <c r="AC27" s="310"/>
      <c r="AD27" s="326" t="s">
        <v>775</v>
      </c>
      <c r="AE27" s="477">
        <v>0.23</v>
      </c>
      <c r="AF27" s="477">
        <v>0.26</v>
      </c>
      <c r="AG27" s="477">
        <v>0.38</v>
      </c>
      <c r="AH27" s="310" t="s">
        <v>776</v>
      </c>
      <c r="AI27" s="273" t="str">
        <f t="shared" si="2"/>
        <v>SG-61</v>
      </c>
      <c r="AJ27" s="309">
        <f t="shared" si="2"/>
        <v>1.1000000000000001</v>
      </c>
      <c r="AK27" s="309">
        <f t="shared" si="2"/>
        <v>79</v>
      </c>
      <c r="AL27" s="309">
        <f t="shared" si="2"/>
        <v>61</v>
      </c>
      <c r="AM27" s="309" t="str">
        <f t="shared" si="2"/>
        <v>E10/18/E10</v>
      </c>
      <c r="AN27" s="310"/>
    </row>
    <row r="28" spans="1:40" x14ac:dyDescent="0.2">
      <c r="A28" s="367"/>
      <c r="B28" s="317" t="s">
        <v>206</v>
      </c>
      <c r="C28" s="363" t="str">
        <f>IF($I$17=TRUE,"P","")</f>
        <v/>
      </c>
      <c r="D28" s="273" t="s">
        <v>117</v>
      </c>
      <c r="E28" s="309" t="s">
        <v>117</v>
      </c>
      <c r="F28" s="309" t="s">
        <v>117</v>
      </c>
      <c r="G28" s="310" t="s">
        <v>117</v>
      </c>
      <c r="H28" s="448" t="str">
        <f t="shared" si="1"/>
        <v>MINERGIE-P Modul</v>
      </c>
      <c r="I28" s="454" t="b">
        <v>0</v>
      </c>
      <c r="X28" s="273" t="s">
        <v>791</v>
      </c>
      <c r="Y28" s="309">
        <v>1.1000000000000001</v>
      </c>
      <c r="Z28" s="309">
        <v>77</v>
      </c>
      <c r="AA28" s="309">
        <v>61</v>
      </c>
      <c r="AB28" s="309" t="s">
        <v>806</v>
      </c>
      <c r="AC28" s="310"/>
      <c r="AD28" s="326" t="s">
        <v>777</v>
      </c>
      <c r="AE28" s="477">
        <v>0.23</v>
      </c>
      <c r="AF28" s="477">
        <v>0.26</v>
      </c>
      <c r="AG28" s="477">
        <v>0.37</v>
      </c>
      <c r="AH28" s="310" t="s">
        <v>778</v>
      </c>
      <c r="AI28" s="273" t="str">
        <f t="shared" si="2"/>
        <v>SG-62</v>
      </c>
      <c r="AJ28" s="309">
        <f t="shared" si="2"/>
        <v>1.1000000000000001</v>
      </c>
      <c r="AK28" s="309">
        <f t="shared" si="2"/>
        <v>77</v>
      </c>
      <c r="AL28" s="309">
        <f t="shared" si="2"/>
        <v>61</v>
      </c>
      <c r="AM28" s="309" t="str">
        <f t="shared" si="2"/>
        <v>E10/14/V-W16-2</v>
      </c>
      <c r="AN28" s="310"/>
    </row>
    <row r="29" spans="1:40" x14ac:dyDescent="0.2">
      <c r="A29" s="368" t="s">
        <v>886</v>
      </c>
      <c r="B29" s="273" t="s">
        <v>207</v>
      </c>
      <c r="C29" s="467" t="str">
        <f>IF($I$18=TRUE,"R","")</f>
        <v/>
      </c>
      <c r="D29" s="273" t="s">
        <v>709</v>
      </c>
      <c r="E29" s="309" t="s">
        <v>709</v>
      </c>
      <c r="F29" s="309" t="s">
        <v>709</v>
      </c>
      <c r="G29" s="310" t="s">
        <v>709</v>
      </c>
      <c r="H29" s="448" t="str">
        <f t="shared" si="1"/>
        <v>Sky-Frame Gun</v>
      </c>
      <c r="I29" s="454" t="b">
        <v>0</v>
      </c>
      <c r="X29" s="273" t="s">
        <v>793</v>
      </c>
      <c r="Y29" s="309">
        <v>1</v>
      </c>
      <c r="Z29" s="309">
        <v>69</v>
      </c>
      <c r="AA29" s="309">
        <v>50</v>
      </c>
      <c r="AB29" s="309" t="s">
        <v>805</v>
      </c>
      <c r="AC29" s="310"/>
      <c r="AD29" s="326" t="s">
        <v>779</v>
      </c>
      <c r="AE29" s="477">
        <v>0.23</v>
      </c>
      <c r="AF29" s="477">
        <v>0.26</v>
      </c>
      <c r="AG29" s="477">
        <v>0.37</v>
      </c>
      <c r="AH29" s="310" t="s">
        <v>780</v>
      </c>
      <c r="AI29" s="273" t="str">
        <f t="shared" si="2"/>
        <v>SG-63</v>
      </c>
      <c r="AJ29" s="309">
        <f t="shared" si="2"/>
        <v>1</v>
      </c>
      <c r="AK29" s="309">
        <f t="shared" si="2"/>
        <v>69</v>
      </c>
      <c r="AL29" s="309">
        <f t="shared" si="2"/>
        <v>50</v>
      </c>
      <c r="AM29" s="309" t="str">
        <f t="shared" si="2"/>
        <v>E10/18/E10</v>
      </c>
      <c r="AN29" s="310"/>
    </row>
    <row r="30" spans="1:40" ht="13.5" thickBot="1" x14ac:dyDescent="0.25">
      <c r="A30" s="369" t="s">
        <v>887</v>
      </c>
      <c r="B30" s="473" t="s">
        <v>208</v>
      </c>
      <c r="C30" s="470" t="str">
        <f>IF($I$19=TRUE,"G","")</f>
        <v/>
      </c>
      <c r="D30" s="273" t="s">
        <v>31</v>
      </c>
      <c r="E30" s="309" t="s">
        <v>32</v>
      </c>
      <c r="F30" s="309" t="s">
        <v>33</v>
      </c>
      <c r="G30" s="310" t="s">
        <v>622</v>
      </c>
      <c r="H30" s="448" t="str">
        <f t="shared" si="1"/>
        <v>nach rechts</v>
      </c>
      <c r="I30" s="454" t="b">
        <v>0</v>
      </c>
      <c r="X30" s="273" t="s">
        <v>795</v>
      </c>
      <c r="Y30" s="309">
        <v>1</v>
      </c>
      <c r="Z30" s="309">
        <v>67</v>
      </c>
      <c r="AA30" s="309">
        <v>49</v>
      </c>
      <c r="AB30" s="309" t="s">
        <v>806</v>
      </c>
      <c r="AC30" s="310"/>
      <c r="AD30" s="273" t="s">
        <v>781</v>
      </c>
      <c r="AE30" s="309">
        <v>0.23</v>
      </c>
      <c r="AF30" s="309">
        <v>0.26</v>
      </c>
      <c r="AG30" s="309">
        <v>0.36</v>
      </c>
      <c r="AH30" s="310" t="s">
        <v>782</v>
      </c>
      <c r="AI30" s="273" t="str">
        <f t="shared" si="2"/>
        <v>SG-64</v>
      </c>
      <c r="AJ30" s="309">
        <f t="shared" si="2"/>
        <v>1</v>
      </c>
      <c r="AK30" s="309">
        <f t="shared" si="2"/>
        <v>67</v>
      </c>
      <c r="AL30" s="309">
        <f t="shared" si="2"/>
        <v>49</v>
      </c>
      <c r="AM30" s="309" t="str">
        <f t="shared" si="2"/>
        <v>E10/14/V-W16-2</v>
      </c>
      <c r="AN30" s="310"/>
    </row>
    <row r="31" spans="1:40" ht="13.5" thickBot="1" x14ac:dyDescent="0.25">
      <c r="B31" s="478"/>
      <c r="C31" s="479"/>
      <c r="D31" s="466" t="s">
        <v>34</v>
      </c>
      <c r="E31" s="309" t="s">
        <v>35</v>
      </c>
      <c r="F31" s="309" t="s">
        <v>36</v>
      </c>
      <c r="G31" s="310" t="s">
        <v>623</v>
      </c>
      <c r="H31" s="448" t="str">
        <f t="shared" si="1"/>
        <v>nach links</v>
      </c>
      <c r="I31" s="454" t="b">
        <v>0</v>
      </c>
      <c r="X31" s="273" t="s">
        <v>807</v>
      </c>
      <c r="Y31" s="309">
        <v>1</v>
      </c>
      <c r="Z31" s="309">
        <v>70</v>
      </c>
      <c r="AA31" s="309">
        <v>55</v>
      </c>
      <c r="AB31" s="309" t="s">
        <v>808</v>
      </c>
      <c r="AC31" s="310"/>
      <c r="AD31" s="326" t="s">
        <v>783</v>
      </c>
      <c r="AE31" s="477">
        <v>0.22</v>
      </c>
      <c r="AF31" s="477">
        <v>0.19</v>
      </c>
      <c r="AG31" s="477">
        <v>0.37</v>
      </c>
      <c r="AH31" s="310" t="s">
        <v>784</v>
      </c>
      <c r="AI31" s="273" t="str">
        <f t="shared" si="2"/>
        <v>SG-65</v>
      </c>
      <c r="AJ31" s="309">
        <f t="shared" si="2"/>
        <v>1</v>
      </c>
      <c r="AK31" s="309">
        <f t="shared" si="2"/>
        <v>70</v>
      </c>
      <c r="AL31" s="309">
        <f t="shared" si="2"/>
        <v>55</v>
      </c>
      <c r="AM31" s="309" t="str">
        <f t="shared" si="2"/>
        <v>GUN-BR4-12-NS</v>
      </c>
      <c r="AN31" s="310"/>
    </row>
    <row r="32" spans="1:40" x14ac:dyDescent="0.2">
      <c r="B32" s="34" t="s">
        <v>214</v>
      </c>
      <c r="C32" s="34"/>
      <c r="D32" s="466" t="s">
        <v>37</v>
      </c>
      <c r="E32" s="309" t="s">
        <v>38</v>
      </c>
      <c r="F32" s="309" t="s">
        <v>39</v>
      </c>
      <c r="G32" s="310" t="s">
        <v>126</v>
      </c>
      <c r="H32" s="448" t="str">
        <f t="shared" si="1"/>
        <v>Breite =</v>
      </c>
      <c r="I32" s="454"/>
      <c r="X32" s="273">
        <v>0</v>
      </c>
      <c r="Y32" s="309">
        <v>0</v>
      </c>
      <c r="Z32" s="309">
        <v>0</v>
      </c>
      <c r="AA32" s="309">
        <v>0</v>
      </c>
      <c r="AB32" s="309" t="str">
        <f>$H$54</f>
        <v>Glastyp wählen</v>
      </c>
      <c r="AC32" s="310"/>
      <c r="AD32" s="326" t="s">
        <v>785</v>
      </c>
      <c r="AE32" s="477">
        <v>0.23</v>
      </c>
      <c r="AF32" s="477">
        <v>0.19</v>
      </c>
      <c r="AG32" s="477">
        <v>0.37</v>
      </c>
      <c r="AH32" s="310" t="s">
        <v>786</v>
      </c>
      <c r="AI32" s="273">
        <f t="shared" si="2"/>
        <v>0</v>
      </c>
      <c r="AJ32" s="309">
        <f t="shared" si="2"/>
        <v>0</v>
      </c>
      <c r="AK32" s="309">
        <f t="shared" si="2"/>
        <v>0</v>
      </c>
      <c r="AL32" s="309">
        <f t="shared" si="2"/>
        <v>0</v>
      </c>
      <c r="AM32" s="309" t="str">
        <f t="shared" si="2"/>
        <v>Glastyp wählen</v>
      </c>
      <c r="AN32" s="310"/>
    </row>
    <row r="33" spans="1:40" x14ac:dyDescent="0.2">
      <c r="B33" s="317"/>
      <c r="C33" s="325"/>
      <c r="D33" s="273" t="s">
        <v>129</v>
      </c>
      <c r="E33" s="309" t="s">
        <v>128</v>
      </c>
      <c r="F33" s="309" t="s">
        <v>40</v>
      </c>
      <c r="G33" s="310" t="s">
        <v>127</v>
      </c>
      <c r="H33" s="448" t="str">
        <f t="shared" si="1"/>
        <v>Griffhöhe:</v>
      </c>
      <c r="I33" s="454"/>
      <c r="X33" s="273">
        <v>0</v>
      </c>
      <c r="Y33" s="309">
        <v>0</v>
      </c>
      <c r="Z33" s="309">
        <v>0</v>
      </c>
      <c r="AA33" s="309">
        <v>0</v>
      </c>
      <c r="AB33" s="309" t="str">
        <f t="shared" ref="AB33:AB45" si="3">$H$54</f>
        <v>Glastyp wählen</v>
      </c>
      <c r="AC33" s="310"/>
      <c r="AD33" s="326" t="s">
        <v>787</v>
      </c>
      <c r="AE33" s="477">
        <v>0.22</v>
      </c>
      <c r="AF33" s="477">
        <v>0.25</v>
      </c>
      <c r="AG33" s="477">
        <v>0.36</v>
      </c>
      <c r="AH33" s="310" t="s">
        <v>788</v>
      </c>
      <c r="AI33" s="273">
        <f t="shared" si="2"/>
        <v>0</v>
      </c>
      <c r="AJ33" s="309">
        <f t="shared" si="2"/>
        <v>0</v>
      </c>
      <c r="AK33" s="309">
        <f t="shared" si="2"/>
        <v>0</v>
      </c>
      <c r="AL33" s="309">
        <f t="shared" si="2"/>
        <v>0</v>
      </c>
      <c r="AM33" s="309" t="str">
        <f t="shared" si="2"/>
        <v>Glastyp wählen</v>
      </c>
      <c r="AN33" s="310"/>
    </row>
    <row r="34" spans="1:40" ht="13.5" thickBot="1" x14ac:dyDescent="0.25">
      <c r="B34" s="480" t="s">
        <v>215</v>
      </c>
      <c r="C34" s="380"/>
      <c r="D34" s="273" t="s">
        <v>41</v>
      </c>
      <c r="E34" s="309" t="s">
        <v>42</v>
      </c>
      <c r="F34" s="309" t="s">
        <v>43</v>
      </c>
      <c r="G34" s="310" t="s">
        <v>130</v>
      </c>
      <c r="H34" s="448" t="str">
        <f t="shared" si="1"/>
        <v xml:space="preserve">Höhe = </v>
      </c>
      <c r="I34" s="454"/>
      <c r="X34" s="273">
        <v>0</v>
      </c>
      <c r="Y34" s="309">
        <v>0</v>
      </c>
      <c r="Z34" s="309">
        <v>0</v>
      </c>
      <c r="AA34" s="309">
        <v>0</v>
      </c>
      <c r="AB34" s="309" t="str">
        <f>$H$54</f>
        <v>Glastyp wählen</v>
      </c>
      <c r="AC34" s="221"/>
      <c r="AD34" s="273">
        <v>0</v>
      </c>
      <c r="AE34" s="309">
        <v>0</v>
      </c>
      <c r="AF34" s="309">
        <v>0</v>
      </c>
      <c r="AG34" s="309">
        <v>0</v>
      </c>
      <c r="AH34" s="310" t="str">
        <f>$H$54</f>
        <v>Glastyp wählen</v>
      </c>
      <c r="AI34" s="273">
        <f t="shared" si="2"/>
        <v>0</v>
      </c>
      <c r="AJ34" s="309">
        <f t="shared" si="2"/>
        <v>0</v>
      </c>
      <c r="AK34" s="309">
        <f t="shared" si="2"/>
        <v>0</v>
      </c>
      <c r="AL34" s="309">
        <f t="shared" si="2"/>
        <v>0</v>
      </c>
      <c r="AM34" s="309" t="str">
        <f t="shared" si="2"/>
        <v>Glastyp wählen</v>
      </c>
      <c r="AN34" s="310"/>
    </row>
    <row r="35" spans="1:40" ht="13.5" thickBot="1" x14ac:dyDescent="0.25">
      <c r="D35" s="273" t="s">
        <v>44</v>
      </c>
      <c r="E35" s="309" t="s">
        <v>45</v>
      </c>
      <c r="F35" s="309" t="s">
        <v>45</v>
      </c>
      <c r="G35" s="310" t="s">
        <v>131</v>
      </c>
      <c r="H35" s="448" t="str">
        <f t="shared" si="1"/>
        <v>Oberfläche:</v>
      </c>
      <c r="I35" s="454"/>
      <c r="X35" s="273">
        <v>0</v>
      </c>
      <c r="Y35" s="309">
        <v>0</v>
      </c>
      <c r="Z35" s="309">
        <v>0</v>
      </c>
      <c r="AA35" s="309">
        <v>0</v>
      </c>
      <c r="AB35" s="309" t="str">
        <f t="shared" si="3"/>
        <v>Glastyp wählen</v>
      </c>
      <c r="AC35" s="310"/>
      <c r="AD35" s="326" t="s">
        <v>789</v>
      </c>
      <c r="AE35" s="477">
        <v>0.35</v>
      </c>
      <c r="AF35" s="477">
        <v>0.47</v>
      </c>
      <c r="AG35" s="477">
        <v>0.65</v>
      </c>
      <c r="AH35" s="310" t="s">
        <v>790</v>
      </c>
      <c r="AI35" s="273">
        <f t="shared" si="2"/>
        <v>0</v>
      </c>
      <c r="AJ35" s="309">
        <f t="shared" si="2"/>
        <v>0</v>
      </c>
      <c r="AK35" s="309">
        <f t="shared" si="2"/>
        <v>0</v>
      </c>
      <c r="AL35" s="309">
        <f t="shared" si="2"/>
        <v>0</v>
      </c>
      <c r="AM35" s="309" t="str">
        <f t="shared" si="2"/>
        <v>Glastyp wählen</v>
      </c>
      <c r="AN35" s="310"/>
    </row>
    <row r="36" spans="1:40" x14ac:dyDescent="0.2">
      <c r="B36" s="34" t="s">
        <v>216</v>
      </c>
      <c r="C36" s="34"/>
      <c r="D36" s="273" t="s">
        <v>46</v>
      </c>
      <c r="E36" s="309" t="s">
        <v>47</v>
      </c>
      <c r="F36" s="309" t="s">
        <v>133</v>
      </c>
      <c r="G36" s="310" t="s">
        <v>132</v>
      </c>
      <c r="H36" s="448" t="str">
        <f t="shared" si="1"/>
        <v>eloxiert (Qualanod):</v>
      </c>
      <c r="I36" s="454" t="b">
        <v>0</v>
      </c>
      <c r="X36" s="273">
        <v>0</v>
      </c>
      <c r="Y36" s="309">
        <v>0</v>
      </c>
      <c r="Z36" s="309">
        <v>0</v>
      </c>
      <c r="AA36" s="309">
        <v>0</v>
      </c>
      <c r="AB36" s="309" t="str">
        <f t="shared" si="3"/>
        <v>Glastyp wählen</v>
      </c>
      <c r="AC36" s="310"/>
      <c r="AD36" s="326" t="s">
        <v>791</v>
      </c>
      <c r="AE36" s="477">
        <v>0.34</v>
      </c>
      <c r="AF36" s="477">
        <v>0.47</v>
      </c>
      <c r="AG36" s="477">
        <v>0.63</v>
      </c>
      <c r="AH36" s="310" t="s">
        <v>792</v>
      </c>
      <c r="AI36" s="273">
        <f t="shared" si="2"/>
        <v>0</v>
      </c>
      <c r="AJ36" s="309">
        <f t="shared" si="2"/>
        <v>0</v>
      </c>
      <c r="AK36" s="309">
        <f t="shared" si="2"/>
        <v>0</v>
      </c>
      <c r="AL36" s="309">
        <f t="shared" si="2"/>
        <v>0</v>
      </c>
      <c r="AM36" s="309" t="str">
        <f t="shared" si="2"/>
        <v>Glastyp wählen</v>
      </c>
      <c r="AN36" s="310"/>
    </row>
    <row r="37" spans="1:40" x14ac:dyDescent="0.2">
      <c r="B37" s="317" t="s">
        <v>218</v>
      </c>
      <c r="C37" s="325" t="b">
        <v>1</v>
      </c>
      <c r="D37" s="273" t="s">
        <v>48</v>
      </c>
      <c r="E37" s="309" t="s">
        <v>134</v>
      </c>
      <c r="F37" s="309" t="s">
        <v>134</v>
      </c>
      <c r="G37" s="310" t="s">
        <v>134</v>
      </c>
      <c r="H37" s="448" t="str">
        <f t="shared" si="1"/>
        <v>20 my (Standard)</v>
      </c>
      <c r="I37" s="454"/>
      <c r="X37" s="273">
        <v>0</v>
      </c>
      <c r="Y37" s="309">
        <v>0</v>
      </c>
      <c r="Z37" s="309">
        <v>0</v>
      </c>
      <c r="AA37" s="309">
        <v>0</v>
      </c>
      <c r="AB37" s="309" t="str">
        <f t="shared" si="3"/>
        <v>Glastyp wählen</v>
      </c>
      <c r="AC37" s="310"/>
      <c r="AD37" s="326" t="s">
        <v>793</v>
      </c>
      <c r="AE37" s="477">
        <v>0.34</v>
      </c>
      <c r="AF37" s="477">
        <v>0.4</v>
      </c>
      <c r="AG37" s="477">
        <v>0.56999999999999995</v>
      </c>
      <c r="AH37" s="310" t="s">
        <v>794</v>
      </c>
      <c r="AI37" s="273">
        <f t="shared" si="2"/>
        <v>0</v>
      </c>
      <c r="AJ37" s="309">
        <f t="shared" si="2"/>
        <v>0</v>
      </c>
      <c r="AK37" s="309">
        <f t="shared" si="2"/>
        <v>0</v>
      </c>
      <c r="AL37" s="309">
        <f t="shared" si="2"/>
        <v>0</v>
      </c>
      <c r="AM37" s="309" t="str">
        <f t="shared" si="2"/>
        <v>Glastyp wählen</v>
      </c>
      <c r="AN37" s="310"/>
    </row>
    <row r="38" spans="1:40" x14ac:dyDescent="0.2">
      <c r="B38" s="273" t="s">
        <v>217</v>
      </c>
      <c r="C38" s="310" t="b">
        <v>1</v>
      </c>
      <c r="D38" s="273" t="s">
        <v>49</v>
      </c>
      <c r="E38" s="309" t="s">
        <v>50</v>
      </c>
      <c r="F38" s="309" t="s">
        <v>51</v>
      </c>
      <c r="G38" s="310" t="s">
        <v>325</v>
      </c>
      <c r="H38" s="448" t="str">
        <f t="shared" si="1"/>
        <v>25 my (Pool/Meer)</v>
      </c>
      <c r="I38" s="454"/>
      <c r="X38" s="273">
        <v>0</v>
      </c>
      <c r="Y38" s="309">
        <v>0</v>
      </c>
      <c r="Z38" s="309">
        <v>0</v>
      </c>
      <c r="AA38" s="309">
        <v>0</v>
      </c>
      <c r="AB38" s="309" t="str">
        <f t="shared" si="3"/>
        <v>Glastyp wählen</v>
      </c>
      <c r="AC38" s="310"/>
      <c r="AD38" s="326" t="s">
        <v>795</v>
      </c>
      <c r="AE38" s="477">
        <v>0.33</v>
      </c>
      <c r="AF38" s="477">
        <v>0.39</v>
      </c>
      <c r="AG38" s="477">
        <v>0.55000000000000004</v>
      </c>
      <c r="AH38" s="310" t="s">
        <v>796</v>
      </c>
      <c r="AI38" s="273">
        <f t="shared" si="2"/>
        <v>0</v>
      </c>
      <c r="AJ38" s="309">
        <f t="shared" si="2"/>
        <v>0</v>
      </c>
      <c r="AK38" s="309">
        <f t="shared" si="2"/>
        <v>0</v>
      </c>
      <c r="AL38" s="309">
        <f t="shared" si="2"/>
        <v>0</v>
      </c>
      <c r="AM38" s="309" t="str">
        <f t="shared" si="2"/>
        <v>Glastyp wählen</v>
      </c>
      <c r="AN38" s="310"/>
    </row>
    <row r="39" spans="1:40" ht="13.5" thickBot="1" x14ac:dyDescent="0.25">
      <c r="B39" s="273" t="s">
        <v>219</v>
      </c>
      <c r="C39" s="310" t="b">
        <v>0</v>
      </c>
      <c r="D39" s="273" t="s">
        <v>350</v>
      </c>
      <c r="E39" s="309" t="s">
        <v>351</v>
      </c>
      <c r="F39" s="309" t="s">
        <v>352</v>
      </c>
      <c r="G39" s="310" t="s">
        <v>353</v>
      </c>
      <c r="H39" s="448" t="str">
        <f t="shared" si="1"/>
        <v>pulverbeschichtet:</v>
      </c>
      <c r="I39" s="454" t="b">
        <v>0</v>
      </c>
      <c r="X39" s="273">
        <v>0</v>
      </c>
      <c r="Y39" s="309">
        <v>0</v>
      </c>
      <c r="Z39" s="309">
        <v>0</v>
      </c>
      <c r="AA39" s="309">
        <v>0</v>
      </c>
      <c r="AB39" s="309" t="str">
        <f t="shared" si="3"/>
        <v>Glastyp wählen</v>
      </c>
      <c r="AC39" s="310"/>
      <c r="AD39" s="326" t="s">
        <v>798</v>
      </c>
      <c r="AE39" s="477">
        <v>0.34</v>
      </c>
      <c r="AF39" s="477">
        <v>0.26</v>
      </c>
      <c r="AG39" s="477">
        <v>0.51</v>
      </c>
      <c r="AH39" s="310" t="s">
        <v>799</v>
      </c>
      <c r="AI39" s="273">
        <f t="shared" si="2"/>
        <v>0</v>
      </c>
      <c r="AJ39" s="309">
        <f t="shared" si="2"/>
        <v>0</v>
      </c>
      <c r="AK39" s="309">
        <f t="shared" si="2"/>
        <v>0</v>
      </c>
      <c r="AL39" s="309">
        <f t="shared" si="2"/>
        <v>0</v>
      </c>
      <c r="AM39" s="309" t="str">
        <f t="shared" si="2"/>
        <v>Glastyp wählen</v>
      </c>
      <c r="AN39" s="310"/>
    </row>
    <row r="40" spans="1:40" x14ac:dyDescent="0.2">
      <c r="A40" s="274" t="s">
        <v>684</v>
      </c>
      <c r="B40" s="273" t="s">
        <v>220</v>
      </c>
      <c r="C40" s="310" t="b">
        <v>0</v>
      </c>
      <c r="D40" s="273" t="s">
        <v>881</v>
      </c>
      <c r="E40" s="309" t="s">
        <v>882</v>
      </c>
      <c r="F40" s="309" t="s">
        <v>883</v>
      </c>
      <c r="G40" s="310" t="s">
        <v>884</v>
      </c>
      <c r="H40" s="448" t="str">
        <f t="shared" si="1"/>
        <v>Vorbehandlung:</v>
      </c>
      <c r="I40" s="454"/>
      <c r="K40" s="57" t="s">
        <v>430</v>
      </c>
      <c r="L40" s="370"/>
      <c r="M40" s="371"/>
      <c r="N40" s="541" t="s">
        <v>580</v>
      </c>
      <c r="O40" s="542"/>
      <c r="P40" s="543"/>
      <c r="Q40" s="57" t="s">
        <v>288</v>
      </c>
      <c r="R40" s="57" t="s">
        <v>488</v>
      </c>
      <c r="S40" s="57" t="s">
        <v>492</v>
      </c>
      <c r="U40" s="34" t="s">
        <v>682</v>
      </c>
      <c r="V40" s="35"/>
      <c r="X40" s="273">
        <v>0</v>
      </c>
      <c r="Y40" s="309">
        <v>0</v>
      </c>
      <c r="Z40" s="309">
        <v>0</v>
      </c>
      <c r="AA40" s="309">
        <v>0</v>
      </c>
      <c r="AB40" s="309" t="str">
        <f t="shared" si="3"/>
        <v>Glastyp wählen</v>
      </c>
      <c r="AC40" s="310"/>
      <c r="AD40" s="326" t="s">
        <v>800</v>
      </c>
      <c r="AE40" s="477">
        <v>0.33</v>
      </c>
      <c r="AF40" s="477">
        <v>0.26</v>
      </c>
      <c r="AG40" s="477">
        <v>0.5</v>
      </c>
      <c r="AH40" s="310" t="s">
        <v>801</v>
      </c>
      <c r="AI40" s="273">
        <f t="shared" si="2"/>
        <v>0</v>
      </c>
      <c r="AJ40" s="309">
        <f t="shared" si="2"/>
        <v>0</v>
      </c>
      <c r="AK40" s="309">
        <f t="shared" si="2"/>
        <v>0</v>
      </c>
      <c r="AL40" s="309">
        <f t="shared" si="2"/>
        <v>0</v>
      </c>
      <c r="AM40" s="309" t="str">
        <f t="shared" si="2"/>
        <v>Glastyp wählen</v>
      </c>
      <c r="AN40" s="310"/>
    </row>
    <row r="41" spans="1:40" x14ac:dyDescent="0.2">
      <c r="A41" s="465" t="b">
        <f>IF(C41=FALSE,TRUE,(IF(AND(C41=TRUE,'Pos. 2'!F72=""),FALSE,TRUE)))</f>
        <v>1</v>
      </c>
      <c r="B41" s="273" t="s">
        <v>710</v>
      </c>
      <c r="C41" s="310" t="b">
        <v>0</v>
      </c>
      <c r="D41" s="273" t="s">
        <v>52</v>
      </c>
      <c r="E41" s="309" t="s">
        <v>53</v>
      </c>
      <c r="F41" s="309" t="s">
        <v>54</v>
      </c>
      <c r="G41" s="481" t="s">
        <v>135</v>
      </c>
      <c r="H41" s="448" t="str">
        <f t="shared" si="1"/>
        <v>+Voranodisieren</v>
      </c>
      <c r="I41" s="454"/>
      <c r="K41" s="482" t="s">
        <v>431</v>
      </c>
      <c r="L41" s="276">
        <f>IF(OR($I$5=TRUE,$I$6=TRUE),1,0)</f>
        <v>0</v>
      </c>
      <c r="M41" s="483"/>
      <c r="N41" s="187" t="str">
        <f>CONCATENATE("Pos. ",'Pos. 2'!$B$2,".1")</f>
        <v>Pos. 2.1</v>
      </c>
      <c r="O41" s="188" t="b">
        <f>IF(AND('Pos. 2'!AW32&lt;&gt;"",'Pos. 2'!AX32&lt;&gt;""),TRUE,FALSE)</f>
        <v>0</v>
      </c>
      <c r="P41" s="189"/>
      <c r="Q41" s="367"/>
      <c r="R41" s="367"/>
      <c r="S41" s="272">
        <f>COUNTA('Pos. 2'!G20:AP20)</f>
        <v>0</v>
      </c>
      <c r="U41" s="484" t="b">
        <f>IF(L41=0,FALSE,TRUE)</f>
        <v>0</v>
      </c>
      <c r="V41" s="485">
        <f>IF(U41=FALSE,1,0)</f>
        <v>1</v>
      </c>
      <c r="X41" s="273">
        <v>0</v>
      </c>
      <c r="Y41" s="309">
        <v>0</v>
      </c>
      <c r="Z41" s="309">
        <v>0</v>
      </c>
      <c r="AA41" s="309">
        <v>0</v>
      </c>
      <c r="AB41" s="309" t="str">
        <f t="shared" si="3"/>
        <v>Glastyp wählen</v>
      </c>
      <c r="AC41" s="310"/>
      <c r="AD41" s="326" t="s">
        <v>797</v>
      </c>
      <c r="AE41" s="477">
        <v>0.34</v>
      </c>
      <c r="AF41" s="477">
        <v>0.22</v>
      </c>
      <c r="AG41" s="477">
        <v>0.42</v>
      </c>
      <c r="AH41" s="310" t="s">
        <v>802</v>
      </c>
      <c r="AI41" s="273">
        <f t="shared" si="2"/>
        <v>0</v>
      </c>
      <c r="AJ41" s="309">
        <f t="shared" si="2"/>
        <v>0</v>
      </c>
      <c r="AK41" s="309">
        <f t="shared" si="2"/>
        <v>0</v>
      </c>
      <c r="AL41" s="309">
        <f t="shared" si="2"/>
        <v>0</v>
      </c>
      <c r="AM41" s="309" t="str">
        <f t="shared" si="2"/>
        <v>Glastyp wählen</v>
      </c>
      <c r="AN41" s="310"/>
    </row>
    <row r="42" spans="1:40" x14ac:dyDescent="0.2">
      <c r="A42" s="448" t="b">
        <f>IF(C42=FALSE,TRUE,(IF(AND(C42=TRUE,'Pos. 2'!L72=""),FALSE,TRUE)))</f>
        <v>1</v>
      </c>
      <c r="B42" s="273" t="s">
        <v>711</v>
      </c>
      <c r="C42" s="310" t="b">
        <v>0</v>
      </c>
      <c r="D42" s="273" t="s">
        <v>55</v>
      </c>
      <c r="E42" s="309" t="s">
        <v>56</v>
      </c>
      <c r="F42" s="309" t="s">
        <v>57</v>
      </c>
      <c r="G42" s="310" t="s">
        <v>136</v>
      </c>
      <c r="H42" s="448" t="str">
        <f t="shared" si="1"/>
        <v>Glas-Typ: SG = "Sky-Glass"</v>
      </c>
      <c r="I42" s="454"/>
      <c r="K42" s="303" t="s">
        <v>432</v>
      </c>
      <c r="L42" s="279">
        <f>IF(AND('Pos. 2'!$Y$5&lt;&gt;"",'Pos. 2'!$Y$7&lt;&gt;"",'Pos. 2'!$Y$6&lt;&gt;""),1,0)</f>
        <v>0</v>
      </c>
      <c r="M42" s="486"/>
      <c r="N42" s="187" t="str">
        <f>CONCATENATE("Pos. ",'Pos. 2'!$B$2,".2")</f>
        <v>Pos. 2.2</v>
      </c>
      <c r="O42" s="188" t="b">
        <f>IF(AND('Pos. 2'!AW33&lt;&gt;"",'Pos. 2'!AX33&lt;&gt;""),TRUE,FALSE)</f>
        <v>0</v>
      </c>
      <c r="P42" s="191"/>
      <c r="Q42" s="487">
        <v>1</v>
      </c>
      <c r="R42" s="488" t="s">
        <v>486</v>
      </c>
      <c r="U42" s="303" t="b">
        <f t="shared" ref="U42:U47" si="4">IF(L42=0,FALSE,TRUE)</f>
        <v>0</v>
      </c>
      <c r="V42" s="489">
        <f t="shared" ref="V42:V79" si="5">IF(U42=FALSE,1,0)</f>
        <v>1</v>
      </c>
      <c r="X42" s="273">
        <v>0</v>
      </c>
      <c r="Y42" s="309">
        <v>0</v>
      </c>
      <c r="Z42" s="309">
        <v>0</v>
      </c>
      <c r="AA42" s="309">
        <v>0</v>
      </c>
      <c r="AB42" s="309" t="str">
        <f t="shared" si="3"/>
        <v>Glastyp wählen</v>
      </c>
      <c r="AC42" s="310"/>
      <c r="AD42" s="326" t="s">
        <v>803</v>
      </c>
      <c r="AE42" s="477">
        <v>0.33</v>
      </c>
      <c r="AF42" s="477">
        <v>0.22</v>
      </c>
      <c r="AG42" s="477">
        <v>0.4</v>
      </c>
      <c r="AH42" s="310" t="s">
        <v>804</v>
      </c>
      <c r="AI42" s="273">
        <f t="shared" ref="AI42:AM45" si="6">IF($I$125=TRUE,AD42,X42)</f>
        <v>0</v>
      </c>
      <c r="AJ42" s="309">
        <f t="shared" si="6"/>
        <v>0</v>
      </c>
      <c r="AK42" s="309">
        <f t="shared" si="6"/>
        <v>0</v>
      </c>
      <c r="AL42" s="309">
        <f t="shared" si="6"/>
        <v>0</v>
      </c>
      <c r="AM42" s="309" t="str">
        <f t="shared" si="6"/>
        <v>Glastyp wählen</v>
      </c>
      <c r="AN42" s="310"/>
    </row>
    <row r="43" spans="1:40" x14ac:dyDescent="0.2">
      <c r="A43" s="448" t="b">
        <f>TRUE</f>
        <v>1</v>
      </c>
      <c r="B43" s="273" t="s">
        <v>712</v>
      </c>
      <c r="C43" s="310" t="b">
        <v>0</v>
      </c>
      <c r="D43" s="273" t="s">
        <v>58</v>
      </c>
      <c r="E43" s="309" t="s">
        <v>59</v>
      </c>
      <c r="F43" s="309" t="s">
        <v>60</v>
      </c>
      <c r="G43" s="310" t="s">
        <v>137</v>
      </c>
      <c r="H43" s="448" t="str">
        <f t="shared" si="1"/>
        <v>Swisspacer-U schwarz</v>
      </c>
      <c r="I43" s="454" t="b">
        <v>0</v>
      </c>
      <c r="K43" s="303" t="s">
        <v>433</v>
      </c>
      <c r="L43" s="279">
        <f>IF(AND('Pos. 2'!$AJ$5&lt;&gt;"",'Pos. 2'!$AJ$6&lt;&gt;"",'Pos. 2'!$AJ$7&lt;&gt;""),1,0)</f>
        <v>0</v>
      </c>
      <c r="M43" s="486"/>
      <c r="N43" s="187" t="str">
        <f>CONCATENATE("Pos. ",'Pos. 2'!$B$2,".3")</f>
        <v>Pos. 2.3</v>
      </c>
      <c r="O43" s="188" t="b">
        <f>IF(AND('Pos. 2'!AW34&lt;&gt;"",'Pos. 2'!AX34&lt;&gt;""),TRUE,FALSE)</f>
        <v>0</v>
      </c>
      <c r="P43" s="191"/>
      <c r="Q43" s="368">
        <v>2</v>
      </c>
      <c r="R43" s="488" t="s">
        <v>487</v>
      </c>
      <c r="U43" s="303" t="b">
        <f t="shared" si="4"/>
        <v>0</v>
      </c>
      <c r="V43" s="489">
        <f t="shared" si="5"/>
        <v>1</v>
      </c>
      <c r="X43" s="273">
        <v>0</v>
      </c>
      <c r="Y43" s="309">
        <v>0</v>
      </c>
      <c r="Z43" s="309">
        <v>0</v>
      </c>
      <c r="AA43" s="309">
        <v>0</v>
      </c>
      <c r="AB43" s="309" t="str">
        <f t="shared" si="3"/>
        <v>Glastyp wählen</v>
      </c>
      <c r="AC43" s="310"/>
      <c r="AD43" s="326">
        <v>0</v>
      </c>
      <c r="AE43" s="477">
        <v>0</v>
      </c>
      <c r="AF43" s="477">
        <v>0</v>
      </c>
      <c r="AG43" s="477">
        <v>0</v>
      </c>
      <c r="AH43" s="310" t="str">
        <f>$H$54</f>
        <v>Glastyp wählen</v>
      </c>
      <c r="AI43" s="273">
        <f t="shared" si="6"/>
        <v>0</v>
      </c>
      <c r="AJ43" s="309">
        <f t="shared" si="6"/>
        <v>0</v>
      </c>
      <c r="AK43" s="309">
        <f t="shared" si="6"/>
        <v>0</v>
      </c>
      <c r="AL43" s="309">
        <f t="shared" si="6"/>
        <v>0</v>
      </c>
      <c r="AM43" s="309" t="str">
        <f t="shared" si="6"/>
        <v>Glastyp wählen</v>
      </c>
      <c r="AN43" s="310"/>
    </row>
    <row r="44" spans="1:40" x14ac:dyDescent="0.2">
      <c r="A44" s="448" t="b">
        <f>IF(C44=FALSE,TRUE,(IF(AND(C44=TRUE,'Pos. 2'!X72=""),FALSE,TRUE)))</f>
        <v>1</v>
      </c>
      <c r="B44" s="273" t="str">
        <f>IF('Pos. 2'!AB62="","321101/321101","400493/400493")</f>
        <v>321101/321101</v>
      </c>
      <c r="C44" s="310" t="b">
        <v>0</v>
      </c>
      <c r="D44" s="273" t="s">
        <v>61</v>
      </c>
      <c r="E44" s="309" t="s">
        <v>62</v>
      </c>
      <c r="F44" s="309" t="s">
        <v>63</v>
      </c>
      <c r="G44" s="310" t="s">
        <v>138</v>
      </c>
      <c r="H44" s="448" t="str">
        <f t="shared" si="1"/>
        <v>Swisspacer-U grau</v>
      </c>
      <c r="I44" s="454" t="b">
        <v>0</v>
      </c>
      <c r="K44" s="303" t="s">
        <v>434</v>
      </c>
      <c r="L44" s="279">
        <f>IF(OR($I$10=TRUE,$I$11=TRUE,$I$12=TRUE),1,0)</f>
        <v>0</v>
      </c>
      <c r="M44" s="486"/>
      <c r="N44" s="187" t="str">
        <f>CONCATENATE("Pos. ",'Pos. 2'!$B$2,".4")</f>
        <v>Pos. 2.4</v>
      </c>
      <c r="O44" s="188" t="b">
        <f>IF(AND('Pos. 2'!AW35&lt;&gt;"",'Pos. 2'!AX35&lt;&gt;""),TRUE,FALSE)</f>
        <v>0</v>
      </c>
      <c r="P44" s="191"/>
      <c r="Q44" s="368">
        <v>3</v>
      </c>
      <c r="U44" s="303" t="b">
        <f t="shared" si="4"/>
        <v>0</v>
      </c>
      <c r="V44" s="489">
        <f t="shared" si="5"/>
        <v>1</v>
      </c>
      <c r="X44" s="273">
        <v>0</v>
      </c>
      <c r="Y44" s="309">
        <v>0</v>
      </c>
      <c r="Z44" s="309">
        <v>0</v>
      </c>
      <c r="AA44" s="309">
        <v>0</v>
      </c>
      <c r="AB44" s="309" t="str">
        <f t="shared" si="3"/>
        <v>Glastyp wählen</v>
      </c>
      <c r="AC44" s="310"/>
      <c r="AD44" s="326">
        <v>0</v>
      </c>
      <c r="AE44" s="477">
        <v>0</v>
      </c>
      <c r="AF44" s="477">
        <v>0</v>
      </c>
      <c r="AG44" s="477">
        <v>0</v>
      </c>
      <c r="AH44" s="310" t="str">
        <f>$H$54</f>
        <v>Glastyp wählen</v>
      </c>
      <c r="AI44" s="273">
        <f t="shared" si="6"/>
        <v>0</v>
      </c>
      <c r="AJ44" s="309">
        <f t="shared" si="6"/>
        <v>0</v>
      </c>
      <c r="AK44" s="309">
        <f t="shared" si="6"/>
        <v>0</v>
      </c>
      <c r="AL44" s="309">
        <f t="shared" si="6"/>
        <v>0</v>
      </c>
      <c r="AM44" s="309" t="str">
        <f t="shared" si="6"/>
        <v>Glastyp wählen</v>
      </c>
      <c r="AN44" s="310"/>
    </row>
    <row r="45" spans="1:40" ht="13.5" thickBot="1" x14ac:dyDescent="0.25">
      <c r="A45" s="448" t="b">
        <f>IF(C45=FALSE,TRUE,(IF(AND(C45=TRUE,'Pos. 2'!H85=""),FALSE,TRUE)))</f>
        <v>1</v>
      </c>
      <c r="B45" s="273" t="s">
        <v>713</v>
      </c>
      <c r="C45" s="310" t="b">
        <v>0</v>
      </c>
      <c r="D45" s="273" t="s">
        <v>111</v>
      </c>
      <c r="E45" s="309" t="s">
        <v>112</v>
      </c>
      <c r="F45" s="309" t="s">
        <v>113</v>
      </c>
      <c r="G45" s="310" t="s">
        <v>114</v>
      </c>
      <c r="H45" s="448" t="str">
        <f t="shared" si="1"/>
        <v>Speziell:</v>
      </c>
      <c r="I45" s="454" t="b">
        <v>0</v>
      </c>
      <c r="K45" s="303" t="s">
        <v>435</v>
      </c>
      <c r="L45" s="279">
        <f>IF(AND('Pos. 2'!$F$10&lt;&gt;"",OR('Pos. 2'!$E$23&lt;&gt;"",'Pos. 2'!$E$24&lt;&gt;"",'Pos. 2'!$E$25&lt;&gt;"",'Pos. 2'!$E$26&lt;&gt;"")),1,0)</f>
        <v>0</v>
      </c>
      <c r="M45" s="486"/>
      <c r="N45" s="187" t="str">
        <f>CONCATENATE("Pos. ",'Pos. 2'!$B$2,".5")</f>
        <v>Pos. 2.5</v>
      </c>
      <c r="O45" s="188" t="b">
        <f>IF(AND('Pos. 2'!AW36&lt;&gt;"",'Pos. 2'!AX36&lt;&gt;""),TRUE,FALSE)</f>
        <v>0</v>
      </c>
      <c r="P45" s="191"/>
      <c r="Q45" s="368">
        <v>4</v>
      </c>
      <c r="U45" s="303" t="b">
        <f t="shared" si="4"/>
        <v>0</v>
      </c>
      <c r="V45" s="489">
        <f t="shared" si="5"/>
        <v>1</v>
      </c>
      <c r="X45" s="473">
        <v>0</v>
      </c>
      <c r="Y45" s="490">
        <v>0</v>
      </c>
      <c r="Z45" s="490">
        <v>0</v>
      </c>
      <c r="AA45" s="490">
        <v>0</v>
      </c>
      <c r="AB45" s="490" t="str">
        <f t="shared" si="3"/>
        <v>Glastyp wählen</v>
      </c>
      <c r="AC45" s="380"/>
      <c r="AD45" s="491">
        <v>0</v>
      </c>
      <c r="AE45" s="492">
        <v>0</v>
      </c>
      <c r="AF45" s="492">
        <v>0</v>
      </c>
      <c r="AG45" s="492">
        <v>0</v>
      </c>
      <c r="AH45" s="380" t="str">
        <f>$H$54</f>
        <v>Glastyp wählen</v>
      </c>
      <c r="AI45" s="473">
        <f t="shared" si="6"/>
        <v>0</v>
      </c>
      <c r="AJ45" s="490">
        <f t="shared" si="6"/>
        <v>0</v>
      </c>
      <c r="AK45" s="490">
        <f t="shared" si="6"/>
        <v>0</v>
      </c>
      <c r="AL45" s="490">
        <f t="shared" si="6"/>
        <v>0</v>
      </c>
      <c r="AM45" s="490" t="str">
        <f t="shared" si="6"/>
        <v>Glastyp wählen</v>
      </c>
      <c r="AN45" s="380"/>
    </row>
    <row r="46" spans="1:40" x14ac:dyDescent="0.2">
      <c r="A46" s="448" t="b">
        <f>IF(C46=FALSE,TRUE,(IF(AND(C46=TRUE,'Pos. 2'!O85=""),FALSE,TRUE)))</f>
        <v>1</v>
      </c>
      <c r="B46" s="273" t="s">
        <v>714</v>
      </c>
      <c r="C46" s="310" t="b">
        <v>0</v>
      </c>
      <c r="D46" s="273" t="s">
        <v>64</v>
      </c>
      <c r="E46" s="309" t="s">
        <v>65</v>
      </c>
      <c r="F46" s="309" t="s">
        <v>66</v>
      </c>
      <c r="G46" s="310" t="s">
        <v>139</v>
      </c>
      <c r="H46" s="448" t="str">
        <f t="shared" si="1"/>
        <v>Statik:</v>
      </c>
      <c r="I46" s="454"/>
      <c r="K46" s="303" t="s">
        <v>436</v>
      </c>
      <c r="L46" s="279">
        <f>IF(AND($I$13=TRUE,'Pos. 2'!$E$28=""),0,1)</f>
        <v>1</v>
      </c>
      <c r="M46" s="486"/>
      <c r="N46" s="187" t="str">
        <f>CONCATENATE("Pos. ",'Pos. 2'!$B$2,".6")</f>
        <v>Pos. 2.6</v>
      </c>
      <c r="O46" s="188" t="b">
        <f>IF(AND('Pos. 2'!AW37&lt;&gt;"",'Pos. 2'!AX37&lt;&gt;""),TRUE,FALSE)</f>
        <v>0</v>
      </c>
      <c r="P46" s="191"/>
      <c r="Q46" s="368">
        <v>5</v>
      </c>
      <c r="U46" s="303" t="b">
        <f t="shared" si="4"/>
        <v>1</v>
      </c>
      <c r="V46" s="489">
        <f t="shared" si="5"/>
        <v>0</v>
      </c>
    </row>
    <row r="47" spans="1:40" x14ac:dyDescent="0.2">
      <c r="A47" s="448" t="b">
        <f>IF(C47=FALSE,TRUE,(IF(AND(C47=TRUE,'Pos. 2'!V85=""),FALSE,TRUE)))</f>
        <v>1</v>
      </c>
      <c r="B47" s="273" t="str">
        <f>IF('Pos. 2'!AB73="","322201/322201","400228/400228")</f>
        <v>322201/322201</v>
      </c>
      <c r="C47" s="310" t="b">
        <v>0</v>
      </c>
      <c r="D47" s="273" t="s">
        <v>67</v>
      </c>
      <c r="E47" s="309" t="s">
        <v>68</v>
      </c>
      <c r="F47" s="309" t="s">
        <v>69</v>
      </c>
      <c r="G47" s="310" t="s">
        <v>326</v>
      </c>
      <c r="H47" s="448" t="str">
        <f t="shared" si="1"/>
        <v>Windlast:</v>
      </c>
      <c r="I47" s="454"/>
      <c r="K47" s="303" t="s">
        <v>437</v>
      </c>
      <c r="L47" s="281">
        <f>IF(AND($I$13=FALSE,$I$14=FALSE),0,1)</f>
        <v>0</v>
      </c>
      <c r="M47" s="486"/>
      <c r="N47" s="187" t="str">
        <f>CONCATENATE("Pos. ",'Pos. 2'!$B$2,".7")</f>
        <v>Pos. 2.7</v>
      </c>
      <c r="O47" s="188" t="b">
        <f>IF(AND('Pos. 2'!AW38&lt;&gt;"",'Pos. 2'!AX38&lt;&gt;""),TRUE,FALSE)</f>
        <v>0</v>
      </c>
      <c r="P47" s="191"/>
      <c r="Q47" s="368">
        <v>6</v>
      </c>
      <c r="U47" s="303" t="b">
        <f t="shared" si="4"/>
        <v>0</v>
      </c>
      <c r="V47" s="489">
        <f t="shared" si="5"/>
        <v>1</v>
      </c>
    </row>
    <row r="48" spans="1:40" x14ac:dyDescent="0.2">
      <c r="A48" s="448" t="b">
        <f>IF(C48=FALSE,TRUE,(IF(AND(C48=TRUE,'Pos. 2'!H96=""),FALSE,TRUE)))</f>
        <v>1</v>
      </c>
      <c r="B48" s="273" t="s">
        <v>715</v>
      </c>
      <c r="C48" s="310" t="b">
        <v>0</v>
      </c>
      <c r="D48" s="273" t="s">
        <v>70</v>
      </c>
      <c r="E48" s="309" t="s">
        <v>71</v>
      </c>
      <c r="F48" s="309" t="s">
        <v>72</v>
      </c>
      <c r="G48" s="310" t="s">
        <v>327</v>
      </c>
      <c r="H48" s="448" t="str">
        <f t="shared" si="1"/>
        <v>Bemerkung:</v>
      </c>
      <c r="I48" s="454"/>
      <c r="K48" s="303" t="s">
        <v>439</v>
      </c>
      <c r="L48" s="493">
        <f>IF(OR(AND($C$37=FALSE,$C$39=FALSE),(AND($C$38=FALSE,$C$40=FALSE))),0,1)</f>
        <v>1</v>
      </c>
      <c r="M48" s="494">
        <f>IF($L$49=0,0,L48)</f>
        <v>0</v>
      </c>
      <c r="N48" s="187" t="str">
        <f>CONCATENATE("Pos. ",'Pos. 2'!$B$2,".8")</f>
        <v>Pos. 2.8</v>
      </c>
      <c r="O48" s="188" t="b">
        <f>IF(AND('Pos. 2'!AW39&lt;&gt;"",'Pos. 2'!AX39&lt;&gt;""),TRUE,FALSE)</f>
        <v>0</v>
      </c>
      <c r="P48" s="191"/>
      <c r="Q48" s="368">
        <v>7</v>
      </c>
      <c r="U48" s="303" t="b">
        <f>IF(M49=0,FALSE,TRUE)</f>
        <v>0</v>
      </c>
      <c r="V48" s="489">
        <f t="shared" si="5"/>
        <v>1</v>
      </c>
    </row>
    <row r="49" spans="1:22" ht="13.5" thickBot="1" x14ac:dyDescent="0.25">
      <c r="A49" s="495"/>
      <c r="B49" s="273" t="s">
        <v>716</v>
      </c>
      <c r="C49" s="310" t="b">
        <v>0</v>
      </c>
      <c r="D49" s="273" t="s">
        <v>73</v>
      </c>
      <c r="E49" s="309" t="s">
        <v>74</v>
      </c>
      <c r="F49" s="309" t="s">
        <v>310</v>
      </c>
      <c r="G49" s="310" t="s">
        <v>328</v>
      </c>
      <c r="H49" s="448" t="str">
        <f t="shared" si="1"/>
        <v>Zubehör:</v>
      </c>
      <c r="I49" s="454"/>
      <c r="K49" s="303" t="s">
        <v>438</v>
      </c>
      <c r="L49" s="327">
        <f>IF(L48=0,0,IF('Pos. 2'!$I$49&gt;0,1,0))</f>
        <v>0</v>
      </c>
      <c r="M49" s="285">
        <f>SUM(L49,M48)</f>
        <v>0</v>
      </c>
      <c r="N49" s="187" t="str">
        <f>CONCATENATE("Pos. ",'Pos. 2'!$B$2,".9")</f>
        <v>Pos. 2.9</v>
      </c>
      <c r="O49" s="188" t="b">
        <f>IF(AND('Pos. 2'!AW40&lt;&gt;"",'Pos. 2'!AX40&lt;&gt;""),TRUE,FALSE)</f>
        <v>0</v>
      </c>
      <c r="P49" s="191"/>
      <c r="Q49" s="368">
        <v>8</v>
      </c>
      <c r="T49" s="308" t="s">
        <v>870</v>
      </c>
      <c r="U49" s="303" t="b">
        <f>IF(AND(L44=1,AND('Pos. 2'!E23="",'Pos. 2'!E24="",'Pos. 2'!E25="",'Pos. 2'!E26="")),FALSE,TRUE)</f>
        <v>1</v>
      </c>
      <c r="V49" s="489">
        <f t="shared" si="5"/>
        <v>0</v>
      </c>
    </row>
    <row r="50" spans="1:22" x14ac:dyDescent="0.2">
      <c r="A50" s="272">
        <f>COUNTIF(A41:A49,FALSE)</f>
        <v>0</v>
      </c>
      <c r="B50" s="273" t="s">
        <v>371</v>
      </c>
      <c r="C50" s="310" t="b">
        <v>0</v>
      </c>
      <c r="D50" s="273" t="s">
        <v>670</v>
      </c>
      <c r="E50" s="309" t="s">
        <v>671</v>
      </c>
      <c r="F50" s="309" t="s">
        <v>673</v>
      </c>
      <c r="G50" s="310" t="s">
        <v>672</v>
      </c>
      <c r="H50" s="448" t="str">
        <f t="shared" si="1"/>
        <v>Rinne (siehe unten)</v>
      </c>
      <c r="I50" s="454" t="b">
        <v>0</v>
      </c>
      <c r="K50" s="303" t="s">
        <v>440</v>
      </c>
      <c r="L50" s="286">
        <f>IF(AND(OR($C$53=TRUE,$C$54=TRUE),'Pos. 2'!$Z$42&lt;&gt;"",'Pos. 2'!$T$45&lt;&gt;""),1,0)</f>
        <v>0</v>
      </c>
      <c r="M50" s="486"/>
      <c r="N50" s="187" t="str">
        <f>CONCATENATE("Pos. ",'Pos. 2'!$B$2,".10")</f>
        <v>Pos. 2.10</v>
      </c>
      <c r="O50" s="188" t="b">
        <f>IF(AND('Pos. 2'!AW41&lt;&gt;"",'Pos. 2'!AX41&lt;&gt;""),TRUE,FALSE)</f>
        <v>0</v>
      </c>
      <c r="P50" s="191"/>
      <c r="Q50" s="368">
        <v>9</v>
      </c>
      <c r="U50" s="303" t="b">
        <f t="shared" ref="U50:U55" si="7">IF(L50=0,FALSE,TRUE)</f>
        <v>0</v>
      </c>
      <c r="V50" s="489">
        <f t="shared" si="5"/>
        <v>1</v>
      </c>
    </row>
    <row r="51" spans="1:22" ht="13.5" thickBot="1" x14ac:dyDescent="0.25">
      <c r="B51" s="273" t="s">
        <v>394</v>
      </c>
      <c r="C51" s="310" t="b">
        <v>0</v>
      </c>
      <c r="D51" s="273" t="s">
        <v>306</v>
      </c>
      <c r="E51" s="309" t="s">
        <v>307</v>
      </c>
      <c r="F51" s="309" t="s">
        <v>308</v>
      </c>
      <c r="G51" s="310" t="s">
        <v>329</v>
      </c>
      <c r="H51" s="448" t="str">
        <f t="shared" si="1"/>
        <v>Wetterschenkel</v>
      </c>
      <c r="I51" s="454" t="b">
        <v>0</v>
      </c>
      <c r="K51" s="303" t="s">
        <v>441</v>
      </c>
      <c r="L51" s="279">
        <f>IF(OR($I$15=TRUE,$I$16=TRUE,$I$17=TRUE,$I$18=TRUE,$I$19=TRUE,$I$20=TRUE,$I$22=TRUE,$I$25=TRUE,$I$125=TRUE,$I$26=TRUE,$I$27=TRUE,$I$28=TRUE,$I$29=TRUE),1,0)</f>
        <v>0</v>
      </c>
      <c r="M51" s="486"/>
      <c r="N51" s="190" t="s">
        <v>581</v>
      </c>
      <c r="O51" s="192">
        <f>IF(P51=O52,1,0)</f>
        <v>0</v>
      </c>
      <c r="P51" s="193" t="str">
        <f>CONCATENATE("(",COUNTBLANK('Pos. 2'!AW32:AW41),")")</f>
        <v>(10)</v>
      </c>
      <c r="Q51" s="472">
        <v>10</v>
      </c>
      <c r="U51" s="303" t="b">
        <f t="shared" si="7"/>
        <v>0</v>
      </c>
      <c r="V51" s="489">
        <f t="shared" si="5"/>
        <v>1</v>
      </c>
    </row>
    <row r="52" spans="1:22" ht="13.5" thickBot="1" x14ac:dyDescent="0.25">
      <c r="B52" s="273"/>
      <c r="C52" s="310"/>
      <c r="D52" s="273" t="s">
        <v>298</v>
      </c>
      <c r="E52" s="309" t="s">
        <v>299</v>
      </c>
      <c r="F52" s="309" t="s">
        <v>300</v>
      </c>
      <c r="G52" s="310" t="s">
        <v>330</v>
      </c>
      <c r="H52" s="448" t="str">
        <f t="shared" si="1"/>
        <v>Standardgrundplatten:</v>
      </c>
      <c r="I52" s="454" t="b">
        <v>0</v>
      </c>
      <c r="K52" s="303" t="s">
        <v>442</v>
      </c>
      <c r="L52" s="279">
        <f>IF(OR(AND($I$36=TRUE,'Pos. 2'!$AM$43&lt;&gt;0,'Pos. 2'!$AR$43&lt;&gt;0,'Pos. 2'!$AM$49&lt;&gt;""),AND($I$39=TRUE,'Pos. 2'!$AM$45&lt;&gt;0,'Pos. 2'!$AM$49&lt;&gt;"",'Pos. 2'!$AM$46&lt;&gt;"",'Pos. 2'!$AM$47&lt;&gt;"")),1,0)</f>
        <v>0</v>
      </c>
      <c r="M52" s="486"/>
      <c r="N52" s="194"/>
      <c r="O52" s="195" t="str">
        <f>CONCATENATE("(",IF(I19=TRUE,COUNTIF(O41:O50,FALSE),""),")")</f>
        <v>()</v>
      </c>
      <c r="P52" s="196"/>
      <c r="U52" s="303" t="b">
        <f t="shared" si="7"/>
        <v>0</v>
      </c>
      <c r="V52" s="489">
        <f t="shared" si="5"/>
        <v>1</v>
      </c>
    </row>
    <row r="53" spans="1:22" x14ac:dyDescent="0.2">
      <c r="B53" s="273" t="s">
        <v>717</v>
      </c>
      <c r="C53" s="310" t="b">
        <v>1</v>
      </c>
      <c r="D53" s="273" t="s">
        <v>75</v>
      </c>
      <c r="E53" s="309" t="s">
        <v>75</v>
      </c>
      <c r="F53" s="309" t="s">
        <v>75</v>
      </c>
      <c r="G53" s="310" t="s">
        <v>75</v>
      </c>
      <c r="H53" s="448" t="str">
        <f t="shared" si="1"/>
        <v>Sun-Box</v>
      </c>
      <c r="I53" s="454"/>
      <c r="K53" s="303" t="s">
        <v>446</v>
      </c>
      <c r="L53" s="279">
        <f>IF('Pos. 2'!AT52=1,1,IF(AND(OR($I$43=TRUE,$I$44=TRUE),'Pos. 2'!$AE$53&lt;&gt;0,'Pos. 2'!$AO$55&lt;&gt;""),1,0))</f>
        <v>0</v>
      </c>
      <c r="M53" s="486"/>
      <c r="U53" s="303" t="b">
        <f t="shared" si="7"/>
        <v>0</v>
      </c>
      <c r="V53" s="489">
        <f t="shared" si="5"/>
        <v>1</v>
      </c>
    </row>
    <row r="54" spans="1:22" x14ac:dyDescent="0.2">
      <c r="B54" s="273" t="s">
        <v>718</v>
      </c>
      <c r="C54" s="310" t="b">
        <v>0</v>
      </c>
      <c r="D54" s="273" t="s">
        <v>76</v>
      </c>
      <c r="E54" s="309" t="s">
        <v>77</v>
      </c>
      <c r="F54" s="309" t="s">
        <v>78</v>
      </c>
      <c r="G54" s="310" t="s">
        <v>331</v>
      </c>
      <c r="H54" s="448" t="str">
        <f t="shared" si="1"/>
        <v>Glastyp wählen</v>
      </c>
      <c r="I54" s="454"/>
      <c r="K54" s="303" t="s">
        <v>447</v>
      </c>
      <c r="L54" s="279">
        <f>SUM(IF(AND('Pos. 2'!$AE$70&lt;&gt;"",'Pos. 2'!$AN$70&lt;&gt;"",OR($C$60=TRUE,$C$61=TRUE,$C$62=TRUE,$C$63=TRUE)),1,0),M54)</f>
        <v>1</v>
      </c>
      <c r="M54" s="486">
        <f>IF(AND(OR('Pos. 2'!F10="F",'Pos. 2'!F10=""),OR('Pos. 2'!N10="F",'Pos. 2'!N10=""),OR('Pos. 2'!R10="F",'Pos. 2'!R10=""),OR('Pos. 2'!V10="F",'Pos. 2'!V10=""),OR('Pos. 2'!Z10="F",'Pos. 2'!Z10=""),OR('Pos. 2'!AD10="F",'Pos. 2'!AD10=""),OR('Pos. 2'!AH10="F",'Pos. 2'!AH10=""),OR('Pos. 2'!AL10="F",'Pos. 2'!AL10=""),OR('Pos. 2'!AP10="F",'Pos. 2'!AP10="")),1,0)</f>
        <v>1</v>
      </c>
      <c r="U54" s="303" t="b">
        <f t="shared" si="7"/>
        <v>1</v>
      </c>
      <c r="V54" s="489">
        <f t="shared" si="5"/>
        <v>0</v>
      </c>
    </row>
    <row r="55" spans="1:22" x14ac:dyDescent="0.2">
      <c r="B55" s="273"/>
      <c r="C55" s="310"/>
      <c r="D55" s="273" t="s">
        <v>79</v>
      </c>
      <c r="E55" s="309" t="s">
        <v>80</v>
      </c>
      <c r="F55" s="309" t="s">
        <v>79</v>
      </c>
      <c r="G55" s="310" t="s">
        <v>79</v>
      </c>
      <c r="H55" s="448" t="str">
        <f t="shared" si="1"/>
        <v>Pos:</v>
      </c>
      <c r="I55" s="454"/>
      <c r="K55" s="303" t="s">
        <v>448</v>
      </c>
      <c r="L55" s="281">
        <f>IF(AND('Pos. 2'!$AM$88&lt;&gt;"",'Pos. 2'!$AE$84&lt;&gt;"",'Pos. 2'!$AM$87&lt;&gt;""),1,0)</f>
        <v>0</v>
      </c>
      <c r="M55" s="486"/>
      <c r="U55" s="303" t="b">
        <f t="shared" si="7"/>
        <v>0</v>
      </c>
      <c r="V55" s="489">
        <f t="shared" si="5"/>
        <v>1</v>
      </c>
    </row>
    <row r="56" spans="1:22" ht="15" customHeight="1" thickBot="1" x14ac:dyDescent="0.25">
      <c r="B56" s="273"/>
      <c r="C56" s="310" t="b">
        <v>1</v>
      </c>
      <c r="D56" s="273" t="s">
        <v>81</v>
      </c>
      <c r="E56" s="309" t="s">
        <v>82</v>
      </c>
      <c r="F56" s="309" t="s">
        <v>83</v>
      </c>
      <c r="G56" s="310" t="s">
        <v>147</v>
      </c>
      <c r="H56" s="448" t="str">
        <f t="shared" si="1"/>
        <v>Stück:</v>
      </c>
      <c r="I56" s="454"/>
      <c r="K56" s="303" t="s">
        <v>453</v>
      </c>
      <c r="L56" s="493">
        <f>IF(OR($C$41=TRUE,$C$42=TRUE,$C$43=TRUE,$C$44=TRUE,AND('Pos. 2'!F10="F",'Pos. 2'!J10="")),1,0)</f>
        <v>0</v>
      </c>
      <c r="M56" s="287">
        <f>SUM(L56:L57)</f>
        <v>0</v>
      </c>
      <c r="U56" s="303" t="b">
        <f>IF(M56=0,FALSE,TRUE)</f>
        <v>0</v>
      </c>
      <c r="V56" s="489">
        <f t="shared" si="5"/>
        <v>1</v>
      </c>
    </row>
    <row r="57" spans="1:22" x14ac:dyDescent="0.2">
      <c r="B57" s="273" t="s">
        <v>455</v>
      </c>
      <c r="C57" s="310" t="b">
        <v>0</v>
      </c>
      <c r="D57" s="273" t="s">
        <v>84</v>
      </c>
      <c r="E57" s="309" t="s">
        <v>85</v>
      </c>
      <c r="F57" s="309" t="s">
        <v>85</v>
      </c>
      <c r="G57" s="310" t="s">
        <v>193</v>
      </c>
      <c r="H57" s="448" t="str">
        <f t="shared" si="1"/>
        <v>Seite:</v>
      </c>
      <c r="I57" s="454"/>
      <c r="K57" s="303" t="s">
        <v>454</v>
      </c>
      <c r="L57" s="327" t="s">
        <v>809</v>
      </c>
      <c r="M57" s="288"/>
      <c r="O57" s="34" t="s">
        <v>888</v>
      </c>
      <c r="P57" s="370"/>
      <c r="Q57" s="370"/>
      <c r="R57" s="371"/>
      <c r="T57" s="308"/>
      <c r="U57" s="303"/>
      <c r="V57" s="489"/>
    </row>
    <row r="58" spans="1:22" x14ac:dyDescent="0.2">
      <c r="B58" s="273" t="s">
        <v>456</v>
      </c>
      <c r="C58" s="310" t="b">
        <v>0</v>
      </c>
      <c r="D58" s="273" t="s">
        <v>425</v>
      </c>
      <c r="E58" s="309" t="s">
        <v>426</v>
      </c>
      <c r="F58" s="309" t="s">
        <v>427</v>
      </c>
      <c r="G58" s="310" t="s">
        <v>428</v>
      </c>
      <c r="H58" s="448" t="str">
        <f t="shared" si="1"/>
        <v>Achsmass →</v>
      </c>
      <c r="I58" s="454"/>
      <c r="K58" s="303" t="s">
        <v>457</v>
      </c>
      <c r="L58" s="286">
        <f>IF(AND('Pos. 2'!$G$20=0,'Pos. 2'!$K$20=0,'Pos. 2'!$O$20=0,'Pos. 2'!$S$20=0,'Pos. 2'!$W$20=0,'Pos. 2'!$AA$20=0,'Pos. 2'!$AE$20=0,'Pos. 2'!$AI$20=0,'Pos. 2'!$AM$20=0),1,0)</f>
        <v>1</v>
      </c>
      <c r="M58" s="486"/>
      <c r="O58" s="372" t="s">
        <v>889</v>
      </c>
      <c r="P58" s="373" t="s">
        <v>890</v>
      </c>
      <c r="Q58" s="373" t="s">
        <v>891</v>
      </c>
      <c r="R58" s="374" t="s">
        <v>892</v>
      </c>
      <c r="T58" s="308" t="s">
        <v>690</v>
      </c>
      <c r="U58" s="303" t="b">
        <f>IF(AND(L62=1,'Pos. 2'!C11&gt;35),FALSE,TRUE)</f>
        <v>1</v>
      </c>
      <c r="V58" s="489">
        <f t="shared" si="5"/>
        <v>0</v>
      </c>
    </row>
    <row r="59" spans="1:22" x14ac:dyDescent="0.2">
      <c r="B59" s="273"/>
      <c r="C59" s="310"/>
      <c r="D59" s="273" t="s">
        <v>86</v>
      </c>
      <c r="E59" s="309" t="s">
        <v>87</v>
      </c>
      <c r="F59" s="309" t="s">
        <v>88</v>
      </c>
      <c r="G59" s="310" t="s">
        <v>146</v>
      </c>
      <c r="H59" s="448" t="str">
        <f t="shared" si="1"/>
        <v>VSG mit P4A</v>
      </c>
      <c r="I59" s="454"/>
      <c r="K59" s="303" t="s">
        <v>458</v>
      </c>
      <c r="L59" s="496">
        <f>IF(AND($C$49=FALSE,$C$50=FALSE,$C$51=FALSE),0,1)</f>
        <v>0</v>
      </c>
      <c r="M59" s="290">
        <f>SUM(L58:L59)</f>
        <v>1</v>
      </c>
      <c r="O59" s="317" t="s">
        <v>195</v>
      </c>
      <c r="P59" s="375">
        <f>IF(OR('Pos. 2'!$F$10='Sprachen &amp; Rückgabewerte(2)'!$B$10,'Pos. 2'!$F$10='Sprachen &amp; Rückgabewerte(2)'!B11),1,0)</f>
        <v>0</v>
      </c>
      <c r="Q59" s="318">
        <f>IF(P59=1,0,1)</f>
        <v>1</v>
      </c>
      <c r="R59" s="325">
        <f>IF(AND(P59=1,'Pos. 2'!$F$16=""),1,0)</f>
        <v>0</v>
      </c>
      <c r="U59" s="303" t="b">
        <f>IF(M59=0,FALSE,TRUE)</f>
        <v>1</v>
      </c>
      <c r="V59" s="489">
        <f t="shared" si="5"/>
        <v>0</v>
      </c>
    </row>
    <row r="60" spans="1:22" ht="15" customHeight="1" x14ac:dyDescent="0.2">
      <c r="B60" s="273" t="s">
        <v>229</v>
      </c>
      <c r="C60" s="310" t="b">
        <v>0</v>
      </c>
      <c r="D60" s="273" t="s">
        <v>89</v>
      </c>
      <c r="E60" s="309" t="s">
        <v>90</v>
      </c>
      <c r="F60" s="309" t="s">
        <v>289</v>
      </c>
      <c r="G60" s="310" t="s">
        <v>332</v>
      </c>
      <c r="H60" s="448" t="str">
        <f t="shared" si="1"/>
        <v>Insektenschutz</v>
      </c>
      <c r="I60" s="454"/>
      <c r="K60" s="303" t="s">
        <v>459</v>
      </c>
      <c r="L60" s="493">
        <f>IF(AND($C$46=TRUE,OR($C$57=TRUE,$C$58=TRUE)),1,0)</f>
        <v>0</v>
      </c>
      <c r="M60" s="544">
        <f>SUM(L60:L61)</f>
        <v>1</v>
      </c>
      <c r="O60" s="273" t="s">
        <v>196</v>
      </c>
      <c r="P60" s="376">
        <f>IF(OR('Pos. 2'!$J$10='Sprachen &amp; Rückgabewerte(2)'!$B$10,'Pos. 2'!$J$10='Sprachen &amp; Rückgabewerte(2)'!B11),1,0)</f>
        <v>0</v>
      </c>
      <c r="Q60" s="309">
        <f t="shared" ref="Q60:Q68" si="8">IF(P60=1,0,1)</f>
        <v>1</v>
      </c>
      <c r="R60" s="310">
        <f>IF(AND(P60=1,'Pos. 2'!$J$16=""),1,0)</f>
        <v>0</v>
      </c>
      <c r="U60" s="303" t="b">
        <f>IF(M60=0,FALSE,TRUE)</f>
        <v>1</v>
      </c>
      <c r="V60" s="489">
        <f t="shared" si="5"/>
        <v>0</v>
      </c>
    </row>
    <row r="61" spans="1:22" ht="12.75" customHeight="1" x14ac:dyDescent="0.2">
      <c r="B61" s="273" t="s">
        <v>230</v>
      </c>
      <c r="C61" s="310" t="b">
        <v>0</v>
      </c>
      <c r="D61" s="336" t="s">
        <v>145</v>
      </c>
      <c r="E61" s="497" t="s">
        <v>145</v>
      </c>
      <c r="F61" s="497" t="s">
        <v>145</v>
      </c>
      <c r="G61" s="498" t="s">
        <v>145</v>
      </c>
      <c r="H61" s="448" t="str">
        <f t="shared" si="1"/>
        <v>Standard = 1050mm</v>
      </c>
      <c r="I61" s="454"/>
      <c r="K61" s="303"/>
      <c r="L61" s="327">
        <f>IF(C46=FALSE,1,0)</f>
        <v>1</v>
      </c>
      <c r="M61" s="545"/>
      <c r="O61" s="273" t="s">
        <v>197</v>
      </c>
      <c r="P61" s="376">
        <f>IF(OR('Pos. 2'!$N$10='Sprachen &amp; Rückgabewerte(2)'!$B$10,'Pos. 2'!$N$10='Sprachen &amp; Rückgabewerte(2)'!B11),1,0)</f>
        <v>0</v>
      </c>
      <c r="Q61" s="309">
        <f t="shared" si="8"/>
        <v>1</v>
      </c>
      <c r="R61" s="310">
        <f>IF(AND(P61=1,'Pos. 2'!$N$16=""),1,0)</f>
        <v>0</v>
      </c>
      <c r="U61" s="303"/>
      <c r="V61" s="489"/>
    </row>
    <row r="62" spans="1:22" x14ac:dyDescent="0.2">
      <c r="B62" s="273" t="s">
        <v>231</v>
      </c>
      <c r="C62" s="310" t="b">
        <v>0</v>
      </c>
      <c r="D62" s="273" t="s">
        <v>140</v>
      </c>
      <c r="E62" s="309" t="s">
        <v>141</v>
      </c>
      <c r="F62" s="309" t="s">
        <v>142</v>
      </c>
      <c r="G62" s="310" t="s">
        <v>143</v>
      </c>
      <c r="H62" s="448" t="str">
        <f t="shared" si="1"/>
        <v>RC2: zwingend 1050mm</v>
      </c>
      <c r="I62" s="454"/>
      <c r="K62" s="303" t="s">
        <v>484</v>
      </c>
      <c r="L62" s="493">
        <f>IF(OR(AND('Pos. 2'!$F$10="L",'Pos. 2'!$J$10="R"),AND('Pos. 2'!$J$10="L",'Pos. 2'!$N$10="R"),AND('Pos. 2'!$N$10="L",'Pos. 2'!$R$10="R"),AND('Pos. 2'!$R$10="L",'Pos. 2'!$V$10="R"),AND('Pos. 2'!$V$10="L",'Pos. 2'!$Z$10="R"),AND('Pos. 2'!$Z$10="L",'Pos. 2'!$AD$10="R"),AND('Pos. 2'!$AD$10="L",'Pos. 2'!$AH$10="R"),AND('Pos. 2'!$AH$10="L",'Pos. 2'!$AL$10="R"),AND('Pos. 2'!$AL$10="L",'Pos. 2'!$AP$10="R"),AND('Pos. 2'!F10="F",'Pos. 2'!J10="R"),AND('Pos. 2'!J10="F",'Pos. 2'!N10="R"),AND('Pos. 2'!N10="F",'Pos. 2'!R10="R"),AND('Pos. 2'!R10="F",'Pos. 2'!V10="R"),AND('Pos. 2'!V10="F",'Pos. 2'!Z10="R"),AND('Pos. 2'!Z10="F",'Pos. 2'!AD10="R"),AND('Pos. 2'!AD10="F",'Pos. 2'!AH10="R"),AND('Pos. 2'!AH10="F",'Pos. 2'!AL10="R"),AND('Pos. 2'!AL10="F",'Pos. 2'!AP10="R"),AND('Pos. 2'!F10="L",'Pos. 2'!J10="F"),AND('Pos. 2'!J10="L",'Pos. 2'!N10="F"),AND('Pos. 2'!N10="L",'Pos. 2'!R10="F"),AND('Pos. 2'!R10="L",'Pos. 2'!V10="F"),AND('Pos. 2'!V10="L",'Pos. 2'!Z10="F"),AND('Pos. 2'!Z10="L",'Pos. 2'!AD10="F"),AND('Pos. 2'!AD10="L",'Pos. 2'!AH10="F"),AND('Pos. 2'!AH10="L",'Pos. 2'!AL10="F"),AND('Pos. 2'!AL10="L",'Pos. 2'!AP10="F")),1,0)</f>
        <v>0</v>
      </c>
      <c r="M62" s="287">
        <f>IF(AND(L58=0,SUM(L62:L65)=2),0,SUM(L62:L65))</f>
        <v>1</v>
      </c>
      <c r="O62" s="273" t="s">
        <v>198</v>
      </c>
      <c r="P62" s="376">
        <f>IF(OR('Pos. 2'!$R$10='Sprachen &amp; Rückgabewerte(2)'!$B$10,'Pos. 2'!$R$10='Sprachen &amp; Rückgabewerte(2)'!B11),1,0)</f>
        <v>0</v>
      </c>
      <c r="Q62" s="309">
        <f t="shared" si="8"/>
        <v>1</v>
      </c>
      <c r="R62" s="310">
        <f>IF(AND(P62=1,'Pos. 2'!$R$16=""),1,0)</f>
        <v>0</v>
      </c>
      <c r="U62" s="303" t="b">
        <f>IF(OR(M62=2,M62=3),FALSE,TRUE)</f>
        <v>1</v>
      </c>
      <c r="V62" s="489">
        <f t="shared" si="5"/>
        <v>0</v>
      </c>
    </row>
    <row r="63" spans="1:22" ht="15.75" customHeight="1" thickBot="1" x14ac:dyDescent="0.25">
      <c r="B63" s="473" t="s">
        <v>232</v>
      </c>
      <c r="C63" s="380" t="b">
        <v>0</v>
      </c>
      <c r="D63" s="273" t="s">
        <v>144</v>
      </c>
      <c r="E63" s="309" t="s">
        <v>144</v>
      </c>
      <c r="F63" s="309" t="s">
        <v>144</v>
      </c>
      <c r="G63" s="310" t="s">
        <v>144</v>
      </c>
      <c r="H63" s="448" t="str">
        <f t="shared" si="1"/>
        <v>min: RV=200 MVv=750</v>
      </c>
      <c r="I63" s="454"/>
      <c r="K63" s="303"/>
      <c r="L63" s="499">
        <f>IF(AND('Pos. 2'!G20="",'Pos. 2'!K20="",'Pos. 2'!O20="",'Pos. 2'!S20="",'Pos. 2'!W20="",'Pos. 2'!AA20="",'Pos. 2'!AE20="",'Pos. 2'!AI20="",'Pos. 2'!AM20=""),1,2)</f>
        <v>1</v>
      </c>
      <c r="M63" s="292"/>
      <c r="O63" s="273" t="s">
        <v>199</v>
      </c>
      <c r="P63" s="376">
        <f>IF(OR('Pos. 2'!$V$10='Sprachen &amp; Rückgabewerte(2)'!$B$10,'Pos. 2'!$V$10='Sprachen &amp; Rückgabewerte(2)'!B11),1,0)</f>
        <v>0</v>
      </c>
      <c r="Q63" s="309">
        <f t="shared" si="8"/>
        <v>1</v>
      </c>
      <c r="R63" s="310">
        <f>IF(AND(P63=1,'Pos. 2'!$V$16=""),1,0)</f>
        <v>0</v>
      </c>
      <c r="T63" s="308" t="s">
        <v>698</v>
      </c>
      <c r="U63" s="303" t="b">
        <f>IF('Pos. 2'!AX25="",FALSE,TRUE)</f>
        <v>0</v>
      </c>
      <c r="V63" s="489">
        <f>IF(U63=FALSE,1,0)</f>
        <v>1</v>
      </c>
    </row>
    <row r="64" spans="1:22" ht="15" customHeight="1" x14ac:dyDescent="0.2">
      <c r="B64" s="500" t="s">
        <v>549</v>
      </c>
      <c r="C64" s="501">
        <f>IF(OR($C$60=TRUE,$C$61=TRUE,$C$62=TRUE,$C$63=TRUE),1,0)</f>
        <v>0</v>
      </c>
      <c r="D64" s="273" t="s">
        <v>148</v>
      </c>
      <c r="E64" s="309" t="s">
        <v>234</v>
      </c>
      <c r="F64" s="309" t="s">
        <v>258</v>
      </c>
      <c r="G64" s="310" t="s">
        <v>272</v>
      </c>
      <c r="H64" s="448" t="str">
        <f t="shared" si="1"/>
        <v>Verschlussgriffe:</v>
      </c>
      <c r="I64" s="454"/>
      <c r="K64" s="303"/>
      <c r="L64" s="499">
        <f>IF(AND($C$45=FALSE,$C$46=FALSE,$C$47=FALSE,$C$48=FALSE),0,1)</f>
        <v>0</v>
      </c>
      <c r="M64" s="292"/>
      <c r="O64" s="273" t="s">
        <v>200</v>
      </c>
      <c r="P64" s="376">
        <f>IF(OR('Pos. 2'!$Z$10='Sprachen &amp; Rückgabewerte(2)'!$B$10,'Pos. 2'!$Z$10='Sprachen &amp; Rückgabewerte(2)'!B11),1,0)</f>
        <v>0</v>
      </c>
      <c r="Q64" s="309">
        <f t="shared" si="8"/>
        <v>1</v>
      </c>
      <c r="R64" s="310">
        <f>IF(AND(P64=1,'Pos. 2'!$Z$16=""),1,0)</f>
        <v>0</v>
      </c>
      <c r="T64" s="308" t="s">
        <v>705</v>
      </c>
      <c r="U64" s="303" t="b">
        <f>IF('Pos. 2'!AM87="",FALSE,TRUE)</f>
        <v>0</v>
      </c>
      <c r="V64" s="489">
        <f>IF(U64=FALSE,1,0)</f>
        <v>1</v>
      </c>
    </row>
    <row r="65" spans="2:23" ht="15.75" customHeight="1" thickBot="1" x14ac:dyDescent="0.25">
      <c r="B65" s="89"/>
      <c r="C65" s="502"/>
      <c r="D65" s="273" t="s">
        <v>152</v>
      </c>
      <c r="E65" s="309" t="s">
        <v>235</v>
      </c>
      <c r="F65" s="309" t="s">
        <v>290</v>
      </c>
      <c r="G65" s="310" t="s">
        <v>333</v>
      </c>
      <c r="H65" s="448" t="str">
        <f t="shared" si="1"/>
        <v>mit Verschlussraster (Druckknopf)</v>
      </c>
      <c r="I65" s="454"/>
      <c r="K65" s="303"/>
      <c r="L65" s="327">
        <f>IF(AND('Pos. 2'!H11="",'Pos. 2'!I11="",'Pos. 2'!L11="",'Pos. 2'!M11="",'Pos. 2'!P11="",'Pos. 2'!Q11="",'Pos. 2'!T11="",'Pos. 2'!U11="",'Pos. 2'!X11="",'Pos. 2'!Y11="",'Pos. 2'!AB11="",'Pos. 2'!AC11="",'Pos. 2'!AF11="",'Pos. 2'!AG11="",'Pos. 2'!AJ11="",'Pos. 2'!AK11="",'Pos. 2'!AN11="",'Pos. 2'!AO11=""),0,1)</f>
        <v>0</v>
      </c>
      <c r="M65" s="288"/>
      <c r="O65" s="273" t="s">
        <v>201</v>
      </c>
      <c r="P65" s="376">
        <f>IF(OR('Pos. 2'!$AD$10='Sprachen &amp; Rückgabewerte(2)'!$B$10,'Pos. 2'!$AD$10='Sprachen &amp; Rückgabewerte(2)'!B11),1,0)</f>
        <v>0</v>
      </c>
      <c r="Q65" s="309">
        <f t="shared" si="8"/>
        <v>1</v>
      </c>
      <c r="R65" s="310">
        <f>IF(AND(P65=1,'Pos. 2'!$AD$16=""),1,0)</f>
        <v>0</v>
      </c>
      <c r="T65" s="272" t="s">
        <v>936</v>
      </c>
      <c r="U65" s="303" t="b">
        <f>IF(AND(C51=TRUE,'Pos. 2'!V97=""),FALSE,TRUE)</f>
        <v>1</v>
      </c>
      <c r="V65" s="489">
        <f>IF(U65=FALSE,1,0)</f>
        <v>0</v>
      </c>
    </row>
    <row r="66" spans="2:23" ht="25.5" x14ac:dyDescent="0.2">
      <c r="B66" s="181" t="s">
        <v>550</v>
      </c>
      <c r="C66" s="502"/>
      <c r="D66" s="273" t="s">
        <v>406</v>
      </c>
      <c r="E66" s="309" t="s">
        <v>407</v>
      </c>
      <c r="F66" s="309" t="s">
        <v>409</v>
      </c>
      <c r="G66" s="310" t="s">
        <v>408</v>
      </c>
      <c r="H66" s="448" t="str">
        <f t="shared" si="1"/>
        <v>mit Verschlussraster (Zylinder)</v>
      </c>
      <c r="I66" s="454"/>
      <c r="K66" s="297" t="s">
        <v>553</v>
      </c>
      <c r="L66" s="493" t="b">
        <f>IF(AND($I$71=TRUE,'Pos. 2'!$AP$74="",'Pos. 2'!$AP$75="",'Pos. 2'!$AP$76=""),FALSE,TRUE)</f>
        <v>1</v>
      </c>
      <c r="M66" s="287" t="b">
        <f>IF(OR($L$66=FALSE,$L$67=FALSE,$L$68=FALSE,L69=FALSE),FALSE,TRUE)</f>
        <v>0</v>
      </c>
      <c r="O66" s="273" t="s">
        <v>202</v>
      </c>
      <c r="P66" s="376">
        <f>IF(OR('Pos. 2'!$AH$10='Sprachen &amp; Rückgabewerte(2)'!$B$10,'Pos. 2'!$AH$10='Sprachen &amp; Rückgabewerte(2)'!B11),1,0)</f>
        <v>0</v>
      </c>
      <c r="Q66" s="309">
        <f t="shared" si="8"/>
        <v>1</v>
      </c>
      <c r="R66" s="310">
        <f>IF(AND(P66=1,'Pos. 2'!$AH$16=""),1,0)</f>
        <v>0</v>
      </c>
      <c r="U66" s="303" t="b">
        <f>M66</f>
        <v>0</v>
      </c>
      <c r="V66" s="489">
        <f t="shared" si="5"/>
        <v>1</v>
      </c>
    </row>
    <row r="67" spans="2:23" ht="15" customHeight="1" x14ac:dyDescent="0.2">
      <c r="B67" s="503"/>
      <c r="C67" s="502"/>
      <c r="D67" s="273" t="s">
        <v>149</v>
      </c>
      <c r="E67" s="309" t="s">
        <v>236</v>
      </c>
      <c r="F67" s="309" t="s">
        <v>291</v>
      </c>
      <c r="G67" s="310" t="s">
        <v>334</v>
      </c>
      <c r="H67" s="448" t="str">
        <f t="shared" si="1"/>
        <v>ohne Verschlussraster</v>
      </c>
      <c r="I67" s="454"/>
      <c r="K67" s="297" t="s">
        <v>554</v>
      </c>
      <c r="L67" s="504" t="b">
        <f>IF('Pos. 2'!AN78="",FALSE,TRUE)</f>
        <v>0</v>
      </c>
      <c r="M67" s="292"/>
      <c r="O67" s="273" t="s">
        <v>203</v>
      </c>
      <c r="P67" s="376">
        <f>IF(OR('Pos. 2'!$AL$10='Sprachen &amp; Rückgabewerte(2)'!$B$10,'Pos. 2'!$AL$10='Sprachen &amp; Rückgabewerte(2)'!B11),1,0)</f>
        <v>0</v>
      </c>
      <c r="Q67" s="309">
        <f t="shared" si="8"/>
        <v>1</v>
      </c>
      <c r="R67" s="310">
        <f>IF(AND(P67=1,'Pos. 2'!$AL$16=""),1,0)</f>
        <v>0</v>
      </c>
      <c r="T67" s="308" t="s">
        <v>894</v>
      </c>
      <c r="U67" s="303" t="b">
        <f>IF(R69&gt;0,FALSE,TRUE)</f>
        <v>1</v>
      </c>
      <c r="V67" s="489">
        <f>IF(U67=FALSE,1,0)</f>
        <v>0</v>
      </c>
    </row>
    <row r="68" spans="2:23" ht="15" customHeight="1" x14ac:dyDescent="0.2">
      <c r="B68" s="448" t="str">
        <f>$H$112</f>
        <v>mit CFK</v>
      </c>
      <c r="C68" s="502"/>
      <c r="D68" s="273" t="s">
        <v>150</v>
      </c>
      <c r="E68" s="309" t="s">
        <v>237</v>
      </c>
      <c r="F68" s="309" t="s">
        <v>260</v>
      </c>
      <c r="G68" s="310" t="s">
        <v>335</v>
      </c>
      <c r="H68" s="448" t="str">
        <f t="shared" si="1"/>
        <v>2-Punkt Verriegelung</v>
      </c>
      <c r="I68" s="454"/>
      <c r="J68" s="272" t="str">
        <f>H68</f>
        <v>2-Punkt Verriegelung</v>
      </c>
      <c r="K68" s="297" t="s">
        <v>555</v>
      </c>
      <c r="L68" s="504" t="b">
        <f>IF('Pos. 2'!AN79="",FALSE,TRUE)</f>
        <v>0</v>
      </c>
      <c r="M68" s="292"/>
      <c r="O68" s="273" t="s">
        <v>204</v>
      </c>
      <c r="P68" s="376">
        <f>IF(OR('Pos. 2'!$AP$10='Sprachen &amp; Rückgabewerte(2)'!$B$10,'Pos. 2'!$AP$10='Sprachen &amp; Rückgabewerte(2)'!B11),1,0)</f>
        <v>0</v>
      </c>
      <c r="Q68" s="309">
        <f t="shared" si="8"/>
        <v>1</v>
      </c>
      <c r="R68" s="310">
        <f>IF(AND(P68=1,'Pos. 2'!$AP$16=""),1,0)</f>
        <v>0</v>
      </c>
      <c r="T68" s="308" t="s">
        <v>933</v>
      </c>
      <c r="U68" s="303" t="b">
        <f>IF('Pos. 2'!AQ96="",FALSE,TRUE)</f>
        <v>0</v>
      </c>
      <c r="V68" s="489">
        <f t="shared" ref="V68:V69" si="9">IF(U68=FALSE,1,0)</f>
        <v>1</v>
      </c>
      <c r="W68" s="505">
        <f>SUM(V68:V69)</f>
        <v>1</v>
      </c>
    </row>
    <row r="69" spans="2:23" ht="15" customHeight="1" thickBot="1" x14ac:dyDescent="0.25">
      <c r="B69" s="448" t="str">
        <f>$H$113</f>
        <v>ohne CFK</v>
      </c>
      <c r="C69" s="502"/>
      <c r="D69" s="273" t="s">
        <v>151</v>
      </c>
      <c r="E69" s="309" t="s">
        <v>238</v>
      </c>
      <c r="F69" s="309" t="s">
        <v>259</v>
      </c>
      <c r="G69" s="310" t="s">
        <v>336</v>
      </c>
      <c r="H69" s="448" t="str">
        <f t="shared" si="1"/>
        <v>3-Punkt Verriegelung</v>
      </c>
      <c r="I69" s="454"/>
      <c r="J69" s="272" t="str">
        <f>H69</f>
        <v>3-Punkt Verriegelung</v>
      </c>
      <c r="K69" s="297" t="s">
        <v>556</v>
      </c>
      <c r="L69" s="506" t="b">
        <f>IF('Pos. 2'!$AN$80&lt;&gt;"",TRUE,FALSE)</f>
        <v>0</v>
      </c>
      <c r="M69" s="288"/>
      <c r="O69" s="377"/>
      <c r="P69" s="378"/>
      <c r="Q69" s="379" t="s">
        <v>893</v>
      </c>
      <c r="R69" s="380">
        <f>IF(I20=TRUE,SUM(R59:R68),0)</f>
        <v>0</v>
      </c>
      <c r="T69" s="308" t="s">
        <v>934</v>
      </c>
      <c r="U69" s="303" t="b">
        <f>IF(AND('Pos. 2'!AQ96='Sprachen &amp; Rückgabewerte(2)'!H95,'Pos. 2'!AW96=""),FALSE,TRUE)</f>
        <v>1</v>
      </c>
      <c r="V69" s="489">
        <f t="shared" si="9"/>
        <v>0</v>
      </c>
    </row>
    <row r="70" spans="2:23" x14ac:dyDescent="0.2">
      <c r="B70" s="448"/>
      <c r="C70" s="502"/>
      <c r="D70" s="273" t="s">
        <v>233</v>
      </c>
      <c r="E70" s="309" t="s">
        <v>239</v>
      </c>
      <c r="F70" s="309" t="s">
        <v>261</v>
      </c>
      <c r="G70" s="310" t="s">
        <v>273</v>
      </c>
      <c r="H70" s="448" t="str">
        <f t="shared" si="1"/>
        <v>Befestigung:</v>
      </c>
      <c r="I70" s="454"/>
      <c r="K70" s="303" t="s">
        <v>579</v>
      </c>
      <c r="L70" s="507">
        <f>IF(AND(I19=TRUE,O51=1),1,0)</f>
        <v>0</v>
      </c>
      <c r="M70" s="290"/>
      <c r="U70" s="303" t="b">
        <f>IF(AND(I19=TRUE,O51&lt;&gt;1),FALSE,TRUE)</f>
        <v>1</v>
      </c>
      <c r="V70" s="489">
        <f t="shared" si="5"/>
        <v>0</v>
      </c>
    </row>
    <row r="71" spans="2:23" x14ac:dyDescent="0.2">
      <c r="B71" s="448" t="str">
        <f>$H$114</f>
        <v>mit Stahl</v>
      </c>
      <c r="C71" s="502"/>
      <c r="D71" s="273" t="s">
        <v>285</v>
      </c>
      <c r="E71" s="309" t="s">
        <v>286</v>
      </c>
      <c r="F71" s="309" t="s">
        <v>287</v>
      </c>
      <c r="G71" s="310" t="s">
        <v>274</v>
      </c>
      <c r="H71" s="448" t="str">
        <f t="shared" si="1"/>
        <v>Universalschrauben (A2):</v>
      </c>
      <c r="I71" s="454" t="b">
        <v>0</v>
      </c>
      <c r="K71" s="303" t="s">
        <v>619</v>
      </c>
      <c r="L71" s="507">
        <f>IF(OR('Pos. 2'!$F$10='Sprachen &amp; Rückgabewerte(2)'!$B$14,'Pos. 2'!$J$10='Sprachen &amp; Rückgabewerte(2)'!$B$14,'Pos. 2'!$N$10='Sprachen &amp; Rückgabewerte(2)'!B14,'Pos. 2'!$R$10='Sprachen &amp; Rückgabewerte(2)'!$B$14,'Pos. 2'!$V$10='Sprachen &amp; Rückgabewerte(2)'!$B$14,'Pos. 2'!$Z$10='Sprachen &amp; Rückgabewerte(2)'!$B$14,'Pos. 2'!$AD$10='Sprachen &amp; Rückgabewerte(2)'!$B$14,'Pos. 2'!$AH$10='Sprachen &amp; Rückgabewerte(2)'!$B$14,'Pos. 2'!$AL$10='Sprachen &amp; Rückgabewerte(2)'!$B$14,'Pos. 2'!$AP$10='Sprachen &amp; Rückgabewerte(2)'!$B$14),0,1)</f>
        <v>1</v>
      </c>
      <c r="M71" s="290">
        <f>IF(AND(L71=0,'Pos. 2'!AW48=""),0,1)</f>
        <v>1</v>
      </c>
      <c r="U71" s="303" t="b">
        <f>IF(M71=1,TRUE,FALSE)</f>
        <v>1</v>
      </c>
      <c r="V71" s="489">
        <f t="shared" si="5"/>
        <v>0</v>
      </c>
    </row>
    <row r="72" spans="2:23" x14ac:dyDescent="0.2">
      <c r="B72" s="448" t="str">
        <f>$H$115</f>
        <v>ohne Stahl</v>
      </c>
      <c r="C72" s="502"/>
      <c r="D72" s="273" t="s">
        <v>153</v>
      </c>
      <c r="E72" s="309" t="s">
        <v>153</v>
      </c>
      <c r="F72" s="309" t="s">
        <v>153</v>
      </c>
      <c r="G72" s="309" t="s">
        <v>153</v>
      </c>
      <c r="H72" s="448" t="str">
        <f t="shared" ref="H72:H88" si="10">IF($B$3=$A$3,D72,IF($B$3=$A$4,E72,IF($B$3=$A$5,F72,IF($B$3=$A$6,G72,""))))</f>
        <v>L=52mm</v>
      </c>
      <c r="I72" s="454"/>
      <c r="J72" s="272" t="str">
        <f>H72</f>
        <v>L=52mm</v>
      </c>
      <c r="K72" s="297" t="s">
        <v>683</v>
      </c>
      <c r="L72" s="298">
        <f>C95</f>
        <v>6</v>
      </c>
      <c r="M72" s="489"/>
      <c r="U72" s="303" t="b">
        <f>IF(AND(L72&gt;0,I50=TRUE),FALSE,TRUE)</f>
        <v>1</v>
      </c>
      <c r="V72" s="489">
        <f t="shared" si="5"/>
        <v>0</v>
      </c>
    </row>
    <row r="73" spans="2:23" x14ac:dyDescent="0.2">
      <c r="B73" s="448"/>
      <c r="C73" s="502"/>
      <c r="D73" s="273" t="s">
        <v>154</v>
      </c>
      <c r="E73" s="309" t="s">
        <v>154</v>
      </c>
      <c r="F73" s="309" t="s">
        <v>154</v>
      </c>
      <c r="G73" s="309" t="s">
        <v>154</v>
      </c>
      <c r="H73" s="448" t="str">
        <f t="shared" si="10"/>
        <v>L=82mm</v>
      </c>
      <c r="I73" s="454"/>
      <c r="J73" s="272" t="str">
        <f>H73</f>
        <v>L=82mm</v>
      </c>
      <c r="K73" s="297" t="s">
        <v>685</v>
      </c>
      <c r="L73" s="298">
        <f>A50</f>
        <v>0</v>
      </c>
      <c r="M73" s="489"/>
      <c r="U73" s="303" t="b">
        <f>IF(L73=0,TRUE,FALSE)</f>
        <v>1</v>
      </c>
      <c r="V73" s="489">
        <f t="shared" si="5"/>
        <v>0</v>
      </c>
    </row>
    <row r="74" spans="2:23" x14ac:dyDescent="0.2">
      <c r="B74" s="448" t="str">
        <f>$H$120</f>
        <v>mit AL.</v>
      </c>
      <c r="C74" s="502"/>
      <c r="D74" s="273" t="s">
        <v>155</v>
      </c>
      <c r="E74" s="309" t="s">
        <v>155</v>
      </c>
      <c r="F74" s="309" t="s">
        <v>155</v>
      </c>
      <c r="G74" s="309" t="s">
        <v>155</v>
      </c>
      <c r="H74" s="448" t="str">
        <f t="shared" si="10"/>
        <v>L=112mm</v>
      </c>
      <c r="I74" s="454"/>
      <c r="J74" s="272" t="str">
        <f>H74</f>
        <v>L=112mm</v>
      </c>
      <c r="K74" s="297" t="s">
        <v>306</v>
      </c>
      <c r="L74" s="298" t="b">
        <f>IF(AND(I51=TRUE,'Pos. 2'!AP86=""),FALSE,TRUE)</f>
        <v>1</v>
      </c>
      <c r="M74" s="489"/>
      <c r="U74" s="303" t="b">
        <f>L74</f>
        <v>1</v>
      </c>
      <c r="V74" s="489">
        <f t="shared" si="5"/>
        <v>0</v>
      </c>
    </row>
    <row r="75" spans="2:23" x14ac:dyDescent="0.2">
      <c r="B75" s="448" t="str">
        <f>$H$121</f>
        <v>ohne AL.</v>
      </c>
      <c r="C75" s="502"/>
      <c r="D75" s="273" t="s">
        <v>899</v>
      </c>
      <c r="E75" s="309" t="s">
        <v>900</v>
      </c>
      <c r="F75" s="309" t="s">
        <v>901</v>
      </c>
      <c r="G75" s="310" t="s">
        <v>902</v>
      </c>
      <c r="H75" s="448" t="str">
        <f t="shared" si="10"/>
        <v>(VE à 100 Stk.)</v>
      </c>
      <c r="I75" s="454"/>
      <c r="K75" s="297" t="s">
        <v>686</v>
      </c>
      <c r="L75" s="298" t="b">
        <f>IF(AND(I22=TRUE,'Pos. 2'!AL39=""),FALSE,TRUE)</f>
        <v>1</v>
      </c>
      <c r="M75" s="489"/>
      <c r="U75" s="303" t="b">
        <f>L75</f>
        <v>1</v>
      </c>
      <c r="V75" s="489">
        <f t="shared" si="5"/>
        <v>0</v>
      </c>
    </row>
    <row r="76" spans="2:23" x14ac:dyDescent="0.2">
      <c r="B76" s="448"/>
      <c r="D76" s="273" t="s">
        <v>156</v>
      </c>
      <c r="E76" s="309" t="s">
        <v>240</v>
      </c>
      <c r="F76" s="309" t="s">
        <v>262</v>
      </c>
      <c r="G76" s="310" t="s">
        <v>275</v>
      </c>
      <c r="H76" s="448" t="str">
        <f t="shared" si="10"/>
        <v>Sockelbefestigung:</v>
      </c>
      <c r="I76" s="454"/>
      <c r="K76" s="297" t="s">
        <v>687</v>
      </c>
      <c r="L76" s="298" t="b">
        <f>IF(AND(I45=TRUE,'Pos. 2'!AI57=""),FALSE,TRUE)</f>
        <v>1</v>
      </c>
      <c r="M76" s="489"/>
      <c r="U76" s="303" t="b">
        <f>L76</f>
        <v>1</v>
      </c>
      <c r="V76" s="489">
        <f t="shared" si="5"/>
        <v>0</v>
      </c>
    </row>
    <row r="77" spans="2:23" ht="13.5" thickBot="1" x14ac:dyDescent="0.25">
      <c r="B77" s="448" t="str">
        <f>$H$122</f>
        <v>mit AL. (&gt;2.5m)</v>
      </c>
      <c r="D77" s="273" t="s">
        <v>157</v>
      </c>
      <c r="E77" s="309" t="s">
        <v>241</v>
      </c>
      <c r="F77" s="309" t="s">
        <v>263</v>
      </c>
      <c r="G77" s="310" t="s">
        <v>276</v>
      </c>
      <c r="H77" s="448" t="str">
        <f t="shared" si="10"/>
        <v>Verstellschrauben M10 x</v>
      </c>
      <c r="I77" s="454"/>
      <c r="J77" s="272" t="str">
        <f>H80</f>
        <v>ohne</v>
      </c>
      <c r="K77" s="300" t="s">
        <v>688</v>
      </c>
      <c r="L77" s="301" t="b">
        <f>IF(OR('Pos. 2'!AE84='Sprachen &amp; Rückgabewerte(2)'!H88,AND('Pos. 2'!AE84='Sprachen &amp; Rückgabewerte(2)'!H89,'Pos. 2'!AE85&lt;&gt;"")),TRUE,FALSE)</f>
        <v>0</v>
      </c>
      <c r="M77" s="508"/>
      <c r="U77" s="303" t="b">
        <f>L77</f>
        <v>0</v>
      </c>
      <c r="V77" s="489">
        <f t="shared" si="5"/>
        <v>1</v>
      </c>
    </row>
    <row r="78" spans="2:23" ht="13.5" thickBot="1" x14ac:dyDescent="0.25">
      <c r="B78" s="495" t="str">
        <f>$H$123</f>
        <v>ohne AL. (&lt;2.5m)</v>
      </c>
      <c r="D78" s="273" t="s">
        <v>158</v>
      </c>
      <c r="E78" s="309" t="s">
        <v>158</v>
      </c>
      <c r="F78" s="309" t="s">
        <v>158</v>
      </c>
      <c r="G78" s="309" t="s">
        <v>158</v>
      </c>
      <c r="H78" s="448" t="str">
        <f t="shared" si="10"/>
        <v>L=70mm</v>
      </c>
      <c r="I78" s="454"/>
      <c r="J78" s="272" t="str">
        <f>H78</f>
        <v>L=70mm</v>
      </c>
      <c r="K78" s="34" t="s">
        <v>405</v>
      </c>
      <c r="L78" s="370"/>
      <c r="M78" s="370"/>
      <c r="N78" s="370"/>
      <c r="O78" s="371"/>
      <c r="T78" s="308" t="s">
        <v>952</v>
      </c>
      <c r="U78" s="303" t="b">
        <f>IF('Pos. 2'!AZ9="",FALSE,TRUE)</f>
        <v>0</v>
      </c>
      <c r="V78" s="489">
        <f t="shared" si="5"/>
        <v>1</v>
      </c>
      <c r="W78" s="505">
        <f>SUM(V78:V79)</f>
        <v>2</v>
      </c>
    </row>
    <row r="79" spans="2:23" ht="13.5" thickBot="1" x14ac:dyDescent="0.25">
      <c r="D79" s="273" t="s">
        <v>159</v>
      </c>
      <c r="E79" s="309" t="s">
        <v>159</v>
      </c>
      <c r="F79" s="309" t="s">
        <v>159</v>
      </c>
      <c r="G79" s="309" t="s">
        <v>159</v>
      </c>
      <c r="H79" s="448" t="str">
        <f t="shared" si="10"/>
        <v>L=100mm</v>
      </c>
      <c r="I79" s="454"/>
      <c r="J79" s="272" t="str">
        <f>H79</f>
        <v>L=100mm</v>
      </c>
      <c r="K79" s="509" t="str">
        <f>H65</f>
        <v>mit Verschlussraster (Druckknopf)</v>
      </c>
      <c r="L79" s="510"/>
      <c r="M79" s="511"/>
      <c r="N79" s="512" t="str">
        <f>IF(OR(C62=TRUE,C63=TRUE),K81,K79)</f>
        <v>mit Verschlussraster (Druckknopf)</v>
      </c>
      <c r="O79" s="513"/>
      <c r="T79" s="308" t="s">
        <v>953</v>
      </c>
      <c r="U79" s="303" t="b">
        <f>IF('Pos. 2'!AZ10="",FALSE,TRUE)</f>
        <v>0</v>
      </c>
      <c r="V79" s="489">
        <f t="shared" si="5"/>
        <v>1</v>
      </c>
    </row>
    <row r="80" spans="2:23" ht="13.5" thickBot="1" x14ac:dyDescent="0.25">
      <c r="B80" s="57" t="s">
        <v>578</v>
      </c>
      <c r="D80" s="273" t="s">
        <v>160</v>
      </c>
      <c r="E80" s="309" t="s">
        <v>242</v>
      </c>
      <c r="F80" s="309" t="s">
        <v>264</v>
      </c>
      <c r="G80" s="310" t="s">
        <v>277</v>
      </c>
      <c r="H80" s="448" t="str">
        <f t="shared" si="10"/>
        <v>ohne</v>
      </c>
      <c r="I80" s="454"/>
      <c r="J80" s="272" t="str">
        <f>H80</f>
        <v>ohne</v>
      </c>
      <c r="K80" s="514" t="str">
        <f>H67</f>
        <v>ohne Verschlussraster</v>
      </c>
      <c r="L80" s="515"/>
      <c r="M80" s="466"/>
      <c r="N80" s="516" t="str">
        <f>IF(OR(C62=TRUE,C63=TRUE),K82,K80)</f>
        <v>ohne Verschlussraster</v>
      </c>
      <c r="O80" s="517"/>
      <c r="U80" s="303"/>
      <c r="V80" s="489"/>
    </row>
    <row r="81" spans="1:22" x14ac:dyDescent="0.2">
      <c r="A81" s="518">
        <v>280</v>
      </c>
      <c r="B81" s="519" t="str">
        <f>""</f>
        <v/>
      </c>
      <c r="C81" s="520">
        <v>214</v>
      </c>
      <c r="D81" s="273" t="s">
        <v>161</v>
      </c>
      <c r="E81" s="309" t="s">
        <v>243</v>
      </c>
      <c r="F81" s="309" t="s">
        <v>265</v>
      </c>
      <c r="G81" s="310" t="s">
        <v>278</v>
      </c>
      <c r="H81" s="448" t="str">
        <f t="shared" si="10"/>
        <v>inklusive</v>
      </c>
      <c r="I81" s="454"/>
      <c r="J81" s="272" t="str">
        <f>H81</f>
        <v>inklusive</v>
      </c>
      <c r="K81" s="514" t="str">
        <f>H66</f>
        <v>mit Verschlussraster (Zylinder)</v>
      </c>
      <c r="L81" s="515"/>
      <c r="M81" s="466"/>
      <c r="N81" s="516"/>
      <c r="O81" s="517"/>
      <c r="U81" s="303"/>
      <c r="V81" s="489"/>
    </row>
    <row r="82" spans="1:22" ht="13.5" thickBot="1" x14ac:dyDescent="0.25">
      <c r="A82" s="521">
        <v>254</v>
      </c>
      <c r="B82" s="522">
        <v>85</v>
      </c>
      <c r="C82" s="523">
        <f>IF('Pos. 2'!$T$114='Sprachen &amp; Rückgabewerte(2)'!$J$146,130,144)</f>
        <v>144</v>
      </c>
      <c r="D82" s="273" t="s">
        <v>244</v>
      </c>
      <c r="E82" s="309" t="s">
        <v>245</v>
      </c>
      <c r="F82" s="309" t="s">
        <v>266</v>
      </c>
      <c r="G82" s="310" t="s">
        <v>245</v>
      </c>
      <c r="H82" s="448" t="str">
        <f t="shared" si="10"/>
        <v>Sockel 75</v>
      </c>
      <c r="I82" s="454"/>
      <c r="K82" s="524" t="str">
        <f>H161</f>
        <v>ohne Verschlussraster (Zylinder)</v>
      </c>
      <c r="L82" s="525"/>
      <c r="M82" s="526"/>
      <c r="N82" s="525"/>
      <c r="O82" s="527"/>
      <c r="U82" s="303"/>
      <c r="V82" s="489"/>
    </row>
    <row r="83" spans="1:22" ht="14.25" thickTop="1" thickBot="1" x14ac:dyDescent="0.25">
      <c r="A83" s="521">
        <v>254</v>
      </c>
      <c r="B83" s="522">
        <v>105</v>
      </c>
      <c r="C83" s="523">
        <f>IF('Pos. 2'!$T$114='Sprachen &amp; Rückgabewerte(2)'!$J$146,158,172)</f>
        <v>172</v>
      </c>
      <c r="D83" s="273" t="s">
        <v>160</v>
      </c>
      <c r="E83" s="309" t="s">
        <v>242</v>
      </c>
      <c r="F83" s="309" t="s">
        <v>264</v>
      </c>
      <c r="G83" s="310" t="s">
        <v>277</v>
      </c>
      <c r="H83" s="448" t="str">
        <f t="shared" si="10"/>
        <v>ohne</v>
      </c>
      <c r="I83" s="454"/>
      <c r="S83" s="272" t="s">
        <v>951</v>
      </c>
      <c r="T83" s="307" t="s">
        <v>689</v>
      </c>
      <c r="U83" s="304" t="b">
        <f>IF(V83&gt;0,FALSE,TRUE)</f>
        <v>0</v>
      </c>
      <c r="V83" s="508">
        <f>SUM(V41:V82)</f>
        <v>20</v>
      </c>
    </row>
    <row r="84" spans="1:22" ht="13.5" thickBot="1" x14ac:dyDescent="0.25">
      <c r="A84" s="528">
        <v>228</v>
      </c>
      <c r="B84" s="529">
        <v>110</v>
      </c>
      <c r="C84" s="530">
        <f>IF('Pos. 2'!$T$114='Sprachen &amp; Rückgabewerte(2)'!$J$146,186,200)</f>
        <v>200</v>
      </c>
      <c r="D84" s="273" t="s">
        <v>162</v>
      </c>
      <c r="E84" s="309" t="s">
        <v>246</v>
      </c>
      <c r="F84" s="309" t="s">
        <v>267</v>
      </c>
      <c r="G84" s="310" t="s">
        <v>279</v>
      </c>
      <c r="H84" s="448" t="str">
        <f t="shared" si="10"/>
        <v>Rahmenzusammenbau:</v>
      </c>
      <c r="I84" s="454"/>
    </row>
    <row r="85" spans="1:22" x14ac:dyDescent="0.2">
      <c r="D85" s="273" t="s">
        <v>163</v>
      </c>
      <c r="E85" s="309" t="s">
        <v>247</v>
      </c>
      <c r="F85" s="309" t="s">
        <v>268</v>
      </c>
      <c r="G85" s="310" t="s">
        <v>280</v>
      </c>
      <c r="H85" s="448" t="str">
        <f t="shared" si="10"/>
        <v>Gehrungsstoss (A)</v>
      </c>
      <c r="I85" s="454"/>
      <c r="J85" s="272" t="str">
        <f>H85</f>
        <v>Gehrungsstoss (A)</v>
      </c>
      <c r="L85" s="548" t="s">
        <v>632</v>
      </c>
      <c r="M85" s="549"/>
    </row>
    <row r="86" spans="1:22" ht="13.5" thickBot="1" x14ac:dyDescent="0.25">
      <c r="D86" s="273" t="s">
        <v>301</v>
      </c>
      <c r="E86" s="309" t="s">
        <v>248</v>
      </c>
      <c r="F86" s="309" t="s">
        <v>269</v>
      </c>
      <c r="G86" s="310" t="s">
        <v>467</v>
      </c>
      <c r="H86" s="448" t="str">
        <f t="shared" si="10"/>
        <v>Montagestoss (B)</v>
      </c>
      <c r="I86" s="454"/>
      <c r="J86" s="272" t="str">
        <f>H86</f>
        <v>Montagestoss (B)</v>
      </c>
      <c r="L86" s="531"/>
      <c r="M86" s="325"/>
    </row>
    <row r="87" spans="1:22" x14ac:dyDescent="0.2">
      <c r="B87" s="546" t="s">
        <v>608</v>
      </c>
      <c r="C87" s="547"/>
      <c r="D87" s="273" t="s">
        <v>164</v>
      </c>
      <c r="E87" s="309" t="s">
        <v>249</v>
      </c>
      <c r="F87" s="309" t="s">
        <v>309</v>
      </c>
      <c r="G87" s="310" t="s">
        <v>281</v>
      </c>
      <c r="H87" s="448" t="str">
        <f t="shared" si="10"/>
        <v>Logistik:</v>
      </c>
      <c r="I87" s="454"/>
      <c r="L87" s="532">
        <v>1</v>
      </c>
      <c r="M87" s="310" t="str">
        <f>CONCATENATE($H$154," ",L87)</f>
        <v>Kalenderwoche 1</v>
      </c>
    </row>
    <row r="88" spans="1:22" x14ac:dyDescent="0.2">
      <c r="B88" s="317" t="s">
        <v>609</v>
      </c>
      <c r="C88" s="363">
        <f>IF(AND(I50=TRUE,'Pos. 2'!T104&lt;&gt;""),0,1)</f>
        <v>1</v>
      </c>
      <c r="D88" s="273" t="s">
        <v>302</v>
      </c>
      <c r="E88" s="309" t="s">
        <v>693</v>
      </c>
      <c r="F88" s="309" t="s">
        <v>303</v>
      </c>
      <c r="G88" s="310" t="s">
        <v>482</v>
      </c>
      <c r="H88" s="448" t="str">
        <f t="shared" si="10"/>
        <v>ohne Glas-Sortierung</v>
      </c>
      <c r="I88" s="454"/>
      <c r="J88" s="272" t="str">
        <f>H88</f>
        <v>ohne Glas-Sortierung</v>
      </c>
      <c r="L88" s="532">
        <v>2</v>
      </c>
      <c r="M88" s="310" t="str">
        <f t="shared" ref="M88:M138" si="11">CONCATENATE($H$154," ",L88)</f>
        <v>Kalenderwoche 2</v>
      </c>
    </row>
    <row r="89" spans="1:22" x14ac:dyDescent="0.2">
      <c r="B89" s="273" t="s">
        <v>610</v>
      </c>
      <c r="C89" s="467">
        <f>IF(AND(I50=TRUE,'Pos. 2'!T106&lt;&gt;""),0,1)</f>
        <v>1</v>
      </c>
      <c r="D89" s="273" t="s">
        <v>165</v>
      </c>
      <c r="E89" s="309" t="s">
        <v>304</v>
      </c>
      <c r="F89" s="309" t="s">
        <v>305</v>
      </c>
      <c r="G89" s="310" t="s">
        <v>483</v>
      </c>
      <c r="H89" s="448" t="str">
        <f>IF($B$3=$A$3,D89,IF($B$3=$A$4,E89,IF($B$3=$A$5,F89,IF($B$3=$A$6,$G$89,""))))</f>
        <v>nach Stockwerk:</v>
      </c>
      <c r="I89" s="454"/>
      <c r="J89" s="272" t="str">
        <f>H89</f>
        <v>nach Stockwerk:</v>
      </c>
      <c r="L89" s="532">
        <v>3</v>
      </c>
      <c r="M89" s="310" t="str">
        <f t="shared" si="11"/>
        <v>Kalenderwoche 3</v>
      </c>
    </row>
    <row r="90" spans="1:22" x14ac:dyDescent="0.2">
      <c r="B90" s="273" t="s">
        <v>611</v>
      </c>
      <c r="C90" s="467">
        <f>IF(AND(I50=TRUE,'Pos. 2'!T108&lt;&gt;""),0,1)</f>
        <v>1</v>
      </c>
      <c r="D90" s="273" t="s">
        <v>251</v>
      </c>
      <c r="E90" s="309" t="s">
        <v>250</v>
      </c>
      <c r="F90" s="309" t="s">
        <v>270</v>
      </c>
      <c r="G90" s="310" t="s">
        <v>337</v>
      </c>
      <c r="H90" s="448" t="str">
        <f>IF($B$3=$A$3,D90,IF($B$3=$A$4,E90,IF($B$3=$A$5,F90,IF($B$3=$A$6,G90,""))))</f>
        <v>Wunschtermin:</v>
      </c>
      <c r="I90" s="454"/>
      <c r="L90" s="532">
        <v>4</v>
      </c>
      <c r="M90" s="310" t="str">
        <f t="shared" si="11"/>
        <v>Kalenderwoche 4</v>
      </c>
    </row>
    <row r="91" spans="1:22" x14ac:dyDescent="0.2">
      <c r="B91" s="273" t="s">
        <v>612</v>
      </c>
      <c r="C91" s="467">
        <f>IF(AND(I50=TRUE,'Pos. 2'!T110&lt;&gt;""),0,1)</f>
        <v>1</v>
      </c>
      <c r="D91" s="273" t="s">
        <v>354</v>
      </c>
      <c r="E91" s="309" t="s">
        <v>252</v>
      </c>
      <c r="F91" s="309" t="s">
        <v>355</v>
      </c>
      <c r="G91" s="310" t="s">
        <v>356</v>
      </c>
      <c r="H91" s="448" t="str">
        <f t="shared" ref="H91:H111" si="12">IF($B$3=$A$3,D91,IF($B$3=$A$4,E91,IF($B$3=$A$5,F91,IF($B$3=$A$6,G91,""))))</f>
        <v>Farbe Laufschiene + Schraubenarretierungen:</v>
      </c>
      <c r="I91" s="454"/>
      <c r="L91" s="532">
        <v>5</v>
      </c>
      <c r="M91" s="310" t="str">
        <f t="shared" si="11"/>
        <v>Kalenderwoche 5</v>
      </c>
    </row>
    <row r="92" spans="1:22" x14ac:dyDescent="0.2">
      <c r="B92" s="273" t="s">
        <v>613</v>
      </c>
      <c r="C92" s="467">
        <f>IF(AND(I50=TRUE,'Pos. 2'!T112&lt;&gt;""),0,1)</f>
        <v>1</v>
      </c>
      <c r="D92" s="273" t="s">
        <v>399</v>
      </c>
      <c r="E92" s="309" t="s">
        <v>400</v>
      </c>
      <c r="F92" s="309" t="s">
        <v>401</v>
      </c>
      <c r="G92" s="310" t="s">
        <v>402</v>
      </c>
      <c r="H92" s="448" t="str">
        <f t="shared" si="12"/>
        <v>Silber</v>
      </c>
      <c r="I92" s="454"/>
      <c r="J92" s="272" t="str">
        <f>H92</f>
        <v>Silber</v>
      </c>
      <c r="L92" s="532">
        <v>6</v>
      </c>
      <c r="M92" s="310" t="str">
        <f t="shared" si="11"/>
        <v>Kalenderwoche 6</v>
      </c>
    </row>
    <row r="93" spans="1:22" x14ac:dyDescent="0.2">
      <c r="B93" s="273" t="s">
        <v>614</v>
      </c>
      <c r="C93" s="467">
        <f>IF(AND(I50=TRUE,'Pos. 2'!T114&lt;&gt;""),0,1)</f>
        <v>1</v>
      </c>
      <c r="D93" s="273" t="s">
        <v>166</v>
      </c>
      <c r="E93" s="309" t="s">
        <v>253</v>
      </c>
      <c r="F93" s="309" t="s">
        <v>271</v>
      </c>
      <c r="G93" s="310" t="s">
        <v>282</v>
      </c>
      <c r="H93" s="448" t="str">
        <f t="shared" si="12"/>
        <v>Schwarz</v>
      </c>
      <c r="I93" s="454"/>
      <c r="J93" s="272" t="str">
        <f>H93</f>
        <v>Schwarz</v>
      </c>
      <c r="L93" s="532">
        <v>7</v>
      </c>
      <c r="M93" s="310" t="str">
        <f t="shared" si="11"/>
        <v>Kalenderwoche 7</v>
      </c>
      <c r="N93" s="533"/>
    </row>
    <row r="94" spans="1:22" x14ac:dyDescent="0.2">
      <c r="B94" s="273"/>
      <c r="C94" s="310"/>
      <c r="D94" s="273" t="s">
        <v>348</v>
      </c>
      <c r="E94" s="309" t="s">
        <v>552</v>
      </c>
      <c r="F94" s="309" t="s">
        <v>346</v>
      </c>
      <c r="G94" s="310" t="s">
        <v>349</v>
      </c>
      <c r="H94" s="448" t="str">
        <f t="shared" si="12"/>
        <v>Druckausgleichsventile :</v>
      </c>
      <c r="I94" s="454"/>
      <c r="L94" s="532">
        <v>8</v>
      </c>
      <c r="M94" s="310" t="str">
        <f t="shared" si="11"/>
        <v>Kalenderwoche 8</v>
      </c>
    </row>
    <row r="95" spans="1:22" ht="13.5" thickBot="1" x14ac:dyDescent="0.25">
      <c r="B95" s="218" t="s">
        <v>615</v>
      </c>
      <c r="C95" s="219">
        <f>SUM(C88:C93)</f>
        <v>6</v>
      </c>
      <c r="D95" s="273" t="s">
        <v>167</v>
      </c>
      <c r="E95" s="309" t="s">
        <v>172</v>
      </c>
      <c r="F95" s="309" t="s">
        <v>292</v>
      </c>
      <c r="G95" s="310" t="s">
        <v>283</v>
      </c>
      <c r="H95" s="448" t="str">
        <f t="shared" si="12"/>
        <v>Ja</v>
      </c>
      <c r="I95" s="454"/>
      <c r="J95" s="272" t="str">
        <f>H95</f>
        <v>Ja</v>
      </c>
      <c r="L95" s="532">
        <v>9</v>
      </c>
      <c r="M95" s="310" t="str">
        <f t="shared" si="11"/>
        <v>Kalenderwoche 9</v>
      </c>
    </row>
    <row r="96" spans="1:22" x14ac:dyDescent="0.2">
      <c r="D96" s="273" t="s">
        <v>168</v>
      </c>
      <c r="E96" s="309" t="s">
        <v>173</v>
      </c>
      <c r="F96" s="309" t="s">
        <v>822</v>
      </c>
      <c r="G96" s="310" t="s">
        <v>173</v>
      </c>
      <c r="H96" s="448" t="str">
        <f t="shared" si="12"/>
        <v>Nein</v>
      </c>
      <c r="I96" s="454"/>
      <c r="J96" s="272" t="str">
        <f>H96</f>
        <v>Nein</v>
      </c>
      <c r="L96" s="532">
        <v>10</v>
      </c>
      <c r="M96" s="310" t="str">
        <f t="shared" si="11"/>
        <v>Kalenderwoche 10</v>
      </c>
    </row>
    <row r="97" spans="4:14" x14ac:dyDescent="0.2">
      <c r="D97" s="273" t="s">
        <v>169</v>
      </c>
      <c r="E97" s="309" t="s">
        <v>174</v>
      </c>
      <c r="F97" s="309" t="s">
        <v>293</v>
      </c>
      <c r="G97" s="310" t="s">
        <v>284</v>
      </c>
      <c r="H97" s="448" t="str">
        <f t="shared" si="12"/>
        <v>Digitale Unterschrift:</v>
      </c>
      <c r="I97" s="454"/>
      <c r="L97" s="532">
        <v>11</v>
      </c>
      <c r="M97" s="310" t="str">
        <f t="shared" si="11"/>
        <v>Kalenderwoche 11</v>
      </c>
    </row>
    <row r="98" spans="4:14" x14ac:dyDescent="0.2">
      <c r="D98" s="273" t="s">
        <v>171</v>
      </c>
      <c r="E98" s="309" t="s">
        <v>254</v>
      </c>
      <c r="F98" s="309" t="s">
        <v>294</v>
      </c>
      <c r="G98" s="310" t="s">
        <v>338</v>
      </c>
      <c r="H98" s="448" t="str">
        <f t="shared" si="12"/>
        <v>Bestellung an:</v>
      </c>
      <c r="I98" s="454"/>
      <c r="L98" s="532">
        <v>12</v>
      </c>
      <c r="M98" s="310" t="str">
        <f t="shared" si="11"/>
        <v>Kalenderwoche 12</v>
      </c>
    </row>
    <row r="99" spans="4:14" x14ac:dyDescent="0.2">
      <c r="D99" s="273" t="s">
        <v>170</v>
      </c>
      <c r="E99" s="309" t="s">
        <v>170</v>
      </c>
      <c r="F99" s="309" t="s">
        <v>170</v>
      </c>
      <c r="G99" s="310" t="s">
        <v>170</v>
      </c>
      <c r="H99" s="448" t="str">
        <f t="shared" si="12"/>
        <v>orders@sky-frame.ch</v>
      </c>
      <c r="I99" s="454"/>
      <c r="L99" s="532">
        <v>13</v>
      </c>
      <c r="M99" s="310" t="str">
        <f t="shared" si="11"/>
        <v>Kalenderwoche 13</v>
      </c>
    </row>
    <row r="100" spans="4:14" x14ac:dyDescent="0.2">
      <c r="D100" s="273"/>
      <c r="E100" s="309"/>
      <c r="F100" s="309"/>
      <c r="G100" s="310"/>
      <c r="H100" s="448">
        <f t="shared" si="12"/>
        <v>0</v>
      </c>
      <c r="I100" s="454"/>
      <c r="L100" s="532">
        <v>14</v>
      </c>
      <c r="M100" s="310" t="str">
        <f t="shared" si="11"/>
        <v>Kalenderwoche 14</v>
      </c>
    </row>
    <row r="101" spans="4:14" x14ac:dyDescent="0.2">
      <c r="D101" s="273"/>
      <c r="E101" s="309"/>
      <c r="F101" s="309"/>
      <c r="G101" s="310"/>
      <c r="H101" s="448">
        <f t="shared" si="12"/>
        <v>0</v>
      </c>
      <c r="I101" s="454"/>
      <c r="L101" s="532">
        <v>15</v>
      </c>
      <c r="M101" s="310" t="str">
        <f t="shared" si="11"/>
        <v>Kalenderwoche 15</v>
      </c>
    </row>
    <row r="102" spans="4:14" ht="51" x14ac:dyDescent="0.2">
      <c r="D102" s="336" t="s">
        <v>470</v>
      </c>
      <c r="E102" s="497" t="s">
        <v>255</v>
      </c>
      <c r="F102" s="497" t="s">
        <v>674</v>
      </c>
      <c r="G102" s="498" t="s">
        <v>395</v>
      </c>
      <c r="H102" s="534" t="str">
        <f t="shared" si="12"/>
        <v>Diese Bestellung ist verbindlich und muss komplett ausgefüllt werden. Änderungen werden als Mehraufwand verrechnet.</v>
      </c>
      <c r="I102" s="454"/>
      <c r="L102" s="532">
        <v>16</v>
      </c>
      <c r="M102" s="310" t="str">
        <f t="shared" si="11"/>
        <v>Kalenderwoche 16</v>
      </c>
    </row>
    <row r="103" spans="4:14" ht="12.75" customHeight="1" x14ac:dyDescent="0.2">
      <c r="D103" s="336"/>
      <c r="E103" s="309"/>
      <c r="F103" s="309"/>
      <c r="G103" s="310"/>
      <c r="H103" s="448"/>
      <c r="I103" s="454"/>
      <c r="L103" s="532">
        <v>17</v>
      </c>
      <c r="M103" s="310" t="str">
        <f t="shared" si="11"/>
        <v>Kalenderwoche 17</v>
      </c>
      <c r="N103" s="533"/>
    </row>
    <row r="104" spans="4:14" ht="12.75" customHeight="1" x14ac:dyDescent="0.2">
      <c r="D104" s="273" t="s">
        <v>209</v>
      </c>
      <c r="E104" s="309" t="s">
        <v>681</v>
      </c>
      <c r="F104" s="309" t="s">
        <v>295</v>
      </c>
      <c r="G104" s="310" t="s">
        <v>339</v>
      </c>
      <c r="H104" s="448" t="str">
        <f t="shared" si="12"/>
        <v>A-Ecke 90°</v>
      </c>
      <c r="I104" s="454"/>
      <c r="L104" s="532">
        <v>18</v>
      </c>
      <c r="M104" s="310" t="str">
        <f t="shared" si="11"/>
        <v>Kalenderwoche 18</v>
      </c>
    </row>
    <row r="105" spans="4:14" ht="12.75" customHeight="1" x14ac:dyDescent="0.2">
      <c r="D105" s="273" t="s">
        <v>210</v>
      </c>
      <c r="E105" s="309" t="s">
        <v>680</v>
      </c>
      <c r="F105" s="309" t="s">
        <v>423</v>
      </c>
      <c r="G105" s="310" t="s">
        <v>340</v>
      </c>
      <c r="H105" s="448" t="str">
        <f t="shared" si="12"/>
        <v>I-Ecke 90°</v>
      </c>
      <c r="I105" s="454"/>
      <c r="L105" s="532">
        <v>19</v>
      </c>
      <c r="M105" s="310" t="str">
        <f t="shared" si="11"/>
        <v>Kalenderwoche 19</v>
      </c>
    </row>
    <row r="106" spans="4:14" ht="12.75" customHeight="1" x14ac:dyDescent="0.2">
      <c r="D106" s="273" t="s">
        <v>212</v>
      </c>
      <c r="E106" s="309" t="s">
        <v>679</v>
      </c>
      <c r="F106" s="309" t="s">
        <v>296</v>
      </c>
      <c r="G106" s="310" t="s">
        <v>341</v>
      </c>
      <c r="H106" s="448" t="str">
        <f t="shared" si="12"/>
        <v>A-Ecke≠90°</v>
      </c>
      <c r="I106" s="454"/>
      <c r="L106" s="532">
        <v>20</v>
      </c>
      <c r="M106" s="310" t="str">
        <f t="shared" si="11"/>
        <v>Kalenderwoche 20</v>
      </c>
    </row>
    <row r="107" spans="4:14" ht="12.75" customHeight="1" x14ac:dyDescent="0.2">
      <c r="D107" s="273" t="s">
        <v>213</v>
      </c>
      <c r="E107" s="309" t="s">
        <v>678</v>
      </c>
      <c r="F107" s="309" t="s">
        <v>424</v>
      </c>
      <c r="G107" s="310" t="s">
        <v>342</v>
      </c>
      <c r="H107" s="448" t="str">
        <f t="shared" si="12"/>
        <v>I-Ecke≠90°</v>
      </c>
      <c r="I107" s="454"/>
      <c r="L107" s="532">
        <v>21</v>
      </c>
      <c r="M107" s="310" t="str">
        <f t="shared" si="11"/>
        <v>Kalenderwoche 21</v>
      </c>
    </row>
    <row r="108" spans="4:14" ht="12.75" customHeight="1" x14ac:dyDescent="0.2">
      <c r="D108" s="273" t="s">
        <v>410</v>
      </c>
      <c r="E108" s="309" t="s">
        <v>411</v>
      </c>
      <c r="F108" s="309" t="s">
        <v>412</v>
      </c>
      <c r="G108" s="310" t="s">
        <v>413</v>
      </c>
      <c r="H108" s="448" t="str">
        <f t="shared" si="12"/>
        <v>Wert:</v>
      </c>
      <c r="I108" s="454"/>
      <c r="L108" s="532">
        <v>22</v>
      </c>
      <c r="M108" s="310" t="str">
        <f t="shared" si="11"/>
        <v>Kalenderwoche 22</v>
      </c>
    </row>
    <row r="109" spans="4:14" ht="12.75" customHeight="1" x14ac:dyDescent="0.2">
      <c r="D109" s="273" t="s">
        <v>257</v>
      </c>
      <c r="E109" s="309" t="s">
        <v>256</v>
      </c>
      <c r="F109" s="309" t="s">
        <v>297</v>
      </c>
      <c r="G109" s="309" t="s">
        <v>343</v>
      </c>
      <c r="H109" s="448" t="str">
        <f t="shared" si="12"/>
        <v>Bitte auswählen:</v>
      </c>
      <c r="I109" s="454"/>
      <c r="L109" s="532">
        <v>23</v>
      </c>
      <c r="M109" s="310" t="str">
        <f t="shared" si="11"/>
        <v>Kalenderwoche 23</v>
      </c>
    </row>
    <row r="110" spans="4:14" ht="12.75" customHeight="1" x14ac:dyDescent="0.2">
      <c r="D110" s="273" t="s">
        <v>317</v>
      </c>
      <c r="E110" s="309" t="s">
        <v>317</v>
      </c>
      <c r="F110" s="309" t="s">
        <v>317</v>
      </c>
      <c r="G110" s="309" t="s">
        <v>317</v>
      </c>
      <c r="H110" s="448" t="str">
        <f t="shared" si="12"/>
        <v>KABA (22)</v>
      </c>
      <c r="I110" s="454" t="b">
        <v>0</v>
      </c>
      <c r="L110" s="532">
        <v>24</v>
      </c>
      <c r="M110" s="310" t="str">
        <f t="shared" si="11"/>
        <v>Kalenderwoche 24</v>
      </c>
    </row>
    <row r="111" spans="4:14" ht="12.75" customHeight="1" x14ac:dyDescent="0.2">
      <c r="D111" s="273" t="s">
        <v>318</v>
      </c>
      <c r="E111" s="309" t="s">
        <v>318</v>
      </c>
      <c r="F111" s="309" t="s">
        <v>318</v>
      </c>
      <c r="G111" s="310" t="s">
        <v>318</v>
      </c>
      <c r="H111" s="448" t="str">
        <f t="shared" si="12"/>
        <v>PZ / Euro (17)</v>
      </c>
      <c r="I111" s="454" t="b">
        <v>0</v>
      </c>
      <c r="L111" s="532">
        <v>25</v>
      </c>
      <c r="M111" s="310" t="str">
        <f t="shared" si="11"/>
        <v>Kalenderwoche 25</v>
      </c>
    </row>
    <row r="112" spans="4:14" x14ac:dyDescent="0.2">
      <c r="D112" s="273" t="s">
        <v>357</v>
      </c>
      <c r="E112" s="309" t="s">
        <v>358</v>
      </c>
      <c r="F112" s="309" t="s">
        <v>359</v>
      </c>
      <c r="G112" s="310" t="s">
        <v>360</v>
      </c>
      <c r="H112" s="448" t="str">
        <f>IF($B$3=$A$3,D112,IF($B$3=$A$4,E112,IF($B$3=$A$5,F112,IF($B$3=$A$6,G112,""))))</f>
        <v>mit CFK</v>
      </c>
      <c r="I112" s="454"/>
      <c r="L112" s="532">
        <v>26</v>
      </c>
      <c r="M112" s="310" t="str">
        <f t="shared" si="11"/>
        <v>Kalenderwoche 26</v>
      </c>
    </row>
    <row r="113" spans="4:14" x14ac:dyDescent="0.2">
      <c r="D113" s="273" t="s">
        <v>361</v>
      </c>
      <c r="E113" s="309" t="s">
        <v>362</v>
      </c>
      <c r="F113" s="309" t="s">
        <v>363</v>
      </c>
      <c r="G113" s="310" t="s">
        <v>364</v>
      </c>
      <c r="H113" s="448" t="str">
        <f>IF($B$3=$A$3,D113,IF($B$3=$A$4,E113,IF($B$3=$A$5,F113,IF($B$3=$A$6,G113,""))))</f>
        <v>ohne CFK</v>
      </c>
      <c r="I113" s="454"/>
      <c r="L113" s="532">
        <v>27</v>
      </c>
      <c r="M113" s="310" t="str">
        <f t="shared" si="11"/>
        <v>Kalenderwoche 27</v>
      </c>
      <c r="N113" s="533"/>
    </row>
    <row r="114" spans="4:14" x14ac:dyDescent="0.2">
      <c r="D114" s="273" t="s">
        <v>365</v>
      </c>
      <c r="E114" s="309" t="s">
        <v>367</v>
      </c>
      <c r="F114" s="309" t="s">
        <v>369</v>
      </c>
      <c r="G114" s="310" t="s">
        <v>403</v>
      </c>
      <c r="H114" s="448" t="str">
        <f>IF($B$3=$A$3,D114,IF($B$3=$A$4,E114,IF($B$3=$A$5,F114,IF($B$3=$A$6,G114,""))))</f>
        <v>mit Stahl</v>
      </c>
      <c r="I114" s="454"/>
      <c r="L114" s="532">
        <v>28</v>
      </c>
      <c r="M114" s="310" t="str">
        <f t="shared" si="11"/>
        <v>Kalenderwoche 28</v>
      </c>
    </row>
    <row r="115" spans="4:14" x14ac:dyDescent="0.2">
      <c r="D115" s="273" t="s">
        <v>366</v>
      </c>
      <c r="E115" s="309" t="s">
        <v>368</v>
      </c>
      <c r="F115" s="309" t="s">
        <v>370</v>
      </c>
      <c r="G115" s="310" t="s">
        <v>404</v>
      </c>
      <c r="H115" s="448" t="str">
        <f>IF($B$3=$A$3,D115,IF($B$3=$A$4,E115,IF($B$3=$A$5,F115,IF($B$3=$A$6,G115,""))))</f>
        <v>ohne Stahl</v>
      </c>
      <c r="I115" s="454"/>
      <c r="L115" s="532">
        <v>29</v>
      </c>
      <c r="M115" s="310" t="str">
        <f t="shared" si="11"/>
        <v>Kalenderwoche 29</v>
      </c>
    </row>
    <row r="116" spans="4:14" x14ac:dyDescent="0.2">
      <c r="D116" s="273" t="s">
        <v>371</v>
      </c>
      <c r="E116" s="309" t="s">
        <v>374</v>
      </c>
      <c r="F116" s="309" t="s">
        <v>376</v>
      </c>
      <c r="G116" s="310" t="s">
        <v>379</v>
      </c>
      <c r="H116" s="448" t="str">
        <f>IF($B$3=$A$3,D116,IF($B$3=$A$4,E116,IF($B$3=$A$5,F116,IF($B$3=$A$6,G116,""))))</f>
        <v>Ganzglas-Ecke</v>
      </c>
      <c r="I116" s="454"/>
      <c r="L116" s="532">
        <v>30</v>
      </c>
      <c r="M116" s="310" t="str">
        <f t="shared" si="11"/>
        <v>Kalenderwoche 30</v>
      </c>
    </row>
    <row r="117" spans="4:14" x14ac:dyDescent="0.2">
      <c r="D117" s="273" t="s">
        <v>372</v>
      </c>
      <c r="E117" s="309" t="s">
        <v>677</v>
      </c>
      <c r="F117" s="309" t="s">
        <v>377</v>
      </c>
      <c r="G117" s="310" t="s">
        <v>380</v>
      </c>
      <c r="H117" s="448" t="str">
        <f t="shared" ref="H117:H180" si="13">IF($B$3=$A$3,D117,IF($B$3=$A$4,E117,IF($B$3=$A$5,F117,IF($B$3=$A$6,G117,""))))</f>
        <v>Ecke RC2 (WK2)</v>
      </c>
      <c r="I117" s="454"/>
      <c r="L117" s="532">
        <v>31</v>
      </c>
      <c r="M117" s="310" t="str">
        <f t="shared" si="11"/>
        <v>Kalenderwoche 31</v>
      </c>
    </row>
    <row r="118" spans="4:14" x14ac:dyDescent="0.2">
      <c r="D118" s="273" t="s">
        <v>373</v>
      </c>
      <c r="E118" s="309" t="s">
        <v>375</v>
      </c>
      <c r="F118" s="309" t="s">
        <v>378</v>
      </c>
      <c r="G118" s="310" t="s">
        <v>381</v>
      </c>
      <c r="H118" s="448" t="str">
        <f t="shared" si="13"/>
        <v>Standard (RC2 in Anlehnung)</v>
      </c>
      <c r="I118" s="454"/>
      <c r="L118" s="532">
        <v>32</v>
      </c>
      <c r="M118" s="310" t="str">
        <f t="shared" si="11"/>
        <v>Kalenderwoche 32</v>
      </c>
    </row>
    <row r="119" spans="4:14" x14ac:dyDescent="0.2">
      <c r="D119" s="273" t="s">
        <v>994</v>
      </c>
      <c r="E119" s="309" t="s">
        <v>995</v>
      </c>
      <c r="F119" s="309" t="s">
        <v>996</v>
      </c>
      <c r="G119" s="310" t="s">
        <v>997</v>
      </c>
      <c r="H119" s="448" t="str">
        <f t="shared" si="13"/>
        <v>RC2 mit Blech</v>
      </c>
      <c r="I119" s="454"/>
      <c r="L119" s="532">
        <v>33</v>
      </c>
      <c r="M119" s="310" t="str">
        <f t="shared" si="11"/>
        <v>Kalenderwoche 33</v>
      </c>
    </row>
    <row r="120" spans="4:14" x14ac:dyDescent="0.2">
      <c r="D120" s="273" t="s">
        <v>382</v>
      </c>
      <c r="E120" s="309" t="s">
        <v>387</v>
      </c>
      <c r="F120" s="309" t="s">
        <v>388</v>
      </c>
      <c r="G120" s="310" t="s">
        <v>391</v>
      </c>
      <c r="H120" s="448" t="str">
        <f t="shared" si="13"/>
        <v>mit AL.</v>
      </c>
      <c r="I120" s="454"/>
      <c r="L120" s="532">
        <v>34</v>
      </c>
      <c r="M120" s="310" t="str">
        <f t="shared" si="11"/>
        <v>Kalenderwoche 34</v>
      </c>
    </row>
    <row r="121" spans="4:14" x14ac:dyDescent="0.2">
      <c r="D121" s="273" t="s">
        <v>383</v>
      </c>
      <c r="E121" s="309" t="s">
        <v>386</v>
      </c>
      <c r="F121" s="309" t="s">
        <v>389</v>
      </c>
      <c r="G121" s="310" t="s">
        <v>392</v>
      </c>
      <c r="H121" s="448" t="str">
        <f t="shared" si="13"/>
        <v>ohne AL.</v>
      </c>
      <c r="I121" s="454"/>
      <c r="L121" s="532">
        <v>35</v>
      </c>
      <c r="M121" s="310" t="str">
        <f t="shared" si="11"/>
        <v>Kalenderwoche 35</v>
      </c>
    </row>
    <row r="122" spans="4:14" x14ac:dyDescent="0.2">
      <c r="D122" s="273" t="s">
        <v>384</v>
      </c>
      <c r="E122" s="309" t="s">
        <v>385</v>
      </c>
      <c r="F122" s="309" t="s">
        <v>390</v>
      </c>
      <c r="G122" s="310" t="s">
        <v>393</v>
      </c>
      <c r="H122" s="448" t="str">
        <f t="shared" si="13"/>
        <v>mit AL. (&gt;2.5m)</v>
      </c>
      <c r="I122" s="454"/>
      <c r="L122" s="532">
        <v>36</v>
      </c>
      <c r="M122" s="310" t="str">
        <f t="shared" si="11"/>
        <v>Kalenderwoche 36</v>
      </c>
    </row>
    <row r="123" spans="4:14" x14ac:dyDescent="0.2">
      <c r="D123" s="273" t="s">
        <v>651</v>
      </c>
      <c r="E123" s="309" t="s">
        <v>652</v>
      </c>
      <c r="F123" s="309" t="s">
        <v>653</v>
      </c>
      <c r="G123" s="310" t="s">
        <v>669</v>
      </c>
      <c r="H123" s="448" t="str">
        <f t="shared" si="13"/>
        <v>ohne AL. (&lt;2.5m)</v>
      </c>
      <c r="I123" s="454"/>
      <c r="L123" s="532">
        <v>37</v>
      </c>
      <c r="M123" s="310" t="str">
        <f t="shared" si="11"/>
        <v>Kalenderwoche 37</v>
      </c>
    </row>
    <row r="124" spans="4:14" x14ac:dyDescent="0.2">
      <c r="D124" s="273" t="s">
        <v>396</v>
      </c>
      <c r="E124" s="309" t="s">
        <v>676</v>
      </c>
      <c r="F124" s="309" t="s">
        <v>397</v>
      </c>
      <c r="G124" s="310" t="s">
        <v>398</v>
      </c>
      <c r="H124" s="448" t="str">
        <f t="shared" si="13"/>
        <v>Ecke:</v>
      </c>
      <c r="I124" s="454"/>
      <c r="L124" s="532">
        <v>38</v>
      </c>
      <c r="M124" s="310" t="str">
        <f t="shared" si="11"/>
        <v>Kalenderwoche 38</v>
      </c>
    </row>
    <row r="125" spans="4:14" x14ac:dyDescent="0.2">
      <c r="D125" s="273" t="s">
        <v>418</v>
      </c>
      <c r="E125" s="309" t="s">
        <v>418</v>
      </c>
      <c r="F125" s="309" t="s">
        <v>418</v>
      </c>
      <c r="G125" s="310" t="s">
        <v>418</v>
      </c>
      <c r="H125" s="448" t="str">
        <f t="shared" si="13"/>
        <v>NFRC (USA)</v>
      </c>
      <c r="I125" s="454" t="b">
        <v>0</v>
      </c>
      <c r="L125" s="532">
        <v>39</v>
      </c>
      <c r="M125" s="310" t="str">
        <f t="shared" si="11"/>
        <v>Kalenderwoche 39</v>
      </c>
    </row>
    <row r="126" spans="4:14" x14ac:dyDescent="0.2">
      <c r="D126" s="273" t="s">
        <v>429</v>
      </c>
      <c r="E126" s="309" t="s">
        <v>461</v>
      </c>
      <c r="F126" s="309" t="s">
        <v>464</v>
      </c>
      <c r="G126" s="310" t="s">
        <v>450</v>
      </c>
      <c r="H126" s="448" t="str">
        <f t="shared" si="13"/>
        <v>Bestellung vollständig ausfüllen.</v>
      </c>
      <c r="I126" s="454"/>
      <c r="L126" s="532">
        <v>40</v>
      </c>
      <c r="M126" s="310" t="str">
        <f t="shared" si="11"/>
        <v>Kalenderwoche 40</v>
      </c>
    </row>
    <row r="127" spans="4:14" x14ac:dyDescent="0.2">
      <c r="D127" s="273" t="s">
        <v>444</v>
      </c>
      <c r="E127" s="309" t="s">
        <v>462</v>
      </c>
      <c r="F127" s="309" t="s">
        <v>466</v>
      </c>
      <c r="G127" s="310" t="s">
        <v>451</v>
      </c>
      <c r="H127" s="448" t="str">
        <f t="shared" si="13"/>
        <v>Überprüfen ob keine roten Rahmen aufleuchten.</v>
      </c>
      <c r="I127" s="454"/>
      <c r="L127" s="532">
        <v>41</v>
      </c>
      <c r="M127" s="310" t="str">
        <f t="shared" si="11"/>
        <v>Kalenderwoche 41</v>
      </c>
    </row>
    <row r="128" spans="4:14" x14ac:dyDescent="0.2">
      <c r="D128" s="273" t="s">
        <v>445</v>
      </c>
      <c r="E128" s="309" t="s">
        <v>463</v>
      </c>
      <c r="F128" s="309" t="s">
        <v>465</v>
      </c>
      <c r="G128" s="310" t="s">
        <v>452</v>
      </c>
      <c r="H128" s="448" t="str">
        <f t="shared" si="13"/>
        <v>Bestellung senden an:</v>
      </c>
      <c r="I128" s="454"/>
      <c r="L128" s="532">
        <v>42</v>
      </c>
      <c r="M128" s="310" t="str">
        <f t="shared" si="11"/>
        <v>Kalenderwoche 42</v>
      </c>
    </row>
    <row r="129" spans="4:13" x14ac:dyDescent="0.2">
      <c r="D129" s="273" t="s">
        <v>443</v>
      </c>
      <c r="E129" s="309" t="s">
        <v>460</v>
      </c>
      <c r="F129" s="309" t="s">
        <v>460</v>
      </c>
      <c r="G129" s="310" t="s">
        <v>449</v>
      </c>
      <c r="H129" s="448" t="str">
        <f t="shared" si="13"/>
        <v>Anleitung:</v>
      </c>
      <c r="I129" s="454"/>
      <c r="L129" s="532">
        <v>43</v>
      </c>
      <c r="M129" s="310" t="str">
        <f t="shared" si="11"/>
        <v>Kalenderwoche 43</v>
      </c>
    </row>
    <row r="130" spans="4:13" x14ac:dyDescent="0.2">
      <c r="D130" s="273" t="s">
        <v>472</v>
      </c>
      <c r="E130" s="309" t="s">
        <v>471</v>
      </c>
      <c r="F130" s="309" t="s">
        <v>477</v>
      </c>
      <c r="G130" s="310" t="s">
        <v>621</v>
      </c>
      <c r="H130" s="448" t="str">
        <f t="shared" si="13"/>
        <v>Vertriebspartner:</v>
      </c>
      <c r="I130" s="454"/>
      <c r="L130" s="532">
        <v>44</v>
      </c>
      <c r="M130" s="310" t="str">
        <f t="shared" si="11"/>
        <v>Kalenderwoche 44</v>
      </c>
    </row>
    <row r="131" spans="4:13" x14ac:dyDescent="0.2">
      <c r="D131" s="273" t="s">
        <v>469</v>
      </c>
      <c r="E131" s="309" t="s">
        <v>479</v>
      </c>
      <c r="F131" s="309" t="s">
        <v>478</v>
      </c>
      <c r="G131" s="310" t="s">
        <v>481</v>
      </c>
      <c r="H131" s="448" t="str">
        <f t="shared" si="13"/>
        <v>Bemerkungen:</v>
      </c>
      <c r="I131" s="454"/>
      <c r="L131" s="532">
        <v>45</v>
      </c>
      <c r="M131" s="310" t="str">
        <f t="shared" si="11"/>
        <v>Kalenderwoche 45</v>
      </c>
    </row>
    <row r="132" spans="4:13" x14ac:dyDescent="0.2">
      <c r="D132" s="273" t="s">
        <v>485</v>
      </c>
      <c r="E132" s="309" t="s">
        <v>489</v>
      </c>
      <c r="F132" s="309" t="s">
        <v>490</v>
      </c>
      <c r="G132" s="310" t="s">
        <v>491</v>
      </c>
      <c r="H132" s="448" t="str">
        <f>IF($B$3=$A$3,D132,IF($B$3=$A$4,E132,IF($B$3=$A$5,F132,IF($B$3=$A$6,G132,""))))</f>
        <v>Öffnung angeben →</v>
      </c>
      <c r="I132" s="454"/>
      <c r="L132" s="532">
        <v>46</v>
      </c>
      <c r="M132" s="310" t="str">
        <f t="shared" si="11"/>
        <v>Kalenderwoche 46</v>
      </c>
    </row>
    <row r="133" spans="4:13" x14ac:dyDescent="0.2">
      <c r="D133" s="273" t="s">
        <v>541</v>
      </c>
      <c r="E133" s="309" t="s">
        <v>542</v>
      </c>
      <c r="F133" s="309" t="s">
        <v>544</v>
      </c>
      <c r="G133" s="310" t="s">
        <v>543</v>
      </c>
      <c r="H133" s="448" t="str">
        <f t="shared" si="13"/>
        <v>5-gleisig</v>
      </c>
      <c r="I133" s="454" t="b">
        <f>IF(AND(I12=TRUE,'Pos. 2'!AT5=1),TRUE,FALSE)</f>
        <v>0</v>
      </c>
      <c r="L133" s="532">
        <v>47</v>
      </c>
      <c r="M133" s="310" t="str">
        <f t="shared" si="11"/>
        <v>Kalenderwoche 47</v>
      </c>
    </row>
    <row r="134" spans="4:13" x14ac:dyDescent="0.2">
      <c r="D134" s="535" t="s">
        <v>546</v>
      </c>
      <c r="E134" s="309" t="s">
        <v>546</v>
      </c>
      <c r="F134" s="309" t="s">
        <v>546</v>
      </c>
      <c r="G134" s="310" t="s">
        <v>546</v>
      </c>
      <c r="H134" s="448" t="str">
        <f t="shared" si="13"/>
        <v>Features</v>
      </c>
      <c r="I134" s="454"/>
      <c r="J134" s="272" t="str">
        <f>H159</f>
        <v>Keine</v>
      </c>
      <c r="L134" s="532">
        <v>48</v>
      </c>
      <c r="M134" s="310" t="str">
        <f t="shared" si="11"/>
        <v>Kalenderwoche 48</v>
      </c>
    </row>
    <row r="135" spans="4:13" x14ac:dyDescent="0.2">
      <c r="D135" s="273" t="s">
        <v>560</v>
      </c>
      <c r="E135" s="309" t="s">
        <v>562</v>
      </c>
      <c r="F135" s="309" t="s">
        <v>563</v>
      </c>
      <c r="G135" s="310" t="s">
        <v>564</v>
      </c>
      <c r="H135" s="448" t="str">
        <f t="shared" si="13"/>
        <v>Oben Links</v>
      </c>
      <c r="I135" s="454"/>
      <c r="J135" s="272" t="str">
        <f>H135</f>
        <v>Oben Links</v>
      </c>
      <c r="L135" s="532">
        <v>49</v>
      </c>
      <c r="M135" s="310" t="str">
        <f t="shared" si="11"/>
        <v>Kalenderwoche 49</v>
      </c>
    </row>
    <row r="136" spans="4:13" x14ac:dyDescent="0.2">
      <c r="D136" s="273" t="s">
        <v>561</v>
      </c>
      <c r="E136" s="309" t="s">
        <v>565</v>
      </c>
      <c r="F136" s="309" t="s">
        <v>566</v>
      </c>
      <c r="G136" s="310" t="s">
        <v>567</v>
      </c>
      <c r="H136" s="448" t="str">
        <f t="shared" si="13"/>
        <v>Oben Rechts</v>
      </c>
      <c r="I136" s="454"/>
      <c r="J136" s="272" t="str">
        <f>H136</f>
        <v>Oben Rechts</v>
      </c>
      <c r="L136" s="532">
        <v>50</v>
      </c>
      <c r="M136" s="310" t="str">
        <f t="shared" si="11"/>
        <v>Kalenderwoche 50</v>
      </c>
    </row>
    <row r="137" spans="4:13" x14ac:dyDescent="0.2">
      <c r="D137" s="273" t="s">
        <v>568</v>
      </c>
      <c r="E137" s="309" t="s">
        <v>569</v>
      </c>
      <c r="F137" s="309" t="s">
        <v>570</v>
      </c>
      <c r="G137" s="310" t="s">
        <v>571</v>
      </c>
      <c r="H137" s="448" t="str">
        <f t="shared" si="13"/>
        <v>Lage Glasspinne (Ansicht von Aussen)</v>
      </c>
      <c r="I137" s="454"/>
      <c r="L137" s="532">
        <v>51</v>
      </c>
      <c r="M137" s="310" t="str">
        <f t="shared" si="11"/>
        <v>Kalenderwoche 51</v>
      </c>
    </row>
    <row r="138" spans="4:13" ht="13.5" thickBot="1" x14ac:dyDescent="0.25">
      <c r="D138" s="273" t="s">
        <v>572</v>
      </c>
      <c r="E138" s="309" t="s">
        <v>654</v>
      </c>
      <c r="F138" s="309" t="s">
        <v>624</v>
      </c>
      <c r="G138" s="310" t="s">
        <v>633</v>
      </c>
      <c r="H138" s="448" t="str">
        <f t="shared" si="13"/>
        <v>Rinnenbestellung</v>
      </c>
      <c r="I138" s="454"/>
      <c r="L138" s="536">
        <v>52</v>
      </c>
      <c r="M138" s="380" t="str">
        <f t="shared" si="11"/>
        <v>Kalenderwoche 52</v>
      </c>
    </row>
    <row r="139" spans="4:13" x14ac:dyDescent="0.2">
      <c r="D139" s="273" t="s">
        <v>606</v>
      </c>
      <c r="E139" s="309" t="s">
        <v>655</v>
      </c>
      <c r="F139" s="309" t="s">
        <v>645</v>
      </c>
      <c r="G139" s="310" t="s">
        <v>634</v>
      </c>
      <c r="H139" s="448" t="str">
        <f t="shared" si="13"/>
        <v>Wahl des Rinnensystems:</v>
      </c>
      <c r="I139" s="454"/>
    </row>
    <row r="140" spans="4:13" x14ac:dyDescent="0.2">
      <c r="D140" s="273" t="s">
        <v>605</v>
      </c>
      <c r="E140" s="309" t="s">
        <v>656</v>
      </c>
      <c r="F140" s="309" t="s">
        <v>646</v>
      </c>
      <c r="G140" s="310" t="s">
        <v>842</v>
      </c>
      <c r="H140" s="448" t="str">
        <f t="shared" si="13"/>
        <v>Einzug an der linken Anlagenseite:</v>
      </c>
      <c r="I140" s="454"/>
    </row>
    <row r="141" spans="4:13" x14ac:dyDescent="0.2">
      <c r="D141" s="273" t="s">
        <v>604</v>
      </c>
      <c r="E141" s="309" t="s">
        <v>657</v>
      </c>
      <c r="F141" s="309" t="s">
        <v>647</v>
      </c>
      <c r="G141" s="310" t="s">
        <v>843</v>
      </c>
      <c r="H141" s="448" t="str">
        <f t="shared" si="13"/>
        <v>Einzug an der rechten Anlagenseite:</v>
      </c>
      <c r="I141" s="454"/>
    </row>
    <row r="142" spans="4:13" x14ac:dyDescent="0.2">
      <c r="D142" s="273" t="s">
        <v>603</v>
      </c>
      <c r="E142" s="309" t="s">
        <v>658</v>
      </c>
      <c r="F142" s="309" t="s">
        <v>648</v>
      </c>
      <c r="G142" s="310" t="s">
        <v>635</v>
      </c>
      <c r="H142" s="448" t="str">
        <f t="shared" si="13"/>
        <v>Anschlussstutzen:</v>
      </c>
      <c r="I142" s="454"/>
    </row>
    <row r="143" spans="4:13" x14ac:dyDescent="0.2">
      <c r="D143" s="273" t="s">
        <v>573</v>
      </c>
      <c r="E143" s="309" t="s">
        <v>659</v>
      </c>
      <c r="F143" s="309" t="s">
        <v>625</v>
      </c>
      <c r="G143" s="310" t="s">
        <v>636</v>
      </c>
      <c r="H143" s="448" t="str">
        <f t="shared" si="13"/>
        <v>lose mitliefern</v>
      </c>
      <c r="I143" s="454"/>
      <c r="J143" s="272" t="str">
        <f>H143</f>
        <v>lose mitliefern</v>
      </c>
    </row>
    <row r="144" spans="4:13" x14ac:dyDescent="0.2">
      <c r="D144" s="273" t="s">
        <v>574</v>
      </c>
      <c r="E144" s="309" t="s">
        <v>660</v>
      </c>
      <c r="F144" s="309" t="s">
        <v>626</v>
      </c>
      <c r="G144" s="310" t="s">
        <v>637</v>
      </c>
      <c r="H144" s="448" t="str">
        <f t="shared" si="13"/>
        <v>vordefiniert</v>
      </c>
      <c r="I144" s="454"/>
      <c r="J144" s="272" t="str">
        <f>H144</f>
        <v>vordefiniert</v>
      </c>
    </row>
    <row r="145" spans="4:10" x14ac:dyDescent="0.2">
      <c r="D145" s="273" t="s">
        <v>607</v>
      </c>
      <c r="E145" s="309" t="s">
        <v>661</v>
      </c>
      <c r="F145" s="309" t="s">
        <v>649</v>
      </c>
      <c r="G145" s="310" t="s">
        <v>638</v>
      </c>
      <c r="H145" s="448" t="str">
        <f t="shared" si="13"/>
        <v>Anzahl Anschlussstutzen:</v>
      </c>
      <c r="I145" s="454"/>
    </row>
    <row r="146" spans="4:10" x14ac:dyDescent="0.2">
      <c r="D146" s="273" t="s">
        <v>575</v>
      </c>
      <c r="E146" s="309" t="s">
        <v>627</v>
      </c>
      <c r="F146" s="309" t="s">
        <v>627</v>
      </c>
      <c r="G146" s="310" t="s">
        <v>639</v>
      </c>
      <c r="H146" s="448" t="str">
        <f t="shared" si="13"/>
        <v>Typ A</v>
      </c>
      <c r="I146" s="454"/>
      <c r="J146" s="272" t="str">
        <f>H146</f>
        <v>Typ A</v>
      </c>
    </row>
    <row r="147" spans="4:10" x14ac:dyDescent="0.2">
      <c r="D147" s="273" t="s">
        <v>576</v>
      </c>
      <c r="E147" s="309" t="s">
        <v>628</v>
      </c>
      <c r="F147" s="309" t="s">
        <v>628</v>
      </c>
      <c r="G147" s="310" t="s">
        <v>640</v>
      </c>
      <c r="H147" s="448" t="str">
        <f t="shared" si="13"/>
        <v>Typ B</v>
      </c>
      <c r="I147" s="454"/>
      <c r="J147" s="272" t="str">
        <f>H147</f>
        <v>Typ B</v>
      </c>
    </row>
    <row r="148" spans="4:10" x14ac:dyDescent="0.2">
      <c r="D148" s="273" t="s">
        <v>911</v>
      </c>
      <c r="E148" s="309" t="s">
        <v>912</v>
      </c>
      <c r="F148" s="309" t="s">
        <v>913</v>
      </c>
      <c r="G148" s="310" t="s">
        <v>914</v>
      </c>
      <c r="H148" s="448" t="str">
        <f t="shared" si="13"/>
        <v>Abstände Ablaufstutzen (E):</v>
      </c>
      <c r="I148" s="454"/>
    </row>
    <row r="149" spans="4:10" x14ac:dyDescent="0.2">
      <c r="D149" s="273" t="s">
        <v>577</v>
      </c>
      <c r="E149" s="309" t="s">
        <v>662</v>
      </c>
      <c r="F149" s="309" t="s">
        <v>675</v>
      </c>
      <c r="G149" s="310" t="s">
        <v>641</v>
      </c>
      <c r="H149" s="448" t="str">
        <f t="shared" si="13"/>
        <v>Rinnenanschluss:</v>
      </c>
      <c r="I149" s="454"/>
    </row>
    <row r="150" spans="4:10" x14ac:dyDescent="0.2">
      <c r="D150" s="273" t="s">
        <v>616</v>
      </c>
      <c r="E150" s="309" t="s">
        <v>663</v>
      </c>
      <c r="F150" s="309" t="s">
        <v>650</v>
      </c>
      <c r="G150" s="310" t="s">
        <v>642</v>
      </c>
      <c r="H150" s="448" t="str">
        <f t="shared" si="13"/>
        <v>Farbe Panele:</v>
      </c>
      <c r="I150" s="454"/>
    </row>
    <row r="151" spans="4:10" x14ac:dyDescent="0.2">
      <c r="D151" s="273" t="s">
        <v>16</v>
      </c>
      <c r="E151" s="309" t="s">
        <v>16</v>
      </c>
      <c r="F151" s="309" t="s">
        <v>16</v>
      </c>
      <c r="G151" s="310" t="s">
        <v>16</v>
      </c>
      <c r="H151" s="448" t="str">
        <f t="shared" si="13"/>
        <v>Standard</v>
      </c>
      <c r="I151" s="454"/>
      <c r="J151" s="272" t="str">
        <f>H151</f>
        <v>Standard</v>
      </c>
    </row>
    <row r="152" spans="4:10" x14ac:dyDescent="0.2">
      <c r="D152" s="273" t="s">
        <v>617</v>
      </c>
      <c r="E152" s="309" t="s">
        <v>664</v>
      </c>
      <c r="F152" s="309" t="s">
        <v>629</v>
      </c>
      <c r="G152" s="310" t="s">
        <v>643</v>
      </c>
      <c r="H152" s="448" t="str">
        <f t="shared" si="13"/>
        <v>Rahmenfarbe</v>
      </c>
      <c r="I152" s="454"/>
      <c r="J152" s="272" t="str">
        <f>H152</f>
        <v>Rahmenfarbe</v>
      </c>
    </row>
    <row r="153" spans="4:10" x14ac:dyDescent="0.2">
      <c r="D153" s="273" t="s">
        <v>618</v>
      </c>
      <c r="E153" s="309" t="s">
        <v>665</v>
      </c>
      <c r="F153" s="309" t="s">
        <v>630</v>
      </c>
      <c r="G153" s="310" t="s">
        <v>644</v>
      </c>
      <c r="H153" s="448" t="str">
        <f t="shared" si="13"/>
        <v>Glas Satinato</v>
      </c>
      <c r="I153" s="454"/>
      <c r="J153" s="272" t="str">
        <f>H153</f>
        <v>Glas Satinato</v>
      </c>
    </row>
    <row r="154" spans="4:10" x14ac:dyDescent="0.2">
      <c r="D154" s="273" t="s">
        <v>631</v>
      </c>
      <c r="E154" s="309" t="s">
        <v>666</v>
      </c>
      <c r="F154" s="309" t="s">
        <v>667</v>
      </c>
      <c r="G154" s="310" t="s">
        <v>668</v>
      </c>
      <c r="H154" s="448" t="str">
        <f t="shared" si="13"/>
        <v>Kalenderwoche</v>
      </c>
      <c r="I154" s="454"/>
    </row>
    <row r="155" spans="4:10" x14ac:dyDescent="0.2">
      <c r="D155" s="273" t="s">
        <v>691</v>
      </c>
      <c r="E155" s="309" t="s">
        <v>699</v>
      </c>
      <c r="F155" s="309" t="s">
        <v>702</v>
      </c>
      <c r="G155" s="310" t="s">
        <v>814</v>
      </c>
      <c r="H155" s="448" t="str">
        <f>IF($B$3=$A$3,D155,IF($B$3=$A$4,E155,IF($B$3=$A$5,F155,IF($B$3=$A$6,G155,""))))</f>
        <v>Bestellformular unvollständig!</v>
      </c>
      <c r="I155" s="454"/>
    </row>
    <row r="156" spans="4:10" x14ac:dyDescent="0.2">
      <c r="D156" s="273" t="s">
        <v>701</v>
      </c>
      <c r="E156" s="309" t="s">
        <v>700</v>
      </c>
      <c r="F156" s="309" t="s">
        <v>703</v>
      </c>
      <c r="G156" s="310" t="s">
        <v>815</v>
      </c>
      <c r="H156" s="448" t="str">
        <f t="shared" si="13"/>
        <v>Bestellformular vollständig.</v>
      </c>
      <c r="I156" s="454"/>
    </row>
    <row r="157" spans="4:10" x14ac:dyDescent="0.2">
      <c r="D157" s="273" t="s">
        <v>696</v>
      </c>
      <c r="E157" s="309" t="s">
        <v>695</v>
      </c>
      <c r="F157" s="309" t="s">
        <v>694</v>
      </c>
      <c r="G157" s="310" t="s">
        <v>697</v>
      </c>
      <c r="H157" s="448" t="str">
        <f t="shared" si="13"/>
        <v>B2B-Login Projektnr:</v>
      </c>
      <c r="I157" s="454"/>
    </row>
    <row r="158" spans="4:10" ht="12.75" customHeight="1" x14ac:dyDescent="0.2">
      <c r="D158" s="323" t="s">
        <v>748</v>
      </c>
      <c r="E158" s="309" t="s">
        <v>749</v>
      </c>
      <c r="F158" s="309" t="s">
        <v>750</v>
      </c>
      <c r="G158" s="310" t="s">
        <v>751</v>
      </c>
      <c r="H158" s="448" t="str">
        <f t="shared" si="13"/>
        <v>OHNE Glas</v>
      </c>
      <c r="I158" s="454"/>
    </row>
    <row r="159" spans="4:10" ht="12.75" customHeight="1" x14ac:dyDescent="0.2">
      <c r="D159" s="273" t="s">
        <v>752</v>
      </c>
      <c r="E159" s="309" t="s">
        <v>753</v>
      </c>
      <c r="F159" s="309" t="s">
        <v>264</v>
      </c>
      <c r="G159" s="310" t="s">
        <v>277</v>
      </c>
      <c r="H159" s="448" t="str">
        <f t="shared" si="13"/>
        <v>Keine</v>
      </c>
      <c r="I159" s="454"/>
    </row>
    <row r="160" spans="4:10" ht="12.75" customHeight="1" x14ac:dyDescent="0.2">
      <c r="D160" s="273" t="s">
        <v>813</v>
      </c>
      <c r="E160" s="309" t="s">
        <v>812</v>
      </c>
      <c r="F160" s="309" t="s">
        <v>811</v>
      </c>
      <c r="G160" s="310" t="s">
        <v>810</v>
      </c>
      <c r="H160" s="448" t="str">
        <f t="shared" si="13"/>
        <v>Nur nach Rücksprache mit Sky-Frame!</v>
      </c>
      <c r="I160" s="454"/>
    </row>
    <row r="161" spans="4:10" x14ac:dyDescent="0.2">
      <c r="D161" s="273" t="s">
        <v>818</v>
      </c>
      <c r="E161" s="309" t="s">
        <v>819</v>
      </c>
      <c r="F161" s="309" t="s">
        <v>820</v>
      </c>
      <c r="G161" s="310" t="s">
        <v>821</v>
      </c>
      <c r="H161" s="448" t="str">
        <f t="shared" si="13"/>
        <v>ohne Verschlussraster (Zylinder)</v>
      </c>
      <c r="I161" s="454"/>
    </row>
    <row r="162" spans="4:10" x14ac:dyDescent="0.2">
      <c r="D162" s="273"/>
      <c r="E162" s="309"/>
      <c r="F162" s="309"/>
      <c r="G162" s="310"/>
      <c r="H162" s="448">
        <f t="shared" si="13"/>
        <v>0</v>
      </c>
      <c r="I162" s="454"/>
    </row>
    <row r="163" spans="4:10" x14ac:dyDescent="0.2">
      <c r="D163" s="273"/>
      <c r="E163" s="309"/>
      <c r="F163" s="309"/>
      <c r="G163" s="310"/>
      <c r="H163" s="448">
        <f t="shared" si="13"/>
        <v>0</v>
      </c>
      <c r="I163" s="454"/>
    </row>
    <row r="164" spans="4:10" x14ac:dyDescent="0.2">
      <c r="D164" s="273"/>
      <c r="E164" s="309"/>
      <c r="F164" s="309"/>
      <c r="G164" s="310"/>
      <c r="H164" s="448">
        <f t="shared" si="13"/>
        <v>0</v>
      </c>
      <c r="I164" s="454"/>
    </row>
    <row r="165" spans="4:10" x14ac:dyDescent="0.2">
      <c r="D165" s="273" t="s">
        <v>954</v>
      </c>
      <c r="E165" s="359" t="s">
        <v>955</v>
      </c>
      <c r="F165" s="359" t="s">
        <v>478</v>
      </c>
      <c r="G165" s="359" t="s">
        <v>956</v>
      </c>
      <c r="H165" s="448" t="str">
        <f t="shared" si="13"/>
        <v>Hinweise:</v>
      </c>
      <c r="I165" s="454"/>
    </row>
    <row r="166" spans="4:10" x14ac:dyDescent="0.2">
      <c r="D166" s="273" t="s">
        <v>832</v>
      </c>
      <c r="E166" s="360" t="s">
        <v>844</v>
      </c>
      <c r="F166" s="359" t="s">
        <v>852</v>
      </c>
      <c r="G166" s="360" t="s">
        <v>860</v>
      </c>
      <c r="H166" s="448" t="str">
        <f t="shared" si="13"/>
        <v>Angabe erstöffnender Flügel</v>
      </c>
      <c r="I166" s="454"/>
    </row>
    <row r="167" spans="4:10" ht="102" x14ac:dyDescent="0.2">
      <c r="D167" s="336" t="s">
        <v>840</v>
      </c>
      <c r="E167" s="361" t="s">
        <v>845</v>
      </c>
      <c r="F167" s="361" t="s">
        <v>853</v>
      </c>
      <c r="G167" s="361" t="s">
        <v>861</v>
      </c>
      <c r="H167" s="534" t="str">
        <f t="shared" si="13"/>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54"/>
    </row>
    <row r="168" spans="4:10" x14ac:dyDescent="0.2">
      <c r="D168" s="336" t="s">
        <v>841</v>
      </c>
      <c r="E168" s="360" t="s">
        <v>846</v>
      </c>
      <c r="F168" s="360" t="s">
        <v>854</v>
      </c>
      <c r="G168" s="361" t="s">
        <v>862</v>
      </c>
      <c r="H168" s="534" t="str">
        <f t="shared" si="13"/>
        <v>Eingabe Ecke ≠ 90° (von 60° - 160°)</v>
      </c>
      <c r="I168" s="454"/>
    </row>
    <row r="169" spans="4:10" ht="63.75" x14ac:dyDescent="0.2">
      <c r="D169" s="336" t="s">
        <v>833</v>
      </c>
      <c r="E169" s="361" t="s">
        <v>847</v>
      </c>
      <c r="F169" s="361" t="s">
        <v>855</v>
      </c>
      <c r="G169" s="361" t="s">
        <v>863</v>
      </c>
      <c r="H169" s="534" t="str">
        <f t="shared" si="13"/>
        <v xml:space="preserve">Um eine Ecke auszuwählen, welche grösser oder kleiner wie 90° ist, muss das dementsprechende Feld ausgewählt werden. Danach muss der gewünschte Wert angegeben werden. </v>
      </c>
      <c r="I169" s="454"/>
    </row>
    <row r="170" spans="4:10" ht="25.5" x14ac:dyDescent="0.2">
      <c r="D170" s="336" t="s">
        <v>835</v>
      </c>
      <c r="E170" s="360" t="s">
        <v>848</v>
      </c>
      <c r="F170" s="360" t="s">
        <v>856</v>
      </c>
      <c r="G170" s="361" t="s">
        <v>864</v>
      </c>
      <c r="H170" s="534" t="str">
        <f t="shared" si="13"/>
        <v>Breitenangabe bei Eckanlagen</v>
      </c>
      <c r="I170" s="454"/>
    </row>
    <row r="171" spans="4:10" ht="102" x14ac:dyDescent="0.2">
      <c r="D171" s="336" t="s">
        <v>836</v>
      </c>
      <c r="E171" s="361" t="s">
        <v>849</v>
      </c>
      <c r="F171" s="361" t="s">
        <v>857</v>
      </c>
      <c r="G171" s="361" t="s">
        <v>865</v>
      </c>
      <c r="H171" s="534" t="str">
        <f t="shared" si="13"/>
        <v>Wird eine Eckanlage eingegeben, erscheint bei der Angabe "Breite" automatisch ein neues Eingabefeld. Die Länge der einzelnen Fronten muss hier separat angegeben werden (Rahmenaussenmass). Die verschiedenen Fronten sind von links nach rechts anzugeben:</v>
      </c>
      <c r="I171" s="454"/>
    </row>
    <row r="172" spans="4:10" x14ac:dyDescent="0.2">
      <c r="D172" s="336" t="s">
        <v>838</v>
      </c>
      <c r="E172" s="360" t="s">
        <v>850</v>
      </c>
      <c r="F172" s="360" t="s">
        <v>858</v>
      </c>
      <c r="G172" s="361" t="s">
        <v>866</v>
      </c>
      <c r="H172" s="534" t="str">
        <f t="shared" si="13"/>
        <v>Rinnenlänge angeben</v>
      </c>
      <c r="I172" s="454"/>
    </row>
    <row r="173" spans="4:10" ht="140.25" x14ac:dyDescent="0.2">
      <c r="D173" s="336" t="s">
        <v>839</v>
      </c>
      <c r="E173" s="362" t="s">
        <v>851</v>
      </c>
      <c r="F173" s="361" t="s">
        <v>859</v>
      </c>
      <c r="G173" s="361" t="s">
        <v>867</v>
      </c>
      <c r="H173" s="534" t="str">
        <f t="shared" si="13"/>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54"/>
    </row>
    <row r="174" spans="4:10" x14ac:dyDescent="0.2">
      <c r="D174" s="336" t="s">
        <v>16</v>
      </c>
      <c r="E174" s="309" t="s">
        <v>16</v>
      </c>
      <c r="F174" s="309" t="s">
        <v>16</v>
      </c>
      <c r="G174" s="310" t="s">
        <v>16</v>
      </c>
      <c r="H174" s="534" t="str">
        <f t="shared" si="13"/>
        <v>Standard</v>
      </c>
      <c r="I174" s="454"/>
      <c r="J174" s="272" t="str">
        <f>H174</f>
        <v>Standard</v>
      </c>
    </row>
    <row r="175" spans="4:10" x14ac:dyDescent="0.2">
      <c r="D175" s="336" t="s">
        <v>871</v>
      </c>
      <c r="E175" s="309" t="s">
        <v>872</v>
      </c>
      <c r="F175" s="309" t="s">
        <v>873</v>
      </c>
      <c r="G175" s="310" t="s">
        <v>874</v>
      </c>
      <c r="H175" s="534" t="str">
        <f t="shared" si="13"/>
        <v>Seaside (Pool/Meer)</v>
      </c>
      <c r="I175" s="454"/>
      <c r="J175" s="272" t="str">
        <f>H175</f>
        <v>Seaside (Pool/Meer)</v>
      </c>
    </row>
    <row r="176" spans="4:10" x14ac:dyDescent="0.2">
      <c r="D176" s="273" t="s">
        <v>875</v>
      </c>
      <c r="E176" s="309" t="s">
        <v>876</v>
      </c>
      <c r="F176" s="309" t="s">
        <v>877</v>
      </c>
      <c r="G176" s="310" t="s">
        <v>878</v>
      </c>
      <c r="H176" s="534" t="str">
        <f t="shared" si="13"/>
        <v>Pulverlack Klasse:</v>
      </c>
      <c r="I176" s="454"/>
    </row>
    <row r="177" spans="4:10" x14ac:dyDescent="0.2">
      <c r="D177" s="273" t="s">
        <v>879</v>
      </c>
      <c r="E177" s="309" t="s">
        <v>879</v>
      </c>
      <c r="F177" s="309" t="s">
        <v>879</v>
      </c>
      <c r="G177" s="310" t="s">
        <v>879</v>
      </c>
      <c r="H177" s="534" t="str">
        <f t="shared" si="13"/>
        <v>Qualicoat 1</v>
      </c>
      <c r="I177" s="454"/>
      <c r="J177" s="272" t="str">
        <f>H177</f>
        <v>Qualicoat 1</v>
      </c>
    </row>
    <row r="178" spans="4:10" x14ac:dyDescent="0.2">
      <c r="D178" s="273" t="s">
        <v>880</v>
      </c>
      <c r="E178" s="309" t="s">
        <v>880</v>
      </c>
      <c r="F178" s="309" t="s">
        <v>880</v>
      </c>
      <c r="G178" s="310" t="s">
        <v>880</v>
      </c>
      <c r="H178" s="534" t="str">
        <f t="shared" si="13"/>
        <v>Qualicoat 2</v>
      </c>
      <c r="I178" s="454"/>
      <c r="J178" s="272" t="str">
        <f>H178</f>
        <v>Qualicoat 2</v>
      </c>
    </row>
    <row r="179" spans="4:10" x14ac:dyDescent="0.2">
      <c r="D179" s="273" t="s">
        <v>904</v>
      </c>
      <c r="E179" s="309" t="s">
        <v>905</v>
      </c>
      <c r="F179" s="309" t="s">
        <v>906</v>
      </c>
      <c r="G179" s="310" t="s">
        <v>915</v>
      </c>
      <c r="H179" s="534" t="str">
        <f t="shared" si="13"/>
        <v>Übersicht:</v>
      </c>
      <c r="I179" s="454"/>
    </row>
    <row r="180" spans="4:10" x14ac:dyDescent="0.2">
      <c r="D180" s="273" t="s">
        <v>895</v>
      </c>
      <c r="E180" s="309" t="s">
        <v>896</v>
      </c>
      <c r="F180" s="309" t="s">
        <v>897</v>
      </c>
      <c r="G180" s="310" t="s">
        <v>898</v>
      </c>
      <c r="H180" s="534" t="str">
        <f t="shared" si="13"/>
        <v>VE</v>
      </c>
      <c r="I180" s="454"/>
    </row>
    <row r="181" spans="4:10" x14ac:dyDescent="0.2">
      <c r="D181" s="273" t="s">
        <v>916</v>
      </c>
      <c r="E181" s="309" t="s">
        <v>958</v>
      </c>
      <c r="F181" s="309" t="s">
        <v>959</v>
      </c>
      <c r="G181" s="310" t="s">
        <v>960</v>
      </c>
      <c r="H181" s="534" t="str">
        <f t="shared" ref="H181:H209" si="14">IF($B$3=$A$3,D181,IF($B$3=$A$4,E181,IF($B$3=$A$5,F181,IF($B$3=$A$6,G181,""))))</f>
        <v>Sky-Frame Beratung vorhanden:</v>
      </c>
      <c r="I181" s="454"/>
    </row>
    <row r="182" spans="4:10" x14ac:dyDescent="0.2">
      <c r="D182" s="273" t="s">
        <v>917</v>
      </c>
      <c r="E182" s="309" t="s">
        <v>961</v>
      </c>
      <c r="F182" s="309" t="s">
        <v>962</v>
      </c>
      <c r="G182" s="310" t="s">
        <v>963</v>
      </c>
      <c r="H182" s="534" t="str">
        <f t="shared" si="14"/>
        <v>Beratungsnummer: (z.B. P123456)</v>
      </c>
      <c r="I182" s="454"/>
    </row>
    <row r="183" spans="4:10" x14ac:dyDescent="0.2">
      <c r="D183" s="273" t="s">
        <v>918</v>
      </c>
      <c r="E183" s="309" t="s">
        <v>919</v>
      </c>
      <c r="F183" s="309" t="s">
        <v>964</v>
      </c>
      <c r="G183" s="310" t="s">
        <v>965</v>
      </c>
      <c r="H183" s="534" t="str">
        <f t="shared" si="14"/>
        <v>Inch-Rechner</v>
      </c>
      <c r="I183" s="454"/>
    </row>
    <row r="184" spans="4:10" x14ac:dyDescent="0.2">
      <c r="D184" s="273" t="s">
        <v>920</v>
      </c>
      <c r="E184" s="309" t="s">
        <v>921</v>
      </c>
      <c r="F184" s="309" t="s">
        <v>966</v>
      </c>
      <c r="G184" s="310" t="s">
        <v>967</v>
      </c>
      <c r="H184" s="534" t="str">
        <f t="shared" si="14"/>
        <v>Fuss:</v>
      </c>
      <c r="I184" s="454"/>
    </row>
    <row r="185" spans="4:10" x14ac:dyDescent="0.2">
      <c r="D185" s="273" t="s">
        <v>922</v>
      </c>
      <c r="E185" s="309" t="s">
        <v>923</v>
      </c>
      <c r="F185" s="309" t="s">
        <v>968</v>
      </c>
      <c r="G185" s="310" t="s">
        <v>969</v>
      </c>
      <c r="H185" s="534" t="str">
        <f t="shared" si="14"/>
        <v>Zoll:</v>
      </c>
      <c r="I185" s="454"/>
    </row>
    <row r="186" spans="4:10" x14ac:dyDescent="0.2">
      <c r="D186" s="273" t="s">
        <v>924</v>
      </c>
      <c r="E186" s="309" t="s">
        <v>970</v>
      </c>
      <c r="F186" s="309" t="s">
        <v>971</v>
      </c>
      <c r="G186" s="310" t="s">
        <v>972</v>
      </c>
      <c r="H186" s="534" t="str">
        <f t="shared" si="14"/>
        <v>Bemassung Bahnhof</v>
      </c>
      <c r="I186" s="454"/>
    </row>
    <row r="187" spans="4:10" ht="102" x14ac:dyDescent="0.2">
      <c r="D187" s="446" t="s">
        <v>925</v>
      </c>
      <c r="E187" s="362" t="s">
        <v>973</v>
      </c>
      <c r="F187" s="362" t="s">
        <v>974</v>
      </c>
      <c r="G187" s="447" t="s">
        <v>937</v>
      </c>
      <c r="H187" s="534" t="str">
        <f t="shared" si="14"/>
        <v>Die Vermassung von Bahnhofanlagen funktioniert gleich wie bei normalen Rahmen. Bitte geben Sie uns als Rahmenmass das komplette Mass von Aussenkant Rahmen an. Für die Vermassung der Labyrinthposition geben Sie bitte das Mass bis Achse Labyrinth an.</v>
      </c>
      <c r="I187" s="454"/>
    </row>
    <row r="188" spans="4:10" x14ac:dyDescent="0.2">
      <c r="D188" s="273" t="s">
        <v>926</v>
      </c>
      <c r="E188" s="309" t="s">
        <v>975</v>
      </c>
      <c r="F188" s="309" t="s">
        <v>976</v>
      </c>
      <c r="G188" s="310" t="s">
        <v>977</v>
      </c>
      <c r="H188" s="534" t="str">
        <f t="shared" si="14"/>
        <v>Bahnhof Typ 1:</v>
      </c>
      <c r="I188" s="454"/>
    </row>
    <row r="189" spans="4:10" x14ac:dyDescent="0.2">
      <c r="D189" s="273" t="s">
        <v>927</v>
      </c>
      <c r="E189" s="309" t="s">
        <v>978</v>
      </c>
      <c r="F189" s="309" t="s">
        <v>979</v>
      </c>
      <c r="G189" s="310" t="s">
        <v>980</v>
      </c>
      <c r="H189" s="534" t="str">
        <f t="shared" si="14"/>
        <v>Bahnhof Typ 2:</v>
      </c>
      <c r="I189" s="454"/>
    </row>
    <row r="190" spans="4:10" x14ac:dyDescent="0.2">
      <c r="D190" s="273" t="s">
        <v>928</v>
      </c>
      <c r="E190" s="309" t="s">
        <v>253</v>
      </c>
      <c r="F190" s="309" t="s">
        <v>271</v>
      </c>
      <c r="G190" s="310" t="s">
        <v>282</v>
      </c>
      <c r="H190" s="534" t="str">
        <f t="shared" si="14"/>
        <v>schwarz</v>
      </c>
      <c r="I190" s="454"/>
    </row>
    <row r="191" spans="4:10" x14ac:dyDescent="0.2">
      <c r="D191" s="273" t="s">
        <v>617</v>
      </c>
      <c r="E191" s="309" t="s">
        <v>929</v>
      </c>
      <c r="F191" s="309" t="s">
        <v>930</v>
      </c>
      <c r="G191" s="310" t="s">
        <v>931</v>
      </c>
      <c r="H191" s="534" t="str">
        <f t="shared" si="14"/>
        <v>Rahmenfarbe</v>
      </c>
      <c r="I191" s="454"/>
    </row>
    <row r="192" spans="4:10" x14ac:dyDescent="0.2">
      <c r="D192" s="273" t="s">
        <v>928</v>
      </c>
      <c r="E192" s="309" t="s">
        <v>253</v>
      </c>
      <c r="F192" s="309" t="s">
        <v>271</v>
      </c>
      <c r="G192" s="310" t="s">
        <v>282</v>
      </c>
      <c r="H192" s="534" t="str">
        <f t="shared" si="14"/>
        <v>schwarz</v>
      </c>
      <c r="I192" s="454"/>
    </row>
    <row r="193" spans="4:9" x14ac:dyDescent="0.2">
      <c r="D193" s="273" t="s">
        <v>938</v>
      </c>
      <c r="E193" s="309" t="s">
        <v>939</v>
      </c>
      <c r="F193" s="309" t="s">
        <v>981</v>
      </c>
      <c r="G193" s="310" t="s">
        <v>982</v>
      </c>
      <c r="H193" s="534" t="str">
        <f t="shared" si="14"/>
        <v>Sonstiges:</v>
      </c>
      <c r="I193" s="454"/>
    </row>
    <row r="194" spans="4:9" x14ac:dyDescent="0.2">
      <c r="D194" s="273" t="s">
        <v>957</v>
      </c>
      <c r="E194" s="309" t="s">
        <v>940</v>
      </c>
      <c r="F194" s="309" t="s">
        <v>983</v>
      </c>
      <c r="G194" s="310" t="s">
        <v>984</v>
      </c>
      <c r="H194" s="534" t="str">
        <f t="shared" si="14"/>
        <v>Sichtbare Rahmenprofile (aussen):</v>
      </c>
      <c r="I194" s="454"/>
    </row>
    <row r="195" spans="4:9" x14ac:dyDescent="0.2">
      <c r="D195" s="273" t="s">
        <v>941</v>
      </c>
      <c r="E195" s="309" t="s">
        <v>942</v>
      </c>
      <c r="F195" s="309" t="s">
        <v>985</v>
      </c>
      <c r="G195" s="310" t="s">
        <v>986</v>
      </c>
      <c r="H195" s="534" t="str">
        <f t="shared" si="14"/>
        <v>Lieferung Glas und Rahmen:</v>
      </c>
      <c r="I195" s="454"/>
    </row>
    <row r="196" spans="4:9" x14ac:dyDescent="0.2">
      <c r="D196" s="273" t="s">
        <v>943</v>
      </c>
      <c r="E196" s="309" t="s">
        <v>944</v>
      </c>
      <c r="F196" s="309" t="s">
        <v>987</v>
      </c>
      <c r="G196" s="310" t="s">
        <v>988</v>
      </c>
      <c r="H196" s="534" t="str">
        <f t="shared" si="14"/>
        <v>zusammen</v>
      </c>
      <c r="I196" s="454"/>
    </row>
    <row r="197" spans="4:9" x14ac:dyDescent="0.2">
      <c r="D197" s="273" t="s">
        <v>945</v>
      </c>
      <c r="E197" s="309" t="s">
        <v>946</v>
      </c>
      <c r="F197" s="309" t="s">
        <v>989</v>
      </c>
      <c r="G197" s="310" t="s">
        <v>990</v>
      </c>
      <c r="H197" s="534" t="str">
        <f t="shared" si="14"/>
        <v>getrennt</v>
      </c>
      <c r="I197" s="454"/>
    </row>
    <row r="198" spans="4:9" x14ac:dyDescent="0.2">
      <c r="D198" s="273" t="s">
        <v>947</v>
      </c>
      <c r="E198" s="309" t="s">
        <v>948</v>
      </c>
      <c r="F198" s="309" t="s">
        <v>948</v>
      </c>
      <c r="G198" s="310" t="s">
        <v>991</v>
      </c>
      <c r="H198" s="534" t="str">
        <f t="shared" si="14"/>
        <v>sichtbar</v>
      </c>
      <c r="I198" s="454"/>
    </row>
    <row r="199" spans="4:9" x14ac:dyDescent="0.2">
      <c r="D199" s="273" t="s">
        <v>949</v>
      </c>
      <c r="E199" s="309" t="s">
        <v>950</v>
      </c>
      <c r="F199" s="309" t="s">
        <v>992</v>
      </c>
      <c r="G199" s="310" t="s">
        <v>993</v>
      </c>
      <c r="H199" s="534" t="str">
        <f t="shared" si="14"/>
        <v>nicht sichtbar</v>
      </c>
      <c r="I199" s="454"/>
    </row>
    <row r="200" spans="4:9" x14ac:dyDescent="0.2">
      <c r="D200" s="336"/>
      <c r="E200" s="309"/>
      <c r="F200" s="309"/>
      <c r="G200" s="310"/>
      <c r="H200" s="534">
        <f t="shared" si="14"/>
        <v>0</v>
      </c>
      <c r="I200" s="454"/>
    </row>
    <row r="201" spans="4:9" x14ac:dyDescent="0.2">
      <c r="D201" s="336"/>
      <c r="E201" s="309"/>
      <c r="F201" s="309"/>
      <c r="G201" s="310"/>
      <c r="H201" s="534">
        <f t="shared" si="14"/>
        <v>0</v>
      </c>
      <c r="I201" s="454"/>
    </row>
    <row r="202" spans="4:9" x14ac:dyDescent="0.2">
      <c r="D202" s="336"/>
      <c r="E202" s="309"/>
      <c r="F202" s="309"/>
      <c r="G202" s="310"/>
      <c r="H202" s="534">
        <f t="shared" si="14"/>
        <v>0</v>
      </c>
      <c r="I202" s="454"/>
    </row>
    <row r="203" spans="4:9" x14ac:dyDescent="0.2">
      <c r="D203" s="336"/>
      <c r="E203" s="309"/>
      <c r="F203" s="309"/>
      <c r="G203" s="310"/>
      <c r="H203" s="534">
        <f t="shared" si="14"/>
        <v>0</v>
      </c>
      <c r="I203" s="454"/>
    </row>
    <row r="204" spans="4:9" x14ac:dyDescent="0.2">
      <c r="D204" s="336"/>
      <c r="E204" s="309"/>
      <c r="F204" s="309"/>
      <c r="G204" s="310"/>
      <c r="H204" s="534">
        <f t="shared" si="14"/>
        <v>0</v>
      </c>
      <c r="I204" s="454"/>
    </row>
    <row r="205" spans="4:9" x14ac:dyDescent="0.2">
      <c r="D205" s="336"/>
      <c r="E205" s="309"/>
      <c r="F205" s="309"/>
      <c r="G205" s="310"/>
      <c r="H205" s="534">
        <f t="shared" si="14"/>
        <v>0</v>
      </c>
      <c r="I205" s="454"/>
    </row>
    <row r="206" spans="4:9" x14ac:dyDescent="0.2">
      <c r="D206" s="336"/>
      <c r="E206" s="309"/>
      <c r="F206" s="309"/>
      <c r="G206" s="310"/>
      <c r="H206" s="534">
        <f t="shared" si="14"/>
        <v>0</v>
      </c>
      <c r="I206" s="454"/>
    </row>
    <row r="207" spans="4:9" x14ac:dyDescent="0.2">
      <c r="D207" s="336"/>
      <c r="E207" s="309"/>
      <c r="F207" s="309"/>
      <c r="G207" s="310"/>
      <c r="H207" s="534">
        <f t="shared" si="14"/>
        <v>0</v>
      </c>
      <c r="I207" s="454"/>
    </row>
    <row r="208" spans="4:9" x14ac:dyDescent="0.2">
      <c r="D208" s="336"/>
      <c r="E208" s="309"/>
      <c r="F208" s="309"/>
      <c r="G208" s="310"/>
      <c r="H208" s="534">
        <f t="shared" si="14"/>
        <v>0</v>
      </c>
      <c r="I208" s="454"/>
    </row>
    <row r="209" spans="4:9" x14ac:dyDescent="0.2">
      <c r="D209" s="336"/>
      <c r="E209" s="309"/>
      <c r="F209" s="309"/>
      <c r="G209" s="310"/>
      <c r="H209" s="534">
        <f t="shared" si="14"/>
        <v>0</v>
      </c>
      <c r="I209" s="454"/>
    </row>
  </sheetData>
  <mergeCells count="4">
    <mergeCell ref="N40:P40"/>
    <mergeCell ref="M60:M61"/>
    <mergeCell ref="L85:M85"/>
    <mergeCell ref="B87:C87"/>
  </mergeCells>
  <dataValidations count="1">
    <dataValidation type="list" allowBlank="1" showInputMessage="1" showErrorMessage="1" sqref="P38" xr:uid="{7896AA5E-9726-4793-8CF7-754761323640}">
      <formula1>$O$45:$O$46</formula1>
    </dataValidation>
  </dataValidations>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4AF6-F395-43D7-AB41-87A4E8A859E8}">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ColWidth="11.42578125" defaultRowHeight="12.75" x14ac:dyDescent="0.2"/>
  <cols>
    <col min="1" max="1" width="12.42578125" style="136" customWidth="1"/>
    <col min="2" max="2" width="3.7109375" style="136" customWidth="1"/>
    <col min="3" max="3" width="2.85546875" style="136" customWidth="1"/>
    <col min="4" max="4" width="1.28515625" style="136" customWidth="1"/>
    <col min="5" max="44" width="3.28515625" style="136" customWidth="1"/>
    <col min="45" max="45" width="1.42578125" style="136" customWidth="1"/>
    <col min="46" max="46" width="4.5703125" style="136" customWidth="1"/>
    <col min="47" max="47" width="3.7109375" style="136" customWidth="1"/>
    <col min="48" max="48" width="7.28515625" style="136" customWidth="1"/>
    <col min="49" max="50" width="11.42578125" style="136"/>
    <col min="51" max="51" width="20.28515625" style="136" customWidth="1"/>
    <col min="52" max="53" width="10.140625" style="136" customWidth="1"/>
    <col min="54" max="54" width="9.5703125" style="136" customWidth="1"/>
    <col min="55" max="55" width="11.42578125" style="136"/>
    <col min="56" max="56" width="5.5703125" style="136" customWidth="1"/>
    <col min="57" max="57" width="4.5703125" style="136" customWidth="1"/>
    <col min="58" max="58" width="1.85546875" style="136" customWidth="1"/>
    <col min="59" max="59" width="5.7109375" style="136" customWidth="1"/>
    <col min="60" max="60" width="6.28515625" style="136" customWidth="1"/>
    <col min="61" max="61" width="5.85546875" style="136" customWidth="1"/>
    <col min="62" max="64" width="0" style="136" hidden="1" customWidth="1"/>
    <col min="65" max="16384" width="11.42578125" style="136"/>
  </cols>
  <sheetData>
    <row r="1" spans="1:64" ht="13.5" thickBot="1" x14ac:dyDescent="0.25">
      <c r="A1" s="153" t="s">
        <v>493</v>
      </c>
      <c r="C1" s="61"/>
      <c r="AW1" s="154"/>
    </row>
    <row r="2" spans="1:64" ht="13.5" thickTop="1" x14ac:dyDescent="0.2">
      <c r="B2" s="198">
        <v>2</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109"/>
      <c r="AW2" s="423"/>
      <c r="AX2" s="233"/>
      <c r="AY2" s="233"/>
      <c r="AZ2" s="233"/>
      <c r="BA2" s="233"/>
      <c r="BB2" s="364" t="str">
        <f>CONCATENATE(ROUND(SUM(I46:K49)*Z42/1000000,2)*AJ6,"m²")</f>
        <v>0m²</v>
      </c>
      <c r="BD2" s="232"/>
      <c r="BE2" s="233"/>
      <c r="BF2" s="233"/>
      <c r="BG2" s="233"/>
      <c r="BH2" s="233"/>
      <c r="BI2" s="234"/>
    </row>
    <row r="3" spans="1:64" ht="36.75" customHeight="1" x14ac:dyDescent="0.3">
      <c r="B3" s="197"/>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137"/>
      <c r="AR3" s="84"/>
      <c r="AS3" s="84"/>
      <c r="AT3" s="138" t="s">
        <v>706</v>
      </c>
      <c r="AU3" s="111"/>
      <c r="AW3" s="235"/>
      <c r="AX3" s="236" t="str">
        <f>'Sprachen &amp; Rückgabewerte(2)'!$H$2</f>
        <v>Sprache:</v>
      </c>
      <c r="AY3" s="61"/>
      <c r="AZ3" s="61"/>
      <c r="BA3" s="61"/>
      <c r="BB3" s="381" t="str">
        <f>IF(AJ6&gt;1,CONCATENATE(AH6," ",AJ6),"")</f>
        <v/>
      </c>
      <c r="BD3" s="235"/>
      <c r="BE3" s="415" t="str">
        <f>'Sprachen &amp; Rückgabewerte(2)'!H183</f>
        <v>Inch-Rechner</v>
      </c>
      <c r="BF3" s="415"/>
      <c r="BG3" s="61"/>
      <c r="BH3" s="61"/>
      <c r="BI3" s="237"/>
    </row>
    <row r="4" spans="1:64" ht="19.5" customHeight="1" x14ac:dyDescent="0.2">
      <c r="B4" s="107"/>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109"/>
      <c r="AW4" s="235"/>
      <c r="AX4" s="61"/>
      <c r="AY4" s="61"/>
      <c r="AZ4" s="61"/>
      <c r="BA4" s="61"/>
      <c r="BB4" s="237"/>
      <c r="BD4" s="235"/>
      <c r="BE4" s="150" t="str">
        <f>'Sprachen &amp; Rückgabewerte(2)'!H184</f>
        <v>Fuss:</v>
      </c>
      <c r="BF4" s="150"/>
      <c r="BG4" s="150" t="str">
        <f>'Sprachen &amp; Rückgabewerte(2)'!H185</f>
        <v>Zoll:</v>
      </c>
      <c r="BH4" s="61"/>
      <c r="BI4" s="237"/>
    </row>
    <row r="5" spans="1:64" x14ac:dyDescent="0.2">
      <c r="B5" s="60"/>
      <c r="C5" s="121"/>
      <c r="D5" s="122"/>
      <c r="E5" s="123" t="str">
        <f>'Sprachen &amp; Rückgabewerte(2)'!H4</f>
        <v>BESTELLUNG</v>
      </c>
      <c r="F5" s="122"/>
      <c r="G5" s="122"/>
      <c r="H5" s="122"/>
      <c r="I5" s="122"/>
      <c r="J5" s="122"/>
      <c r="K5" s="122"/>
      <c r="L5" s="122"/>
      <c r="M5" s="122"/>
      <c r="N5" s="122"/>
      <c r="O5" s="122"/>
      <c r="P5" s="122"/>
      <c r="Q5" s="122"/>
      <c r="R5" s="124"/>
      <c r="S5" s="669" t="str">
        <f>'Sprachen &amp; Rückgabewerte(2)'!$H$130</f>
        <v>Vertriebspartner:</v>
      </c>
      <c r="T5" s="670"/>
      <c r="U5" s="670"/>
      <c r="V5" s="670"/>
      <c r="W5" s="670"/>
      <c r="X5" s="671"/>
      <c r="Y5" s="672"/>
      <c r="Z5" s="673"/>
      <c r="AA5" s="673"/>
      <c r="AB5" s="673"/>
      <c r="AC5" s="673"/>
      <c r="AD5" s="673"/>
      <c r="AE5" s="673"/>
      <c r="AF5" s="674"/>
      <c r="AG5" s="139"/>
      <c r="AH5" s="125" t="str">
        <f>'Sprachen &amp; Rückgabewerte(2)'!H55</f>
        <v>Pos:</v>
      </c>
      <c r="AI5" s="140"/>
      <c r="AJ5" s="663"/>
      <c r="AK5" s="664"/>
      <c r="AL5" s="665"/>
      <c r="AM5" s="139"/>
      <c r="AN5" s="125" t="str">
        <f>'Sprachen &amp; Rückgabewerte(2)'!$H$10</f>
        <v>2-gleisig</v>
      </c>
      <c r="AO5" s="140"/>
      <c r="AP5" s="140"/>
      <c r="AQ5" s="140"/>
      <c r="AR5" s="140"/>
      <c r="AS5" s="140"/>
      <c r="AT5" s="183"/>
      <c r="AU5" s="110"/>
      <c r="AW5" s="235"/>
      <c r="AX5" s="61"/>
      <c r="AY5" s="61"/>
      <c r="AZ5" s="61"/>
      <c r="BA5" s="61"/>
      <c r="BB5" s="237"/>
      <c r="BD5" s="235"/>
      <c r="BE5" s="552"/>
      <c r="BF5" s="554" t="str">
        <f>"'"</f>
        <v>'</v>
      </c>
      <c r="BG5" s="555"/>
      <c r="BH5" s="416"/>
      <c r="BI5" s="237"/>
      <c r="BJ5" s="136">
        <f>BE5*304.8</f>
        <v>0</v>
      </c>
      <c r="BK5" s="136">
        <f>BG5*25.4</f>
        <v>0</v>
      </c>
      <c r="BL5" s="136">
        <f>IF(AND(BH5="",BH6=""),0,25.4*BH5/BH6)</f>
        <v>0</v>
      </c>
    </row>
    <row r="6" spans="1:64" ht="12" customHeight="1" x14ac:dyDescent="0.2">
      <c r="B6" s="60"/>
      <c r="C6" s="126"/>
      <c r="D6" s="127"/>
      <c r="E6" s="67"/>
      <c r="F6" s="127" t="str">
        <f>'Sprachen &amp; Rückgabewerte(2)'!$H$5</f>
        <v>Gemäss Zeichnung Nr.:</v>
      </c>
      <c r="G6" s="127"/>
      <c r="H6" s="127"/>
      <c r="I6" s="127"/>
      <c r="J6" s="127"/>
      <c r="K6" s="127"/>
      <c r="L6" s="141"/>
      <c r="M6" s="681"/>
      <c r="N6" s="682"/>
      <c r="O6" s="682"/>
      <c r="P6" s="682"/>
      <c r="Q6" s="683"/>
      <c r="R6" s="128"/>
      <c r="S6" s="129" t="str">
        <f>'Sprachen &amp; Rückgabewerte(2)'!$H$7</f>
        <v xml:space="preserve">Objekt: </v>
      </c>
      <c r="T6" s="127"/>
      <c r="U6" s="127"/>
      <c r="V6" s="127"/>
      <c r="W6" s="127"/>
      <c r="X6" s="90"/>
      <c r="Y6" s="666"/>
      <c r="Z6" s="667"/>
      <c r="AA6" s="667"/>
      <c r="AB6" s="667"/>
      <c r="AC6" s="667"/>
      <c r="AD6" s="667"/>
      <c r="AE6" s="667"/>
      <c r="AF6" s="668"/>
      <c r="AG6" s="128"/>
      <c r="AH6" s="129" t="str">
        <f>'Sprachen &amp; Rückgabewerte(2)'!H56</f>
        <v>Stück:</v>
      </c>
      <c r="AI6" s="127"/>
      <c r="AJ6" s="675"/>
      <c r="AK6" s="676"/>
      <c r="AL6" s="677"/>
      <c r="AM6" s="112"/>
      <c r="AN6" s="129" t="str">
        <f>IF($AT$5="",'Sprachen &amp; Rückgabewerte(2)'!$H$11,'Sprachen &amp; Rückgabewerte(2)'!$H$12)</f>
        <v>3-gleisig</v>
      </c>
      <c r="AO6" s="127"/>
      <c r="AP6" s="127"/>
      <c r="AQ6" s="127"/>
      <c r="AR6" s="127"/>
      <c r="AS6" s="127"/>
      <c r="AT6" s="128"/>
      <c r="AU6" s="110"/>
      <c r="AW6" s="235"/>
      <c r="AX6" s="61"/>
      <c r="AY6" s="61"/>
      <c r="AZ6" s="61"/>
      <c r="BA6" s="61"/>
      <c r="BB6" s="237"/>
      <c r="BD6" s="235"/>
      <c r="BE6" s="553"/>
      <c r="BF6" s="554"/>
      <c r="BG6" s="556"/>
      <c r="BH6" s="417"/>
      <c r="BI6" s="237"/>
    </row>
    <row r="7" spans="1:64" ht="12" customHeight="1" x14ac:dyDescent="0.2">
      <c r="B7" s="60"/>
      <c r="C7" s="126"/>
      <c r="D7" s="127"/>
      <c r="E7" s="67"/>
      <c r="F7" s="127" t="str">
        <f>'Sprachen &amp; Rückgabewerte(2)'!$H$6</f>
        <v>Gemäss Skizze: (Ansicht von Aussen)</v>
      </c>
      <c r="G7" s="127"/>
      <c r="H7" s="127"/>
      <c r="I7" s="127"/>
      <c r="J7" s="127"/>
      <c r="K7" s="127"/>
      <c r="L7" s="127"/>
      <c r="M7" s="127"/>
      <c r="N7" s="127"/>
      <c r="O7" s="127"/>
      <c r="P7" s="127"/>
      <c r="Q7" s="127"/>
      <c r="R7" s="128"/>
      <c r="S7" s="129" t="str">
        <f>'Sprachen &amp; Rückgabewerte(2)'!$H$8</f>
        <v>Bestelldatum:</v>
      </c>
      <c r="T7" s="127"/>
      <c r="U7" s="127"/>
      <c r="V7" s="127"/>
      <c r="W7" s="127"/>
      <c r="X7" s="90"/>
      <c r="Y7" s="678"/>
      <c r="Z7" s="679"/>
      <c r="AA7" s="679"/>
      <c r="AB7" s="679"/>
      <c r="AC7" s="679"/>
      <c r="AD7" s="679"/>
      <c r="AE7" s="679"/>
      <c r="AF7" s="680"/>
      <c r="AG7" s="142"/>
      <c r="AH7" s="129" t="str">
        <f>'Sprachen &amp; Rückgabewerte(2)'!H57</f>
        <v>Seite:</v>
      </c>
      <c r="AI7" s="143"/>
      <c r="AJ7" s="663"/>
      <c r="AK7" s="664"/>
      <c r="AL7" s="665"/>
      <c r="AM7" s="112"/>
      <c r="AN7" s="129"/>
      <c r="AO7" s="90"/>
      <c r="AP7" s="141"/>
      <c r="AQ7" s="141"/>
      <c r="AR7" s="141"/>
      <c r="AS7" s="141"/>
      <c r="AT7" s="128"/>
      <c r="AU7" s="110"/>
      <c r="AW7" s="235"/>
      <c r="AX7" s="441" t="str">
        <f>'Sprachen &amp; Rückgabewerte(2)'!H193</f>
        <v>Sonstiges:</v>
      </c>
      <c r="AY7" s="61"/>
      <c r="AZ7" s="61"/>
      <c r="BA7" s="61"/>
      <c r="BB7" s="237"/>
      <c r="BD7" s="235"/>
      <c r="BE7" s="61"/>
      <c r="BF7" s="61"/>
      <c r="BG7" s="61"/>
      <c r="BH7" s="61"/>
      <c r="BI7" s="237"/>
    </row>
    <row r="8" spans="1:64" ht="7.5" customHeight="1" thickBot="1" x14ac:dyDescent="0.25">
      <c r="B8" s="60"/>
      <c r="C8" s="130"/>
      <c r="D8" s="131"/>
      <c r="E8" s="131"/>
      <c r="F8" s="131"/>
      <c r="G8" s="131"/>
      <c r="H8" s="131"/>
      <c r="I8" s="131"/>
      <c r="J8" s="131"/>
      <c r="K8" s="131"/>
      <c r="L8" s="131"/>
      <c r="M8" s="131"/>
      <c r="N8" s="131"/>
      <c r="O8" s="131"/>
      <c r="P8" s="131"/>
      <c r="Q8" s="131"/>
      <c r="R8" s="132"/>
      <c r="S8" s="130"/>
      <c r="T8" s="131"/>
      <c r="U8" s="131"/>
      <c r="V8" s="131"/>
      <c r="W8" s="131"/>
      <c r="X8" s="131"/>
      <c r="Y8" s="131"/>
      <c r="Z8" s="131"/>
      <c r="AA8" s="131"/>
      <c r="AB8" s="131"/>
      <c r="AC8" s="131"/>
      <c r="AD8" s="131"/>
      <c r="AE8" s="131"/>
      <c r="AF8" s="131"/>
      <c r="AG8" s="132"/>
      <c r="AH8" s="130"/>
      <c r="AI8" s="131"/>
      <c r="AJ8" s="131"/>
      <c r="AK8" s="131"/>
      <c r="AL8" s="131"/>
      <c r="AM8" s="113"/>
      <c r="AN8" s="130"/>
      <c r="AO8" s="131"/>
      <c r="AP8" s="131"/>
      <c r="AQ8" s="131"/>
      <c r="AR8" s="131"/>
      <c r="AS8" s="131"/>
      <c r="AT8" s="132"/>
      <c r="AU8" s="110"/>
      <c r="AW8" s="235"/>
      <c r="AX8" s="442"/>
      <c r="AY8" s="61"/>
      <c r="AZ8" s="61"/>
      <c r="BA8" s="61"/>
      <c r="BB8" s="237"/>
      <c r="BD8" s="235"/>
      <c r="BE8" s="61"/>
      <c r="BF8" s="61"/>
      <c r="BG8" s="61"/>
      <c r="BH8" s="61"/>
      <c r="BI8" s="237"/>
    </row>
    <row r="9" spans="1:64" ht="15" customHeight="1" thickTop="1" x14ac:dyDescent="0.2">
      <c r="A9" s="645" t="str">
        <f>IF('Sprachen &amp; Rückgabewerte(2)'!L62=1,'Sprachen &amp; Rückgabewerte(2)'!$H$132,"")</f>
        <v/>
      </c>
      <c r="B9" s="220"/>
      <c r="C9" s="60"/>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3"/>
      <c r="AN9" s="61"/>
      <c r="AO9" s="61"/>
      <c r="AP9" s="61"/>
      <c r="AQ9" s="61"/>
      <c r="AR9" s="61"/>
      <c r="AS9" s="61"/>
      <c r="AT9" s="110"/>
      <c r="AU9" s="110"/>
      <c r="AW9" s="235"/>
      <c r="AX9" s="442" t="str">
        <f>'Sprachen &amp; Rückgabewerte(2)'!H194</f>
        <v>Sichtbare Rahmenprofile (aussen):</v>
      </c>
      <c r="AY9" s="61"/>
      <c r="AZ9" s="550"/>
      <c r="BA9" s="551"/>
      <c r="BB9" s="237"/>
      <c r="BD9" s="235"/>
      <c r="BE9" s="557">
        <f>ROUND(SUM(BJ5,BK5,BL5),1)</f>
        <v>0</v>
      </c>
      <c r="BF9" s="558"/>
      <c r="BG9" s="559"/>
      <c r="BH9" s="150" t="s">
        <v>176</v>
      </c>
      <c r="BI9" s="237"/>
    </row>
    <row r="10" spans="1:64" ht="15" customHeight="1" thickBot="1" x14ac:dyDescent="0.25">
      <c r="A10" s="646"/>
      <c r="B10" s="220"/>
      <c r="C10" s="60"/>
      <c r="D10" s="61"/>
      <c r="E10" s="61"/>
      <c r="F10" s="652"/>
      <c r="G10" s="653"/>
      <c r="H10" s="61"/>
      <c r="I10" s="61"/>
      <c r="J10" s="652"/>
      <c r="K10" s="653"/>
      <c r="L10" s="61"/>
      <c r="M10" s="61"/>
      <c r="N10" s="652"/>
      <c r="O10" s="653"/>
      <c r="P10" s="61"/>
      <c r="Q10" s="61"/>
      <c r="R10" s="652"/>
      <c r="S10" s="653"/>
      <c r="T10" s="61"/>
      <c r="U10" s="61"/>
      <c r="V10" s="652"/>
      <c r="W10" s="653"/>
      <c r="X10" s="61"/>
      <c r="Y10" s="61"/>
      <c r="Z10" s="652"/>
      <c r="AA10" s="653"/>
      <c r="AB10" s="61"/>
      <c r="AC10" s="61"/>
      <c r="AD10" s="652"/>
      <c r="AE10" s="653"/>
      <c r="AF10" s="61"/>
      <c r="AG10" s="61"/>
      <c r="AH10" s="652"/>
      <c r="AI10" s="653"/>
      <c r="AJ10" s="61"/>
      <c r="AK10" s="61"/>
      <c r="AL10" s="652"/>
      <c r="AM10" s="653"/>
      <c r="AN10" s="61"/>
      <c r="AO10" s="61"/>
      <c r="AP10" s="652"/>
      <c r="AQ10" s="653"/>
      <c r="AR10" s="61"/>
      <c r="AS10" s="61"/>
      <c r="AT10" s="110"/>
      <c r="AU10" s="110"/>
      <c r="AW10" s="235"/>
      <c r="AX10" s="442" t="str">
        <f>'Sprachen &amp; Rückgabewerte(2)'!H195</f>
        <v>Lieferung Glas und Rahmen:</v>
      </c>
      <c r="AY10" s="61"/>
      <c r="AZ10" s="550"/>
      <c r="BA10" s="551"/>
      <c r="BB10" s="237"/>
      <c r="BD10" s="251"/>
      <c r="BE10" s="241"/>
      <c r="BF10" s="241"/>
      <c r="BG10" s="241"/>
      <c r="BH10" s="241"/>
      <c r="BI10" s="243"/>
    </row>
    <row r="11" spans="1:64" ht="15" customHeight="1" thickTop="1" thickBot="1" x14ac:dyDescent="0.25">
      <c r="A11" s="647"/>
      <c r="B11" s="220"/>
      <c r="C11" s="231">
        <f>COUNTBLANK(E11:AO11)</f>
        <v>37</v>
      </c>
      <c r="D11" s="61"/>
      <c r="E11" s="67"/>
      <c r="F11" s="67"/>
      <c r="G11" s="67"/>
      <c r="H11" s="156"/>
      <c r="I11" s="156"/>
      <c r="J11" s="67"/>
      <c r="K11" s="67"/>
      <c r="L11" s="156"/>
      <c r="M11" s="156"/>
      <c r="N11" s="67"/>
      <c r="O11" s="67"/>
      <c r="P11" s="156"/>
      <c r="Q11" s="156"/>
      <c r="R11" s="67"/>
      <c r="S11" s="67"/>
      <c r="T11" s="156"/>
      <c r="U11" s="156"/>
      <c r="V11" s="67"/>
      <c r="W11" s="67"/>
      <c r="X11" s="156"/>
      <c r="Y11" s="156"/>
      <c r="Z11" s="67"/>
      <c r="AA11" s="67"/>
      <c r="AB11" s="156"/>
      <c r="AC11" s="156"/>
      <c r="AD11" s="67"/>
      <c r="AE11" s="67"/>
      <c r="AF11" s="156"/>
      <c r="AG11" s="156"/>
      <c r="AH11" s="67"/>
      <c r="AI11" s="67"/>
      <c r="AJ11" s="156"/>
      <c r="AK11" s="156"/>
      <c r="AL11" s="67"/>
      <c r="AM11" s="67"/>
      <c r="AN11" s="156"/>
      <c r="AO11" s="156"/>
      <c r="AP11" s="67"/>
      <c r="AQ11" s="67"/>
      <c r="AR11" s="67"/>
      <c r="AS11" s="61"/>
      <c r="AT11" s="110"/>
      <c r="AU11" s="110"/>
      <c r="AW11" s="235"/>
      <c r="AX11" s="61"/>
      <c r="AY11" s="61"/>
      <c r="AZ11" s="61"/>
      <c r="BA11" s="61"/>
      <c r="BB11" s="237"/>
    </row>
    <row r="12" spans="1:64" ht="13.5" customHeight="1" thickTop="1" x14ac:dyDescent="0.2">
      <c r="B12" s="60"/>
      <c r="C12" s="60"/>
      <c r="D12" s="61"/>
      <c r="E12" s="94"/>
      <c r="F12" s="82"/>
      <c r="G12" s="82"/>
      <c r="H12" s="83" t="str">
        <f>IF(F10&lt;&gt;"",IF(AND(F10&gt;0,F10&lt;&gt;"F"),CONCATENATE('Sprachen &amp; Rückgabewerte(2)'!$C$28," ",'Sprachen &amp; Rückgabewerte(2)'!$C$29," ",'Sprachen &amp; Rückgabewerte(2)'!$C$30),'Sprachen &amp; Rückgabewerte(2)'!$C$30),"")</f>
        <v/>
      </c>
      <c r="I12" s="94"/>
      <c r="J12" s="82"/>
      <c r="K12" s="82"/>
      <c r="L12" s="83" t="str">
        <f>IF(J10&lt;&gt;"",IF(AND(J10&gt;0,J10&lt;&gt;"F"),CONCATENATE('Sprachen &amp; Rückgabewerte(2)'!$C$28," ",'Sprachen &amp; Rückgabewerte(2)'!$C$29," ",'Sprachen &amp; Rückgabewerte(2)'!$C$30),'Sprachen &amp; Rückgabewerte(2)'!$C$30),"")</f>
        <v/>
      </c>
      <c r="M12" s="94"/>
      <c r="N12" s="82"/>
      <c r="O12" s="82"/>
      <c r="P12" s="83" t="str">
        <f>IF(N10&lt;&gt;"",IF(AND(N10&gt;0,N10&lt;&gt;"F"),CONCATENATE('Sprachen &amp; Rückgabewerte(2)'!$C$28," ",'Sprachen &amp; Rückgabewerte(2)'!$C$29," ",'Sprachen &amp; Rückgabewerte(2)'!$C$30),'Sprachen &amp; Rückgabewerte(2)'!$C$30),"")</f>
        <v/>
      </c>
      <c r="Q12" s="94"/>
      <c r="R12" s="82"/>
      <c r="S12" s="82"/>
      <c r="T12" s="83" t="str">
        <f>IF(R10&lt;&gt;"",IF(AND(R10&gt;0,R10&lt;&gt;"F"),CONCATENATE('Sprachen &amp; Rückgabewerte(2)'!$C$28," ",'Sprachen &amp; Rückgabewerte(2)'!$C$29," ",'Sprachen &amp; Rückgabewerte(2)'!$C$30),'Sprachen &amp; Rückgabewerte(2)'!$C$30),"")</f>
        <v/>
      </c>
      <c r="U12" s="94"/>
      <c r="V12" s="82"/>
      <c r="W12" s="82"/>
      <c r="X12" s="83" t="str">
        <f>IF(V10&lt;&gt;"",IF(AND(V10&gt;0,V10&lt;&gt;"F"),CONCATENATE('Sprachen &amp; Rückgabewerte(2)'!$C$28," ",'Sprachen &amp; Rückgabewerte(2)'!$C$29," ",'Sprachen &amp; Rückgabewerte(2)'!$C$30),'Sprachen &amp; Rückgabewerte(2)'!$C$30),"")</f>
        <v/>
      </c>
      <c r="Y12" s="94"/>
      <c r="Z12" s="82"/>
      <c r="AA12" s="82"/>
      <c r="AB12" s="83" t="str">
        <f>IF(Z10&lt;&gt;"",IF(AND(Z10&gt;0,Z10&lt;&gt;"F"),CONCATENATE('Sprachen &amp; Rückgabewerte(2)'!$C$28," ",'Sprachen &amp; Rückgabewerte(2)'!$C$29," ",'Sprachen &amp; Rückgabewerte(2)'!$C$30),'Sprachen &amp; Rückgabewerte(2)'!$C$30),"")</f>
        <v/>
      </c>
      <c r="AC12" s="94"/>
      <c r="AD12" s="82"/>
      <c r="AE12" s="82"/>
      <c r="AF12" s="83" t="str">
        <f>IF(AD10&lt;&gt;"",IF(AND(AD10&gt;0,AD10&lt;&gt;"F"),CONCATENATE('Sprachen &amp; Rückgabewerte(2)'!$C$28," ",'Sprachen &amp; Rückgabewerte(2)'!$C$29," ",'Sprachen &amp; Rückgabewerte(2)'!$C$30),'Sprachen &amp; Rückgabewerte(2)'!$C$30),"")</f>
        <v/>
      </c>
      <c r="AG12" s="94"/>
      <c r="AH12" s="82"/>
      <c r="AI12" s="82"/>
      <c r="AJ12" s="83" t="str">
        <f>IF(AH10&lt;&gt;"",IF(AND(AH10&gt;0,AH10&lt;&gt;"F"),CONCATENATE('Sprachen &amp; Rückgabewerte(2)'!$C$28," ",'Sprachen &amp; Rückgabewerte(2)'!$C$29," ",'Sprachen &amp; Rückgabewerte(2)'!$C$30),'Sprachen &amp; Rückgabewerte(2)'!$C$30),"")</f>
        <v/>
      </c>
      <c r="AK12" s="94"/>
      <c r="AL12" s="82"/>
      <c r="AM12" s="82"/>
      <c r="AN12" s="83" t="str">
        <f>IF(AL10&lt;&gt;"",IF(AND(AL10&gt;0,AL10&lt;&gt;"F"),CONCATENATE('Sprachen &amp; Rückgabewerte(2)'!$C$28," ",'Sprachen &amp; Rückgabewerte(2)'!$C$29," ",'Sprachen &amp; Rückgabewerte(2)'!$C$30),'Sprachen &amp; Rückgabewerte(2)'!$C$30),"")</f>
        <v/>
      </c>
      <c r="AO12" s="94"/>
      <c r="AP12" s="82"/>
      <c r="AQ12" s="82"/>
      <c r="AR12" s="83" t="str">
        <f>IF(AP10&lt;&gt;"",IF(AND(AP10&gt;0,AP10&lt;&gt;"F"),CONCATENATE('Sprachen &amp; Rückgabewerte(2)'!$C$28," ",'Sprachen &amp; Rückgabewerte(2)'!$C$29," ",'Sprachen &amp; Rückgabewerte(2)'!$C$30),'Sprachen &amp; Rückgabewerte(2)'!$C$30),"")</f>
        <v/>
      </c>
      <c r="AS12" s="144"/>
      <c r="AT12" s="110"/>
      <c r="AU12" s="110"/>
      <c r="AW12" s="235"/>
      <c r="AX12" s="238"/>
      <c r="AY12" s="61"/>
      <c r="AZ12" s="61"/>
      <c r="BA12" s="61"/>
      <c r="BB12" s="237"/>
    </row>
    <row r="13" spans="1:64" ht="13.5" customHeight="1" x14ac:dyDescent="0.2">
      <c r="B13" s="60"/>
      <c r="C13" s="60"/>
      <c r="D13" s="61"/>
      <c r="E13" s="648" t="str">
        <f>IF(AND('Sprachen &amp; Rückgabewerte(2)'!$I$30=TRUE,$F$10="R"),'Sprachen &amp; Rückgabewerte(2)'!H60,"")</f>
        <v/>
      </c>
      <c r="F13" s="61"/>
      <c r="G13" s="61"/>
      <c r="H13" s="650" t="str">
        <f>IF(AND('Sprachen &amp; Rückgabewerte(2)'!$I$31=TRUE,$F$10="L",$J$10=""),'Sprachen &amp; Rückgabewerte(2)'!$H$60,"")</f>
        <v/>
      </c>
      <c r="I13" s="60"/>
      <c r="J13" s="61"/>
      <c r="K13" s="61"/>
      <c r="L13" s="650" t="str">
        <f>IF(AND('Sprachen &amp; Rückgabewerte(2)'!$I$31=TRUE,$J$10="L",$N$10=""),'Sprachen &amp; Rückgabewerte(2)'!$H$60,"")</f>
        <v/>
      </c>
      <c r="M13" s="60"/>
      <c r="N13" s="61"/>
      <c r="O13" s="61"/>
      <c r="P13" s="650" t="str">
        <f>IF(AND('Sprachen &amp; Rückgabewerte(2)'!$I$31=TRUE,$N$10="L",$R$10=""),'Sprachen &amp; Rückgabewerte(2)'!$H$60,"")</f>
        <v/>
      </c>
      <c r="Q13" s="60"/>
      <c r="R13" s="61"/>
      <c r="S13" s="61"/>
      <c r="T13" s="650" t="str">
        <f>IF(AND('Sprachen &amp; Rückgabewerte(2)'!$I$31=TRUE,$R$10="L",$V$10=""),'Sprachen &amp; Rückgabewerte(2)'!$H$60,"")</f>
        <v/>
      </c>
      <c r="U13" s="60"/>
      <c r="V13" s="61"/>
      <c r="W13" s="61"/>
      <c r="X13" s="650" t="str">
        <f>IF(AND('Sprachen &amp; Rückgabewerte(2)'!$I$31=TRUE,$V$10="L",$Z$10=""),'Sprachen &amp; Rückgabewerte(2)'!$H$60,"")</f>
        <v/>
      </c>
      <c r="Y13" s="60"/>
      <c r="Z13" s="61"/>
      <c r="AA13" s="61"/>
      <c r="AB13" s="650" t="str">
        <f>IF(AND('Sprachen &amp; Rückgabewerte(2)'!$I$31=TRUE,$Z$10="L",$AD$10=""),'Sprachen &amp; Rückgabewerte(2)'!$H$60,"")</f>
        <v/>
      </c>
      <c r="AC13" s="60"/>
      <c r="AD13" s="61"/>
      <c r="AE13" s="61"/>
      <c r="AF13" s="650" t="str">
        <f>IF(AND('Sprachen &amp; Rückgabewerte(2)'!$I$31=TRUE,$AD$10="L",$AH$10=""),'Sprachen &amp; Rückgabewerte(2)'!$H$60,"")</f>
        <v/>
      </c>
      <c r="AG13" s="60"/>
      <c r="AH13" s="61"/>
      <c r="AI13" s="61"/>
      <c r="AJ13" s="650" t="str">
        <f>IF(AND('Sprachen &amp; Rückgabewerte(2)'!$I$31=TRUE,$AH$10="L",$AL$10=""),'Sprachen &amp; Rückgabewerte(2)'!$H$60,"")</f>
        <v/>
      </c>
      <c r="AK13" s="60"/>
      <c r="AL13" s="61"/>
      <c r="AM13" s="61"/>
      <c r="AN13" s="650" t="str">
        <f>IF(AND('Sprachen &amp; Rückgabewerte(2)'!$I$31=TRUE,$AL$10="L",$AP$10=""),'Sprachen &amp; Rückgabewerte(2)'!$H$60,"")</f>
        <v/>
      </c>
      <c r="AO13" s="60"/>
      <c r="AP13" s="61"/>
      <c r="AQ13" s="61"/>
      <c r="AR13" s="650" t="str">
        <f>IF(AND('Sprachen &amp; Rückgabewerte(2)'!$I$31=TRUE,$AP$10="L"),'Sprachen &amp; Rückgabewerte(2)'!$H$60,"")</f>
        <v/>
      </c>
      <c r="AS13" s="145"/>
      <c r="AT13" s="110"/>
      <c r="AU13" s="110"/>
      <c r="AW13" s="235"/>
      <c r="AX13" s="61"/>
      <c r="AY13" s="61"/>
      <c r="AZ13" s="61"/>
      <c r="BA13" s="61"/>
      <c r="BB13" s="237"/>
    </row>
    <row r="14" spans="1:64" ht="13.5" customHeight="1" x14ac:dyDescent="0.2">
      <c r="B14" s="60"/>
      <c r="C14" s="60"/>
      <c r="D14" s="61"/>
      <c r="E14" s="648"/>
      <c r="F14" s="660" t="str">
        <f>IF(F10='Sprachen &amp; Rückgabewerte(2)'!$B$9,'Sprachen &amp; Rückgabewerte(2)'!$C$9,IF(F10='Sprachen &amp; Rückgabewerte(2)'!$B$10,'Sprachen &amp; Rückgabewerte(2)'!$C$10,IF(F10='Sprachen &amp; Rückgabewerte(2)'!$B$11,'Sprachen &amp; Rückgabewerte(2)'!$C$11,IF(F10='Sprachen &amp; Rückgabewerte(2)'!$B$12,'Sprachen &amp; Rückgabewerte(2)'!$C$12,IF(F10='Sprachen &amp; Rückgabewerte(2)'!$B$13,'Sprachen &amp; Rückgabewerte(2)'!$C$13,IF(F10='Sprachen &amp; Rückgabewerte(2)'!$B$14,'Sprachen &amp; Rückgabewerte(2)'!$C$14,""))))))</f>
        <v/>
      </c>
      <c r="G14" s="660"/>
      <c r="H14" s="650"/>
      <c r="I14" s="60"/>
      <c r="J14" s="660" t="str">
        <f>IF(J10='Sprachen &amp; Rückgabewerte(2)'!$B$9,'Sprachen &amp; Rückgabewerte(2)'!$C$9,IF(J10='Sprachen &amp; Rückgabewerte(2)'!$B$10,'Sprachen &amp; Rückgabewerte(2)'!$C$10,IF(J10='Sprachen &amp; Rückgabewerte(2)'!$B$11,'Sprachen &amp; Rückgabewerte(2)'!$C$11,IF(J10='Sprachen &amp; Rückgabewerte(2)'!$B$12,'Sprachen &amp; Rückgabewerte(2)'!$C$12,IF(J10='Sprachen &amp; Rückgabewerte(2)'!$B$13,'Sprachen &amp; Rückgabewerte(2)'!$C$13,IF(J10='Sprachen &amp; Rückgabewerte(2)'!$B$14,'Sprachen &amp; Rückgabewerte(2)'!$C$14,""))))))</f>
        <v/>
      </c>
      <c r="K14" s="660"/>
      <c r="L14" s="650"/>
      <c r="M14" s="60"/>
      <c r="N14" s="660" t="str">
        <f>IF(N10='Sprachen &amp; Rückgabewerte(2)'!$B$9,'Sprachen &amp; Rückgabewerte(2)'!$C$9,IF(N10='Sprachen &amp; Rückgabewerte(2)'!$B$10,'Sprachen &amp; Rückgabewerte(2)'!$C$10,IF(N10='Sprachen &amp; Rückgabewerte(2)'!$B$11,'Sprachen &amp; Rückgabewerte(2)'!$C$11,IF(N10='Sprachen &amp; Rückgabewerte(2)'!$B$12,'Sprachen &amp; Rückgabewerte(2)'!$C$12,IF(N10='Sprachen &amp; Rückgabewerte(2)'!$B$13,'Sprachen &amp; Rückgabewerte(2)'!$C$13,IF(N10='Sprachen &amp; Rückgabewerte(2)'!$B$14,'Sprachen &amp; Rückgabewerte(2)'!$C$14,""))))))</f>
        <v/>
      </c>
      <c r="O14" s="660"/>
      <c r="P14" s="650"/>
      <c r="Q14" s="60"/>
      <c r="R14" s="660" t="str">
        <f>IF(R10='Sprachen &amp; Rückgabewerte(2)'!$B$9,'Sprachen &amp; Rückgabewerte(2)'!$C$9,IF(R10='Sprachen &amp; Rückgabewerte(2)'!$B$10,'Sprachen &amp; Rückgabewerte(2)'!$C$10,IF(R10='Sprachen &amp; Rückgabewerte(2)'!$B$11,'Sprachen &amp; Rückgabewerte(2)'!$C$11,IF(R10='Sprachen &amp; Rückgabewerte(2)'!$B$12,'Sprachen &amp; Rückgabewerte(2)'!$C$12,IF(R10='Sprachen &amp; Rückgabewerte(2)'!$B$13,'Sprachen &amp; Rückgabewerte(2)'!$C$13,IF(R10='Sprachen &amp; Rückgabewerte(2)'!$B$14,'Sprachen &amp; Rückgabewerte(2)'!$C$14,""))))))</f>
        <v/>
      </c>
      <c r="S14" s="660"/>
      <c r="T14" s="650"/>
      <c r="U14" s="60"/>
      <c r="V14" s="660" t="str">
        <f>IF(V10='Sprachen &amp; Rückgabewerte(2)'!$B$9,'Sprachen &amp; Rückgabewerte(2)'!$C$9,IF(V10='Sprachen &amp; Rückgabewerte(2)'!$B$10,'Sprachen &amp; Rückgabewerte(2)'!$C$10,IF(V10='Sprachen &amp; Rückgabewerte(2)'!$B$11,'Sprachen &amp; Rückgabewerte(2)'!$C$11,IF(V10='Sprachen &amp; Rückgabewerte(2)'!$B$12,'Sprachen &amp; Rückgabewerte(2)'!$C$12,IF(V10='Sprachen &amp; Rückgabewerte(2)'!$B$13,'Sprachen &amp; Rückgabewerte(2)'!$C$13,IF(V10='Sprachen &amp; Rückgabewerte(2)'!$B$14,'Sprachen &amp; Rückgabewerte(2)'!$C$14,""))))))</f>
        <v/>
      </c>
      <c r="W14" s="660"/>
      <c r="X14" s="650"/>
      <c r="Y14" s="60"/>
      <c r="Z14" s="660" t="str">
        <f>IF(Z10='Sprachen &amp; Rückgabewerte(2)'!$B$9,'Sprachen &amp; Rückgabewerte(2)'!$C$9,IF(Z10='Sprachen &amp; Rückgabewerte(2)'!$B$10,'Sprachen &amp; Rückgabewerte(2)'!$C$10,IF(Z10='Sprachen &amp; Rückgabewerte(2)'!$B$11,'Sprachen &amp; Rückgabewerte(2)'!$C$11,IF(Z10='Sprachen &amp; Rückgabewerte(2)'!$B$12,'Sprachen &amp; Rückgabewerte(2)'!$C$12,IF(Z10='Sprachen &amp; Rückgabewerte(2)'!$B$13,'Sprachen &amp; Rückgabewerte(2)'!$C$13,IF(Z10='Sprachen &amp; Rückgabewerte(2)'!$B$14,'Sprachen &amp; Rückgabewerte(2)'!$C$14,""))))))</f>
        <v/>
      </c>
      <c r="AA14" s="660"/>
      <c r="AB14" s="650"/>
      <c r="AC14" s="60"/>
      <c r="AD14" s="660" t="str">
        <f>IF(AD10='Sprachen &amp; Rückgabewerte(2)'!$B$9,'Sprachen &amp; Rückgabewerte(2)'!$C$9,IF(AD10='Sprachen &amp; Rückgabewerte(2)'!$B$10,'Sprachen &amp; Rückgabewerte(2)'!$C$10,IF(AD10='Sprachen &amp; Rückgabewerte(2)'!$B$11,'Sprachen &amp; Rückgabewerte(2)'!$C$11,IF(AD10='Sprachen &amp; Rückgabewerte(2)'!$B$12,'Sprachen &amp; Rückgabewerte(2)'!$C$12,IF(AD10='Sprachen &amp; Rückgabewerte(2)'!$B$13,'Sprachen &amp; Rückgabewerte(2)'!$C$13,IF(AD10='Sprachen &amp; Rückgabewerte(2)'!$B$14,'Sprachen &amp; Rückgabewerte(2)'!$C$14,""))))))</f>
        <v/>
      </c>
      <c r="AE14" s="660"/>
      <c r="AF14" s="650"/>
      <c r="AG14" s="60"/>
      <c r="AH14" s="660" t="str">
        <f>IF(AH10='Sprachen &amp; Rückgabewerte(2)'!$B$9,'Sprachen &amp; Rückgabewerte(2)'!$C$9,IF(AH10='Sprachen &amp; Rückgabewerte(2)'!$B$10,'Sprachen &amp; Rückgabewerte(2)'!$C$10,IF(AH10='Sprachen &amp; Rückgabewerte(2)'!$B$11,'Sprachen &amp; Rückgabewerte(2)'!$C$11,IF(AH10='Sprachen &amp; Rückgabewerte(2)'!$B$12,'Sprachen &amp; Rückgabewerte(2)'!$C$12,IF(AH10='Sprachen &amp; Rückgabewerte(2)'!$B$13,'Sprachen &amp; Rückgabewerte(2)'!$C$13,IF(AH10='Sprachen &amp; Rückgabewerte(2)'!$B$14,'Sprachen &amp; Rückgabewerte(2)'!$C$14,""))))))</f>
        <v/>
      </c>
      <c r="AI14" s="660"/>
      <c r="AJ14" s="650"/>
      <c r="AK14" s="60"/>
      <c r="AL14" s="660" t="str">
        <f>IF(AL10='Sprachen &amp; Rückgabewerte(2)'!$B$9,'Sprachen &amp; Rückgabewerte(2)'!$C$9,IF(AL10='Sprachen &amp; Rückgabewerte(2)'!$B$10,'Sprachen &amp; Rückgabewerte(2)'!$C$10,IF(AL10='Sprachen &amp; Rückgabewerte(2)'!$B$11,'Sprachen &amp; Rückgabewerte(2)'!$C$11,IF(AL10='Sprachen &amp; Rückgabewerte(2)'!$B$12,'Sprachen &amp; Rückgabewerte(2)'!$C$12,IF(AL10='Sprachen &amp; Rückgabewerte(2)'!$B$13,'Sprachen &amp; Rückgabewerte(2)'!$C$13,IF(AL10='Sprachen &amp; Rückgabewerte(2)'!$B$14,'Sprachen &amp; Rückgabewerte(2)'!$C$14,""))))))</f>
        <v/>
      </c>
      <c r="AM14" s="660"/>
      <c r="AN14" s="650"/>
      <c r="AO14" s="60"/>
      <c r="AP14" s="660" t="str">
        <f>IF(AP10='Sprachen &amp; Rückgabewerte(2)'!$B$9,'Sprachen &amp; Rückgabewerte(2)'!$C$9,IF(AP10='Sprachen &amp; Rückgabewerte(2)'!$B$10,'Sprachen &amp; Rückgabewerte(2)'!$C$10,IF(AP10='Sprachen &amp; Rückgabewerte(2)'!$B$11,'Sprachen &amp; Rückgabewerte(2)'!$C$11,IF(AP10='Sprachen &amp; Rückgabewerte(2)'!$B$12,'Sprachen &amp; Rückgabewerte(2)'!$C$12,IF(AP10='Sprachen &amp; Rückgabewerte(2)'!$B$13,'Sprachen &amp; Rückgabewerte(2)'!$C$13,IF(AP10='Sprachen &amp; Rückgabewerte(2)'!$B$14,'Sprachen &amp; Rückgabewerte(2)'!$C$14,""))))))</f>
        <v/>
      </c>
      <c r="AQ14" s="660"/>
      <c r="AR14" s="650"/>
      <c r="AS14" s="144"/>
      <c r="AT14" s="110"/>
      <c r="AU14" s="110"/>
      <c r="AW14" s="235"/>
      <c r="AX14" s="149" t="str">
        <f>'Sprachen &amp; Rückgabewerte(2)'!H131</f>
        <v>Bemerkungen:</v>
      </c>
      <c r="AY14" s="61"/>
      <c r="AZ14" s="61"/>
      <c r="BA14" s="61"/>
      <c r="BB14" s="237"/>
    </row>
    <row r="15" spans="1:64" ht="13.5" customHeight="1" x14ac:dyDescent="0.2">
      <c r="B15" s="60"/>
      <c r="C15" s="60"/>
      <c r="D15" s="61"/>
      <c r="E15" s="648"/>
      <c r="F15" s="660"/>
      <c r="G15" s="660"/>
      <c r="H15" s="650"/>
      <c r="I15" s="60"/>
      <c r="J15" s="660"/>
      <c r="K15" s="660"/>
      <c r="L15" s="650"/>
      <c r="M15" s="60"/>
      <c r="N15" s="660"/>
      <c r="O15" s="660"/>
      <c r="P15" s="650"/>
      <c r="Q15" s="60"/>
      <c r="R15" s="660"/>
      <c r="S15" s="660"/>
      <c r="T15" s="650"/>
      <c r="U15" s="60"/>
      <c r="V15" s="660"/>
      <c r="W15" s="660"/>
      <c r="X15" s="650"/>
      <c r="Y15" s="60"/>
      <c r="Z15" s="660"/>
      <c r="AA15" s="660"/>
      <c r="AB15" s="650"/>
      <c r="AC15" s="60"/>
      <c r="AD15" s="660"/>
      <c r="AE15" s="660"/>
      <c r="AF15" s="650"/>
      <c r="AG15" s="60"/>
      <c r="AH15" s="660"/>
      <c r="AI15" s="660"/>
      <c r="AJ15" s="650"/>
      <c r="AK15" s="60"/>
      <c r="AL15" s="660"/>
      <c r="AM15" s="660"/>
      <c r="AN15" s="650"/>
      <c r="AO15" s="60"/>
      <c r="AP15" s="660"/>
      <c r="AQ15" s="660"/>
      <c r="AR15" s="650"/>
      <c r="AS15" s="61"/>
      <c r="AT15" s="110"/>
      <c r="AU15" s="110"/>
      <c r="AW15" s="235"/>
      <c r="AX15" s="684" t="s">
        <v>480</v>
      </c>
      <c r="AY15" s="685"/>
      <c r="AZ15" s="685"/>
      <c r="BA15" s="686"/>
      <c r="BB15" s="237"/>
    </row>
    <row r="16" spans="1:64" ht="13.5" customHeight="1" x14ac:dyDescent="0.2">
      <c r="B16" s="60"/>
      <c r="C16" s="60"/>
      <c r="D16" s="61"/>
      <c r="E16" s="648"/>
      <c r="F16" s="654"/>
      <c r="G16" s="654"/>
      <c r="H16" s="650"/>
      <c r="I16" s="60"/>
      <c r="J16" s="654"/>
      <c r="K16" s="654"/>
      <c r="L16" s="650"/>
      <c r="M16" s="60"/>
      <c r="N16" s="654"/>
      <c r="O16" s="654"/>
      <c r="P16" s="650"/>
      <c r="Q16" s="60"/>
      <c r="R16" s="654"/>
      <c r="S16" s="654"/>
      <c r="T16" s="650"/>
      <c r="U16" s="60"/>
      <c r="V16" s="654"/>
      <c r="W16" s="654"/>
      <c r="X16" s="650"/>
      <c r="Y16" s="60"/>
      <c r="Z16" s="654"/>
      <c r="AA16" s="654"/>
      <c r="AB16" s="650"/>
      <c r="AC16" s="60"/>
      <c r="AD16" s="654"/>
      <c r="AE16" s="654"/>
      <c r="AF16" s="650"/>
      <c r="AG16" s="60"/>
      <c r="AH16" s="654"/>
      <c r="AI16" s="654"/>
      <c r="AJ16" s="650"/>
      <c r="AK16" s="60"/>
      <c r="AL16" s="654"/>
      <c r="AM16" s="654"/>
      <c r="AN16" s="650"/>
      <c r="AO16" s="60"/>
      <c r="AP16" s="654"/>
      <c r="AQ16" s="654"/>
      <c r="AR16" s="650"/>
      <c r="AS16" s="61"/>
      <c r="AT16" s="110"/>
      <c r="AU16" s="110"/>
      <c r="AW16" s="239"/>
      <c r="AX16" s="687"/>
      <c r="AY16" s="688"/>
      <c r="AZ16" s="688"/>
      <c r="BA16" s="689"/>
      <c r="BB16" s="237"/>
    </row>
    <row r="17" spans="1:54" ht="13.5" customHeight="1" x14ac:dyDescent="0.2">
      <c r="B17" s="60"/>
      <c r="C17" s="60"/>
      <c r="D17" s="61"/>
      <c r="E17" s="648"/>
      <c r="F17" s="654"/>
      <c r="G17" s="654"/>
      <c r="H17" s="650"/>
      <c r="I17" s="60"/>
      <c r="J17" s="654"/>
      <c r="K17" s="654"/>
      <c r="L17" s="650"/>
      <c r="M17" s="60"/>
      <c r="N17" s="654"/>
      <c r="O17" s="654"/>
      <c r="P17" s="650"/>
      <c r="Q17" s="60"/>
      <c r="R17" s="654"/>
      <c r="S17" s="654"/>
      <c r="T17" s="650"/>
      <c r="U17" s="60"/>
      <c r="V17" s="654"/>
      <c r="W17" s="654"/>
      <c r="X17" s="650"/>
      <c r="Y17" s="60"/>
      <c r="Z17" s="654"/>
      <c r="AA17" s="654"/>
      <c r="AB17" s="650"/>
      <c r="AC17" s="60"/>
      <c r="AD17" s="654"/>
      <c r="AE17" s="654"/>
      <c r="AF17" s="650"/>
      <c r="AG17" s="60"/>
      <c r="AH17" s="654"/>
      <c r="AI17" s="654"/>
      <c r="AJ17" s="650"/>
      <c r="AK17" s="60"/>
      <c r="AL17" s="654"/>
      <c r="AM17" s="654"/>
      <c r="AN17" s="650"/>
      <c r="AO17" s="60"/>
      <c r="AP17" s="654"/>
      <c r="AQ17" s="654"/>
      <c r="AR17" s="650"/>
      <c r="AS17" s="61"/>
      <c r="AT17" s="110"/>
      <c r="AU17" s="110"/>
      <c r="AW17" s="239"/>
      <c r="AX17" s="687"/>
      <c r="AY17" s="688"/>
      <c r="AZ17" s="688"/>
      <c r="BA17" s="689"/>
      <c r="BB17" s="237"/>
    </row>
    <row r="18" spans="1:54" ht="13.5" customHeight="1" x14ac:dyDescent="0.2">
      <c r="B18" s="60"/>
      <c r="C18" s="60"/>
      <c r="D18" s="61"/>
      <c r="E18" s="648"/>
      <c r="F18" s="445"/>
      <c r="G18" s="445"/>
      <c r="H18" s="650"/>
      <c r="I18" s="60"/>
      <c r="J18" s="445"/>
      <c r="K18" s="445"/>
      <c r="L18" s="650"/>
      <c r="M18" s="60"/>
      <c r="N18" s="445"/>
      <c r="O18" s="445"/>
      <c r="P18" s="650"/>
      <c r="Q18" s="60"/>
      <c r="R18" s="445"/>
      <c r="S18" s="445"/>
      <c r="T18" s="650"/>
      <c r="U18" s="60"/>
      <c r="V18" s="445"/>
      <c r="W18" s="445"/>
      <c r="X18" s="650"/>
      <c r="Y18" s="60"/>
      <c r="Z18" s="445"/>
      <c r="AA18" s="445"/>
      <c r="AB18" s="650"/>
      <c r="AC18" s="60"/>
      <c r="AD18" s="445"/>
      <c r="AE18" s="445"/>
      <c r="AF18" s="650"/>
      <c r="AG18" s="60"/>
      <c r="AH18" s="445"/>
      <c r="AI18" s="445"/>
      <c r="AJ18" s="650"/>
      <c r="AK18" s="60"/>
      <c r="AL18" s="445"/>
      <c r="AM18" s="445"/>
      <c r="AN18" s="650"/>
      <c r="AO18" s="60"/>
      <c r="AP18" s="445"/>
      <c r="AQ18" s="445"/>
      <c r="AR18" s="650"/>
      <c r="AS18" s="61"/>
      <c r="AT18" s="110"/>
      <c r="AU18" s="110"/>
      <c r="AW18" s="239"/>
      <c r="AX18" s="690"/>
      <c r="AY18" s="691"/>
      <c r="AZ18" s="691"/>
      <c r="BA18" s="692"/>
      <c r="BB18" s="237"/>
    </row>
    <row r="19" spans="1:54" ht="13.5" customHeight="1" x14ac:dyDescent="0.2">
      <c r="B19" s="60"/>
      <c r="C19" s="60"/>
      <c r="D19" s="61"/>
      <c r="E19" s="649"/>
      <c r="F19" s="84"/>
      <c r="G19" s="84"/>
      <c r="H19" s="651"/>
      <c r="I19" s="68"/>
      <c r="J19" s="84"/>
      <c r="K19" s="84"/>
      <c r="L19" s="651"/>
      <c r="M19" s="68"/>
      <c r="N19" s="84"/>
      <c r="O19" s="84"/>
      <c r="P19" s="651"/>
      <c r="Q19" s="68"/>
      <c r="R19" s="84"/>
      <c r="S19" s="84"/>
      <c r="T19" s="651"/>
      <c r="U19" s="68"/>
      <c r="V19" s="84"/>
      <c r="W19" s="84"/>
      <c r="X19" s="651"/>
      <c r="Y19" s="68"/>
      <c r="Z19" s="84"/>
      <c r="AA19" s="84"/>
      <c r="AB19" s="651"/>
      <c r="AC19" s="68"/>
      <c r="AD19" s="84"/>
      <c r="AE19" s="84"/>
      <c r="AF19" s="651"/>
      <c r="AG19" s="68"/>
      <c r="AH19" s="84"/>
      <c r="AI19" s="84"/>
      <c r="AJ19" s="651"/>
      <c r="AK19" s="68"/>
      <c r="AL19" s="84"/>
      <c r="AM19" s="84"/>
      <c r="AN19" s="651"/>
      <c r="AO19" s="68"/>
      <c r="AP19" s="84"/>
      <c r="AQ19" s="84"/>
      <c r="AR19" s="651"/>
      <c r="AS19" s="61"/>
      <c r="AT19" s="110"/>
      <c r="AU19" s="110"/>
      <c r="AW19" s="239"/>
      <c r="AX19" s="694" t="str">
        <f>IF('Sprachen &amp; Rückgabewerte(2)'!U83=FALSE,'Sprachen &amp; Rückgabewerte(2)'!H155,'Sprachen &amp; Rückgabewerte(2)'!H156)</f>
        <v>Bestellformular unvollständig!</v>
      </c>
      <c r="AY19" s="694"/>
      <c r="AZ19" s="694"/>
      <c r="BA19" s="694"/>
      <c r="BB19" s="237"/>
    </row>
    <row r="20" spans="1:54" ht="13.5" customHeight="1" thickBot="1" x14ac:dyDescent="0.25">
      <c r="B20" s="60"/>
      <c r="C20" s="60"/>
      <c r="D20" s="61"/>
      <c r="E20" s="61"/>
      <c r="F20" s="90" t="str">
        <f>'Sprachen &amp; Rückgabewerte(2)'!$H$124</f>
        <v>Ecke:</v>
      </c>
      <c r="G20" s="658"/>
      <c r="H20" s="658"/>
      <c r="I20" s="659"/>
      <c r="J20" s="659"/>
      <c r="K20" s="659"/>
      <c r="L20" s="659"/>
      <c r="M20" s="659"/>
      <c r="N20" s="659"/>
      <c r="O20" s="659"/>
      <c r="P20" s="659"/>
      <c r="Q20" s="659"/>
      <c r="R20" s="659"/>
      <c r="S20" s="659"/>
      <c r="T20" s="659"/>
      <c r="U20" s="659"/>
      <c r="V20" s="659"/>
      <c r="W20" s="659"/>
      <c r="X20" s="659"/>
      <c r="Y20" s="659"/>
      <c r="Z20" s="659"/>
      <c r="AA20" s="659"/>
      <c r="AB20" s="659"/>
      <c r="AC20" s="659"/>
      <c r="AD20" s="659"/>
      <c r="AE20" s="659"/>
      <c r="AF20" s="659"/>
      <c r="AG20" s="659"/>
      <c r="AH20" s="659"/>
      <c r="AI20" s="659"/>
      <c r="AJ20" s="659"/>
      <c r="AK20" s="659"/>
      <c r="AL20" s="659"/>
      <c r="AM20" s="659"/>
      <c r="AN20" s="659"/>
      <c r="AO20" s="658"/>
      <c r="AP20" s="658"/>
      <c r="AQ20" s="61"/>
      <c r="AR20" s="62"/>
      <c r="AS20" s="61"/>
      <c r="AT20" s="110"/>
      <c r="AU20" s="110"/>
      <c r="AW20" s="240"/>
      <c r="AX20" s="695"/>
      <c r="AY20" s="695"/>
      <c r="AZ20" s="695"/>
      <c r="BA20" s="695"/>
      <c r="BB20" s="243"/>
    </row>
    <row r="21" spans="1:54" ht="13.5" customHeight="1" thickTop="1" thickBot="1" x14ac:dyDescent="0.25">
      <c r="B21" s="60"/>
      <c r="C21" s="60"/>
      <c r="D21" s="61"/>
      <c r="E21" s="64"/>
      <c r="F21" s="90" t="str">
        <f>IF(OR(G20='Sprachen &amp; Rückgabewerte(2)'!$H$106,G20='Sprachen &amp; Rückgabewerte(2)'!$H$107,K20='Sprachen &amp; Rückgabewerte(2)'!$H$106,K20='Sprachen &amp; Rückgabewerte(2)'!$H$107,O20='Sprachen &amp; Rückgabewerte(2)'!$H$106,O20='Sprachen &amp; Rückgabewerte(2)'!$H$107,S20='Sprachen &amp; Rückgabewerte(2)'!$H$106,S20='Sprachen &amp; Rückgabewerte(2)'!$H$107,W20='Sprachen &amp; Rückgabewerte(2)'!$H$106,W20='Sprachen &amp; Rückgabewerte(2)'!$H$107,AA20='Sprachen &amp; Rückgabewerte(2)'!$H$106,AA20='Sprachen &amp; Rückgabewerte(2)'!$H$107,AE20='Sprachen &amp; Rückgabewerte(2)'!$H$106,AE20='Sprachen &amp; Rückgabewerte(2)'!$H$107,AI20='Sprachen &amp; Rückgabewerte(2)'!$H$106,AI20='Sprachen &amp; Rückgabewerte(2)'!$H$107,AM20='Sprachen &amp; Rückgabewerte(2)'!$H$106,AM20='Sprachen &amp; Rückgabewerte(2)'!$H$107),'Sprachen &amp; Rückgabewerte(2)'!$H$108,"")</f>
        <v/>
      </c>
      <c r="G21" s="65"/>
      <c r="H21" s="656">
        <v>85</v>
      </c>
      <c r="I21" s="656"/>
      <c r="J21" s="66"/>
      <c r="K21" s="66"/>
      <c r="L21" s="656"/>
      <c r="M21" s="656"/>
      <c r="N21" s="657"/>
      <c r="O21" s="657"/>
      <c r="P21" s="656"/>
      <c r="Q21" s="656"/>
      <c r="R21" s="693"/>
      <c r="S21" s="693"/>
      <c r="T21" s="656"/>
      <c r="U21" s="656"/>
      <c r="V21" s="657"/>
      <c r="W21" s="657"/>
      <c r="X21" s="656"/>
      <c r="Y21" s="656"/>
      <c r="Z21" s="657"/>
      <c r="AA21" s="657"/>
      <c r="AB21" s="656"/>
      <c r="AC21" s="656"/>
      <c r="AD21" s="657"/>
      <c r="AE21" s="657"/>
      <c r="AF21" s="656"/>
      <c r="AG21" s="656"/>
      <c r="AH21" s="657"/>
      <c r="AI21" s="657"/>
      <c r="AJ21" s="656"/>
      <c r="AK21" s="656"/>
      <c r="AL21" s="657"/>
      <c r="AM21" s="657"/>
      <c r="AN21" s="656"/>
      <c r="AO21" s="656"/>
      <c r="AP21" s="61"/>
      <c r="AQ21" s="61"/>
      <c r="AR21" s="62"/>
      <c r="AS21" s="61"/>
      <c r="AT21" s="110"/>
      <c r="AU21" s="110"/>
      <c r="AW21" s="146"/>
      <c r="AY21" s="184"/>
      <c r="AZ21" s="184"/>
      <c r="BA21" s="184"/>
    </row>
    <row r="22" spans="1:54" ht="9.75" customHeight="1" thickTop="1" x14ac:dyDescent="0.2">
      <c r="B22" s="60"/>
      <c r="C22" s="60"/>
      <c r="D22" s="61"/>
      <c r="E22" s="655"/>
      <c r="F22" s="655"/>
      <c r="G22" s="655"/>
      <c r="H22" s="655"/>
      <c r="I22" s="655"/>
      <c r="J22" s="655"/>
      <c r="K22" s="655"/>
      <c r="L22" s="655"/>
      <c r="M22" s="655"/>
      <c r="N22" s="655"/>
      <c r="O22" s="655"/>
      <c r="P22" s="655"/>
      <c r="Q22" s="655"/>
      <c r="R22" s="655"/>
      <c r="S22" s="655"/>
      <c r="T22" s="655"/>
      <c r="U22" s="655"/>
      <c r="V22" s="655"/>
      <c r="W22" s="655"/>
      <c r="X22" s="655"/>
      <c r="Y22" s="655"/>
      <c r="Z22" s="655"/>
      <c r="AA22" s="655"/>
      <c r="AB22" s="655"/>
      <c r="AC22" s="655"/>
      <c r="AD22" s="655"/>
      <c r="AE22" s="655"/>
      <c r="AF22" s="655"/>
      <c r="AG22" s="655"/>
      <c r="AH22" s="655"/>
      <c r="AI22" s="655"/>
      <c r="AJ22" s="655"/>
      <c r="AK22" s="655"/>
      <c r="AL22" s="655"/>
      <c r="AM22" s="655"/>
      <c r="AN22" s="655"/>
      <c r="AO22" s="655"/>
      <c r="AP22" s="655"/>
      <c r="AQ22" s="655"/>
      <c r="AR22" s="655"/>
      <c r="AS22" s="61"/>
      <c r="AT22" s="110"/>
      <c r="AU22" s="110"/>
      <c r="AW22" s="232"/>
      <c r="AX22" s="696" t="str">
        <f>'Sprachen &amp; Rückgabewerte(2)'!H157</f>
        <v>B2B-Login Projektnr:</v>
      </c>
      <c r="AY22" s="696"/>
      <c r="AZ22" s="696"/>
      <c r="BA22" s="696"/>
      <c r="BB22" s="234"/>
    </row>
    <row r="23" spans="1:54" ht="9.9499999999999993" customHeight="1" x14ac:dyDescent="0.2">
      <c r="B23" s="60"/>
      <c r="C23" s="60"/>
      <c r="D23" s="61"/>
      <c r="E23" s="571"/>
      <c r="F23" s="571"/>
      <c r="G23" s="571"/>
      <c r="H23" s="571"/>
      <c r="I23" s="571"/>
      <c r="J23" s="571"/>
      <c r="K23" s="571"/>
      <c r="L23" s="571"/>
      <c r="M23" s="571"/>
      <c r="N23" s="571"/>
      <c r="O23" s="571"/>
      <c r="P23" s="571"/>
      <c r="Q23" s="571"/>
      <c r="R23" s="571"/>
      <c r="S23" s="571"/>
      <c r="T23" s="571"/>
      <c r="U23" s="571"/>
      <c r="V23" s="571"/>
      <c r="W23" s="571"/>
      <c r="X23" s="571"/>
      <c r="Y23" s="571"/>
      <c r="Z23" s="571"/>
      <c r="AA23" s="571"/>
      <c r="AB23" s="571"/>
      <c r="AC23" s="571"/>
      <c r="AD23" s="571"/>
      <c r="AE23" s="571"/>
      <c r="AF23" s="571"/>
      <c r="AG23" s="571"/>
      <c r="AH23" s="571"/>
      <c r="AI23" s="571"/>
      <c r="AJ23" s="571"/>
      <c r="AK23" s="571"/>
      <c r="AL23" s="571"/>
      <c r="AM23" s="571"/>
      <c r="AN23" s="571"/>
      <c r="AO23" s="571"/>
      <c r="AP23" s="571"/>
      <c r="AQ23" s="571"/>
      <c r="AR23" s="571"/>
      <c r="AS23" s="67"/>
      <c r="AT23" s="110"/>
      <c r="AU23" s="110"/>
      <c r="AW23" s="235"/>
      <c r="AX23" s="697"/>
      <c r="AY23" s="697"/>
      <c r="AZ23" s="697"/>
      <c r="BA23" s="697"/>
      <c r="BB23" s="237"/>
    </row>
    <row r="24" spans="1:54" ht="9.9499999999999993" customHeight="1" x14ac:dyDescent="0.2">
      <c r="B24" s="60"/>
      <c r="C24" s="60"/>
      <c r="D24" s="61"/>
      <c r="E24" s="571"/>
      <c r="F24" s="571"/>
      <c r="G24" s="571"/>
      <c r="H24" s="571"/>
      <c r="I24" s="571"/>
      <c r="J24" s="571"/>
      <c r="K24" s="571"/>
      <c r="L24" s="571"/>
      <c r="M24" s="571"/>
      <c r="N24" s="571"/>
      <c r="O24" s="571"/>
      <c r="P24" s="571"/>
      <c r="Q24" s="571"/>
      <c r="R24" s="571"/>
      <c r="S24" s="571"/>
      <c r="T24" s="571"/>
      <c r="U24" s="571"/>
      <c r="V24" s="571"/>
      <c r="W24" s="571"/>
      <c r="X24" s="571"/>
      <c r="Y24" s="571"/>
      <c r="Z24" s="571"/>
      <c r="AA24" s="571"/>
      <c r="AB24" s="571"/>
      <c r="AC24" s="571"/>
      <c r="AD24" s="571"/>
      <c r="AE24" s="571"/>
      <c r="AF24" s="571"/>
      <c r="AG24" s="571"/>
      <c r="AH24" s="571"/>
      <c r="AI24" s="571"/>
      <c r="AJ24" s="571"/>
      <c r="AK24" s="571"/>
      <c r="AL24" s="571"/>
      <c r="AM24" s="571"/>
      <c r="AN24" s="571"/>
      <c r="AO24" s="571"/>
      <c r="AP24" s="571"/>
      <c r="AQ24" s="571"/>
      <c r="AR24" s="571"/>
      <c r="AS24" s="67"/>
      <c r="AT24" s="110"/>
      <c r="AU24" s="110"/>
      <c r="AW24" s="235"/>
      <c r="AX24" s="697"/>
      <c r="AY24" s="697"/>
      <c r="AZ24" s="697"/>
      <c r="BA24" s="697"/>
      <c r="BB24" s="237"/>
    </row>
    <row r="25" spans="1:54" ht="9.9499999999999993" customHeight="1" x14ac:dyDescent="0.2">
      <c r="B25" s="60"/>
      <c r="C25" s="60"/>
      <c r="D25" s="61"/>
      <c r="E25" s="571"/>
      <c r="F25" s="571"/>
      <c r="G25" s="571"/>
      <c r="H25" s="571"/>
      <c r="I25" s="571"/>
      <c r="J25" s="571"/>
      <c r="K25" s="571"/>
      <c r="L25" s="571"/>
      <c r="M25" s="571"/>
      <c r="N25" s="571"/>
      <c r="O25" s="571"/>
      <c r="P25" s="571"/>
      <c r="Q25" s="571"/>
      <c r="R25" s="571"/>
      <c r="S25" s="571"/>
      <c r="T25" s="571"/>
      <c r="U25" s="571"/>
      <c r="V25" s="571"/>
      <c r="W25" s="571"/>
      <c r="X25" s="571"/>
      <c r="Y25" s="571"/>
      <c r="Z25" s="571"/>
      <c r="AA25" s="571"/>
      <c r="AB25" s="571"/>
      <c r="AC25" s="571"/>
      <c r="AD25" s="571"/>
      <c r="AE25" s="571"/>
      <c r="AF25" s="571"/>
      <c r="AG25" s="571"/>
      <c r="AH25" s="571"/>
      <c r="AI25" s="571"/>
      <c r="AJ25" s="571"/>
      <c r="AK25" s="571"/>
      <c r="AL25" s="571"/>
      <c r="AM25" s="571"/>
      <c r="AN25" s="571"/>
      <c r="AO25" s="571"/>
      <c r="AP25" s="571"/>
      <c r="AQ25" s="571"/>
      <c r="AR25" s="571"/>
      <c r="AS25" s="67"/>
      <c r="AT25" s="110"/>
      <c r="AU25" s="110"/>
      <c r="AW25" s="235"/>
      <c r="AX25" s="565"/>
      <c r="AY25" s="566"/>
      <c r="AZ25" s="567"/>
      <c r="BA25" s="184"/>
      <c r="BB25" s="237"/>
    </row>
    <row r="26" spans="1:54" ht="9.9499999999999993" customHeight="1" x14ac:dyDescent="0.2">
      <c r="B26" s="60"/>
      <c r="C26" s="60"/>
      <c r="D26" s="61"/>
      <c r="E26" s="571"/>
      <c r="F26" s="571"/>
      <c r="G26" s="571"/>
      <c r="H26" s="571"/>
      <c r="I26" s="571"/>
      <c r="J26" s="571"/>
      <c r="K26" s="571"/>
      <c r="L26" s="571"/>
      <c r="M26" s="571"/>
      <c r="N26" s="571"/>
      <c r="O26" s="571"/>
      <c r="P26" s="571"/>
      <c r="Q26" s="571"/>
      <c r="R26" s="571"/>
      <c r="S26" s="571"/>
      <c r="T26" s="571"/>
      <c r="U26" s="571"/>
      <c r="V26" s="571"/>
      <c r="W26" s="571"/>
      <c r="X26" s="571"/>
      <c r="Y26" s="571"/>
      <c r="Z26" s="571"/>
      <c r="AA26" s="571"/>
      <c r="AB26" s="571"/>
      <c r="AC26" s="571"/>
      <c r="AD26" s="571"/>
      <c r="AE26" s="571"/>
      <c r="AF26" s="571"/>
      <c r="AG26" s="571"/>
      <c r="AH26" s="571"/>
      <c r="AI26" s="571"/>
      <c r="AJ26" s="571"/>
      <c r="AK26" s="571"/>
      <c r="AL26" s="571"/>
      <c r="AM26" s="571"/>
      <c r="AN26" s="571"/>
      <c r="AO26" s="571"/>
      <c r="AP26" s="571"/>
      <c r="AQ26" s="571"/>
      <c r="AR26" s="571"/>
      <c r="AS26" s="67"/>
      <c r="AT26" s="110"/>
      <c r="AU26" s="110"/>
      <c r="AW26" s="235"/>
      <c r="AX26" s="568"/>
      <c r="AY26" s="569"/>
      <c r="AZ26" s="570"/>
      <c r="BA26" s="184"/>
      <c r="BB26" s="237"/>
    </row>
    <row r="27" spans="1:54" ht="15.75" customHeight="1" thickBot="1" x14ac:dyDescent="0.25">
      <c r="B27" s="60"/>
      <c r="C27" s="60"/>
      <c r="D27" s="61"/>
      <c r="E27" s="91"/>
      <c r="F27" s="92"/>
      <c r="G27" s="92"/>
      <c r="H27" s="93"/>
      <c r="I27" s="91"/>
      <c r="J27" s="92"/>
      <c r="K27" s="92"/>
      <c r="L27" s="93"/>
      <c r="M27" s="91"/>
      <c r="N27" s="92"/>
      <c r="O27" s="92"/>
      <c r="P27" s="93"/>
      <c r="Q27" s="91"/>
      <c r="R27" s="92"/>
      <c r="S27" s="92"/>
      <c r="T27" s="93"/>
      <c r="U27" s="91"/>
      <c r="V27" s="92"/>
      <c r="W27" s="92"/>
      <c r="X27" s="93"/>
      <c r="Y27" s="91"/>
      <c r="Z27" s="92"/>
      <c r="AA27" s="92"/>
      <c r="AB27" s="93"/>
      <c r="AC27" s="91"/>
      <c r="AD27" s="92"/>
      <c r="AE27" s="92"/>
      <c r="AF27" s="93"/>
      <c r="AG27" s="91"/>
      <c r="AH27" s="92"/>
      <c r="AI27" s="92"/>
      <c r="AJ27" s="93"/>
      <c r="AK27" s="91"/>
      <c r="AL27" s="92"/>
      <c r="AM27" s="92"/>
      <c r="AN27" s="93"/>
      <c r="AO27" s="91"/>
      <c r="AP27" s="92"/>
      <c r="AQ27" s="92"/>
      <c r="AR27" s="93"/>
      <c r="AS27" s="67"/>
      <c r="AT27" s="110"/>
      <c r="AU27" s="110"/>
      <c r="AW27" s="235"/>
      <c r="AX27" s="311"/>
      <c r="AY27" s="184"/>
      <c r="AZ27" s="184"/>
      <c r="BA27" s="184"/>
      <c r="BB27" s="237"/>
    </row>
    <row r="28" spans="1:54" ht="18" customHeight="1" thickBot="1" x14ac:dyDescent="0.25">
      <c r="A28" s="151" t="str">
        <f>IF('Sprachen &amp; Rückgabewerte(2)'!$I$13=TRUE,'Sprachen &amp; Rückgabewerte(2)'!$H$58,"")</f>
        <v/>
      </c>
      <c r="B28" s="220"/>
      <c r="C28" s="60"/>
      <c r="D28" s="84"/>
      <c r="E28" s="572"/>
      <c r="F28" s="573"/>
      <c r="G28" s="573"/>
      <c r="H28" s="574"/>
      <c r="I28" s="572"/>
      <c r="J28" s="573"/>
      <c r="K28" s="573"/>
      <c r="L28" s="574"/>
      <c r="M28" s="572"/>
      <c r="N28" s="573"/>
      <c r="O28" s="573"/>
      <c r="P28" s="574"/>
      <c r="Q28" s="572"/>
      <c r="R28" s="573"/>
      <c r="S28" s="573"/>
      <c r="T28" s="574"/>
      <c r="U28" s="572"/>
      <c r="V28" s="573"/>
      <c r="W28" s="573"/>
      <c r="X28" s="574"/>
      <c r="Y28" s="572"/>
      <c r="Z28" s="573"/>
      <c r="AA28" s="573"/>
      <c r="AB28" s="574"/>
      <c r="AC28" s="572"/>
      <c r="AD28" s="573"/>
      <c r="AE28" s="573"/>
      <c r="AF28" s="574"/>
      <c r="AG28" s="572"/>
      <c r="AH28" s="573"/>
      <c r="AI28" s="573"/>
      <c r="AJ28" s="574"/>
      <c r="AK28" s="572"/>
      <c r="AL28" s="573"/>
      <c r="AM28" s="573"/>
      <c r="AN28" s="574"/>
      <c r="AO28" s="572"/>
      <c r="AP28" s="573"/>
      <c r="AQ28" s="573"/>
      <c r="AR28" s="574"/>
      <c r="AS28" s="68"/>
      <c r="AT28" s="110"/>
      <c r="AU28" s="110"/>
      <c r="AW28" s="251"/>
      <c r="AX28" s="241"/>
      <c r="AY28" s="242"/>
      <c r="AZ28" s="242"/>
      <c r="BA28" s="242"/>
      <c r="BB28" s="243"/>
    </row>
    <row r="29" spans="1:54" ht="7.5" customHeight="1" x14ac:dyDescent="0.2">
      <c r="B29" s="60"/>
      <c r="C29" s="60"/>
      <c r="D29" s="61"/>
      <c r="E29" s="69"/>
      <c r="F29" s="70"/>
      <c r="G29" s="70"/>
      <c r="H29" s="71"/>
      <c r="I29" s="70"/>
      <c r="J29" s="70"/>
      <c r="K29" s="70"/>
      <c r="L29" s="71"/>
      <c r="M29" s="70"/>
      <c r="N29" s="70"/>
      <c r="O29" s="70"/>
      <c r="P29" s="71"/>
      <c r="Q29" s="70"/>
      <c r="R29" s="70"/>
      <c r="S29" s="70"/>
      <c r="T29" s="71"/>
      <c r="U29" s="70"/>
      <c r="V29" s="70"/>
      <c r="W29" s="70"/>
      <c r="X29" s="71"/>
      <c r="Y29" s="70"/>
      <c r="Z29" s="70"/>
      <c r="AA29" s="70"/>
      <c r="AB29" s="71"/>
      <c r="AC29" s="70"/>
      <c r="AD29" s="70"/>
      <c r="AE29" s="70"/>
      <c r="AF29" s="71"/>
      <c r="AG29" s="70"/>
      <c r="AH29" s="70"/>
      <c r="AI29" s="70"/>
      <c r="AJ29" s="71"/>
      <c r="AK29" s="69"/>
      <c r="AL29" s="70"/>
      <c r="AM29" s="70"/>
      <c r="AN29" s="71"/>
      <c r="AO29" s="69"/>
      <c r="AP29" s="70"/>
      <c r="AQ29" s="70"/>
      <c r="AR29" s="71"/>
      <c r="AS29" s="61"/>
      <c r="AT29" s="110"/>
      <c r="AU29" s="110"/>
      <c r="AY29" s="184"/>
      <c r="AZ29" s="184"/>
      <c r="BA29" s="184"/>
    </row>
    <row r="30" spans="1:54" ht="10.5" customHeight="1" x14ac:dyDescent="0.2">
      <c r="B30" s="60"/>
      <c r="C30" s="68"/>
      <c r="D30" s="84"/>
      <c r="E30" s="444"/>
      <c r="F30" s="444"/>
      <c r="G30" s="444"/>
      <c r="H30" s="444"/>
      <c r="I30" s="444"/>
      <c r="J30" s="444"/>
      <c r="K30" s="444"/>
      <c r="L30" s="444"/>
      <c r="M30" s="444"/>
      <c r="N30" s="444"/>
      <c r="O30" s="444"/>
      <c r="P30" s="444"/>
      <c r="Q30" s="444"/>
      <c r="R30" s="444"/>
      <c r="S30" s="444"/>
      <c r="T30" s="444"/>
      <c r="U30" s="444"/>
      <c r="V30" s="444"/>
      <c r="W30" s="444"/>
      <c r="X30" s="444"/>
      <c r="Y30" s="444"/>
      <c r="Z30" s="444"/>
      <c r="AA30" s="444"/>
      <c r="AB30" s="444"/>
      <c r="AC30" s="444"/>
      <c r="AD30" s="444"/>
      <c r="AE30" s="444"/>
      <c r="AF30" s="444"/>
      <c r="AG30" s="444"/>
      <c r="AH30" s="444"/>
      <c r="AI30" s="444"/>
      <c r="AJ30" s="444"/>
      <c r="AK30" s="444"/>
      <c r="AL30" s="444"/>
      <c r="AM30" s="444"/>
      <c r="AN30" s="444"/>
      <c r="AO30" s="444"/>
      <c r="AP30" s="444"/>
      <c r="AQ30" s="444"/>
      <c r="AR30" s="444"/>
      <c r="AS30" s="84"/>
      <c r="AT30" s="111"/>
      <c r="AU30" s="110"/>
      <c r="AW30" s="588" t="str">
        <f>IF('Sprachen &amp; Rückgabewerte(2)'!$I$19=TRUE,'Sprachen &amp; Rückgabewerte(2)'!$H$137,"")</f>
        <v/>
      </c>
      <c r="AX30" s="589"/>
      <c r="AY30" s="589"/>
      <c r="AZ30" s="589"/>
      <c r="BA30" s="590"/>
    </row>
    <row r="31" spans="1:54" ht="11.25" customHeight="1" x14ac:dyDescent="0.2">
      <c r="B31" s="60"/>
      <c r="C31" s="61"/>
      <c r="D31" s="61"/>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61"/>
      <c r="AL31" s="61"/>
      <c r="AM31" s="63"/>
      <c r="AN31" s="61"/>
      <c r="AO31" s="61"/>
      <c r="AP31" s="61"/>
      <c r="AQ31" s="61"/>
      <c r="AR31" s="61"/>
      <c r="AS31" s="61"/>
      <c r="AT31" s="61"/>
      <c r="AU31" s="110"/>
      <c r="AW31" s="591"/>
      <c r="AX31" s="592"/>
      <c r="AY31" s="592"/>
      <c r="AZ31" s="592"/>
      <c r="BA31" s="593"/>
    </row>
    <row r="32" spans="1:54" ht="12.75" customHeight="1" x14ac:dyDescent="0.2">
      <c r="B32" s="60"/>
      <c r="C32" s="107"/>
      <c r="D32" s="82"/>
      <c r="E32" s="82"/>
      <c r="F32" s="82"/>
      <c r="G32" s="82"/>
      <c r="H32" s="82"/>
      <c r="I32" s="82"/>
      <c r="J32" s="82"/>
      <c r="K32" s="82"/>
      <c r="L32" s="82"/>
      <c r="M32" s="82"/>
      <c r="N32" s="82"/>
      <c r="O32" s="82"/>
      <c r="P32" s="82"/>
      <c r="Q32" s="82"/>
      <c r="R32" s="82"/>
      <c r="S32" s="82"/>
      <c r="T32" s="82"/>
      <c r="U32" s="82"/>
      <c r="V32" s="82"/>
      <c r="W32" s="82"/>
      <c r="X32" s="82"/>
      <c r="Y32" s="82"/>
      <c r="Z32" s="82"/>
      <c r="AA32" s="82"/>
      <c r="AB32" s="109"/>
      <c r="AC32" s="61"/>
      <c r="AD32" s="107"/>
      <c r="AE32" s="116" t="str">
        <f>'Sprachen &amp; Rückgabewerte(2)'!$H$134</f>
        <v>Features</v>
      </c>
      <c r="AF32" s="116"/>
      <c r="AG32" s="82"/>
      <c r="AH32" s="82"/>
      <c r="AI32" s="82"/>
      <c r="AJ32" s="82"/>
      <c r="AK32" s="82"/>
      <c r="AL32" s="82"/>
      <c r="AM32" s="133"/>
      <c r="AN32" s="82"/>
      <c r="AO32" s="82"/>
      <c r="AP32" s="82"/>
      <c r="AQ32" s="82"/>
      <c r="AR32" s="82"/>
      <c r="AS32" s="82"/>
      <c r="AT32" s="109"/>
      <c r="AU32" s="199"/>
      <c r="AV32" s="109"/>
      <c r="AW32" s="591"/>
      <c r="AX32" s="592"/>
      <c r="AY32" s="592"/>
      <c r="AZ32" s="592"/>
      <c r="BA32" s="593"/>
    </row>
    <row r="33" spans="2:53" ht="12.75" customHeight="1" x14ac:dyDescent="0.2">
      <c r="B33" s="60"/>
      <c r="C33" s="60"/>
      <c r="D33" s="72"/>
      <c r="E33" s="443"/>
      <c r="F33" s="442" t="str">
        <f>'Sprachen &amp; Rückgabewerte(2)'!$H$13</f>
        <v>Teilung Achsmasse</v>
      </c>
      <c r="G33" s="72"/>
      <c r="H33" s="72"/>
      <c r="I33" s="72"/>
      <c r="J33" s="72"/>
      <c r="K33" s="72"/>
      <c r="L33" s="72"/>
      <c r="M33" s="72"/>
      <c r="N33" s="72"/>
      <c r="O33" s="72"/>
      <c r="P33" s="72"/>
      <c r="Q33" s="72"/>
      <c r="R33" s="72"/>
      <c r="S33" s="72"/>
      <c r="T33" s="72"/>
      <c r="U33" s="72"/>
      <c r="V33" s="72"/>
      <c r="W33" s="72"/>
      <c r="X33" s="72"/>
      <c r="Y33" s="72"/>
      <c r="Z33" s="72"/>
      <c r="AA33" s="72"/>
      <c r="AB33" s="118"/>
      <c r="AC33" s="72"/>
      <c r="AD33" s="117"/>
      <c r="AE33" s="72"/>
      <c r="AF33" s="72" t="str">
        <f>'Sprachen &amp; Rückgabewerte(2)'!$H$15</f>
        <v>Standard</v>
      </c>
      <c r="AH33" s="72"/>
      <c r="AI33" s="72"/>
      <c r="AJ33" s="72"/>
      <c r="AK33" s="72"/>
      <c r="AL33" s="72"/>
      <c r="AM33" s="72"/>
      <c r="AN33" s="443"/>
      <c r="AO33" s="72" t="str">
        <f>'Sprachen &amp; Rückgabewerte(2)'!$H$25</f>
        <v>Pool</v>
      </c>
      <c r="AQ33" s="72"/>
      <c r="AR33" s="72"/>
      <c r="AS33" s="442"/>
      <c r="AT33" s="110"/>
      <c r="AU33" s="110"/>
      <c r="AW33" s="185" t="str">
        <f>IF(AND(F$10&gt;0,'Sprachen &amp; Rückgabewerte(2)'!$I$19=TRUE),CONCATENATE("Pos. ",'Pos. 2'!$B$2,".1"),"")</f>
        <v/>
      </c>
      <c r="AX33" s="734"/>
      <c r="AY33" s="735"/>
      <c r="AZ33" s="184"/>
      <c r="BA33" s="186"/>
    </row>
    <row r="34" spans="2:53" ht="12.75" customHeight="1" x14ac:dyDescent="0.2">
      <c r="B34" s="60"/>
      <c r="C34" s="60"/>
      <c r="D34" s="72"/>
      <c r="E34" s="443"/>
      <c r="F34" s="73" t="str">
        <f>'Sprachen &amp; Rückgabewerte(2)'!$H$14</f>
        <v>alle Gläser gleiche Breite (Empfehlung)</v>
      </c>
      <c r="G34" s="72"/>
      <c r="H34" s="72"/>
      <c r="I34" s="72"/>
      <c r="J34" s="72"/>
      <c r="K34" s="72"/>
      <c r="L34" s="72"/>
      <c r="M34" s="72"/>
      <c r="N34" s="72"/>
      <c r="O34" s="72"/>
      <c r="P34" s="72"/>
      <c r="Q34" s="72"/>
      <c r="R34" s="72"/>
      <c r="S34" s="72"/>
      <c r="T34" s="72"/>
      <c r="U34" s="72"/>
      <c r="V34" s="72"/>
      <c r="W34" s="72"/>
      <c r="X34" s="72"/>
      <c r="Y34" s="72"/>
      <c r="Z34" s="72"/>
      <c r="AA34" s="72"/>
      <c r="AB34" s="118"/>
      <c r="AC34" s="72"/>
      <c r="AD34" s="117"/>
      <c r="AE34" s="72"/>
      <c r="AF34" s="72" t="str">
        <f>'Sprachen &amp; Rückgabewerte(2)'!$H$16</f>
        <v>Einbruchschutz RC2</v>
      </c>
      <c r="AH34" s="72"/>
      <c r="AI34" s="72"/>
      <c r="AJ34" s="72"/>
      <c r="AK34" s="72"/>
      <c r="AL34" s="72"/>
      <c r="AM34" s="72"/>
      <c r="AN34" s="443"/>
      <c r="AO34" s="72" t="str">
        <f>'Sprachen &amp; Rückgabewerte(2)'!H125</f>
        <v>NFRC (USA)</v>
      </c>
      <c r="AQ34" s="72"/>
      <c r="AR34" s="72"/>
      <c r="AS34" s="442"/>
      <c r="AT34" s="110"/>
      <c r="AU34" s="110"/>
      <c r="AW34" s="185" t="str">
        <f>IF(AND(J10&gt;0,'Sprachen &amp; Rückgabewerte(2)'!$I$19=TRUE),CONCATENATE("Pos. ",'Pos. 2'!$B$2,".2"),"")</f>
        <v/>
      </c>
      <c r="AX34" s="734"/>
      <c r="AY34" s="735"/>
      <c r="AZ34" s="184"/>
      <c r="BA34" s="186"/>
    </row>
    <row r="35" spans="2:53" ht="12.75" customHeight="1" x14ac:dyDescent="0.2">
      <c r="B35" s="60"/>
      <c r="C35" s="60"/>
      <c r="D35" s="72"/>
      <c r="E35" s="72"/>
      <c r="F35" s="72"/>
      <c r="G35" s="72"/>
      <c r="H35" s="72"/>
      <c r="I35" s="72"/>
      <c r="J35" s="72"/>
      <c r="K35" s="72"/>
      <c r="L35" s="72"/>
      <c r="M35" s="72"/>
      <c r="N35" s="72"/>
      <c r="O35" s="72"/>
      <c r="P35" s="72"/>
      <c r="Q35" s="72"/>
      <c r="R35" s="72"/>
      <c r="S35" s="72"/>
      <c r="T35" s="72"/>
      <c r="U35" s="72"/>
      <c r="V35" s="72"/>
      <c r="W35" s="72"/>
      <c r="X35" s="72"/>
      <c r="Y35" s="72"/>
      <c r="Z35" s="72"/>
      <c r="AA35" s="72"/>
      <c r="AB35" s="118"/>
      <c r="AC35" s="72"/>
      <c r="AD35" s="117"/>
      <c r="AE35" s="72"/>
      <c r="AF35" s="72" t="str">
        <f>'Sprachen &amp; Rückgabewerte(2)'!$H$17</f>
        <v>Positionsüberwachung (P)</v>
      </c>
      <c r="AH35" s="72"/>
      <c r="AI35" s="72"/>
      <c r="AJ35" s="72"/>
      <c r="AK35" s="72"/>
      <c r="AL35" s="72"/>
      <c r="AM35" s="72"/>
      <c r="AN35" s="443"/>
      <c r="AO35" s="72" t="str">
        <f>'Sprachen &amp; Rückgabewerte(2)'!H26</f>
        <v>Schallschutz</v>
      </c>
      <c r="AQ35" s="72"/>
      <c r="AR35" s="72"/>
      <c r="AS35" s="74"/>
      <c r="AT35" s="110"/>
      <c r="AU35" s="110"/>
      <c r="AW35" s="185" t="str">
        <f>IF(AND(N10&gt;0,'Sprachen &amp; Rückgabewerte(2)'!$I$19=TRUE),CONCATENATE("Pos. ",'Pos. 2'!$B$2,".3"),"")</f>
        <v/>
      </c>
      <c r="AX35" s="734"/>
      <c r="AY35" s="735"/>
      <c r="AZ35" s="184"/>
      <c r="BA35" s="186"/>
    </row>
    <row r="36" spans="2:53" ht="12.75" customHeight="1" x14ac:dyDescent="0.2">
      <c r="B36" s="60"/>
      <c r="C36" s="60"/>
      <c r="D36" s="72"/>
      <c r="E36" s="72"/>
      <c r="F36" s="72"/>
      <c r="G36" s="72"/>
      <c r="H36" s="72"/>
      <c r="I36" s="72"/>
      <c r="J36" s="72"/>
      <c r="K36" s="72"/>
      <c r="L36" s="72"/>
      <c r="M36" s="72"/>
      <c r="N36" s="72"/>
      <c r="O36" s="72"/>
      <c r="P36" s="72"/>
      <c r="Q36" s="72"/>
      <c r="R36" s="72"/>
      <c r="S36" s="72"/>
      <c r="T36" s="72"/>
      <c r="U36" s="72"/>
      <c r="V36" s="72"/>
      <c r="W36" s="72"/>
      <c r="X36" s="72"/>
      <c r="Y36" s="72"/>
      <c r="Z36" s="72"/>
      <c r="AA36" s="72"/>
      <c r="AB36" s="118"/>
      <c r="AC36" s="72"/>
      <c r="AD36" s="117"/>
      <c r="AE36" s="72"/>
      <c r="AF36" s="72" t="str">
        <f>'Sprachen &amp; Rückgabewerte(2)'!$H$18</f>
        <v xml:space="preserve">Riegelüberwachung (R) </v>
      </c>
      <c r="AH36" s="72"/>
      <c r="AI36" s="72"/>
      <c r="AJ36" s="72"/>
      <c r="AK36" s="72"/>
      <c r="AL36" s="72"/>
      <c r="AM36" s="72"/>
      <c r="AN36" s="443"/>
      <c r="AO36" s="72" t="str">
        <f>'Sprachen &amp; Rückgabewerte(2)'!H27</f>
        <v>MINERGIE Modul</v>
      </c>
      <c r="AP36" s="72"/>
      <c r="AQ36" s="72"/>
      <c r="AR36" s="72"/>
      <c r="AS36" s="74"/>
      <c r="AT36" s="110"/>
      <c r="AU36" s="110"/>
      <c r="AW36" s="185" t="str">
        <f>IF(AND(R10&gt;0,'Sprachen &amp; Rückgabewerte(2)'!$I$19=TRUE),CONCATENATE("Pos. ",'Pos. 2'!$B$2,".4"),"")</f>
        <v/>
      </c>
      <c r="AX36" s="734"/>
      <c r="AY36" s="735"/>
      <c r="AZ36" s="184"/>
      <c r="BA36" s="186"/>
    </row>
    <row r="37" spans="2:53" ht="12.75" customHeight="1" x14ac:dyDescent="0.2">
      <c r="B37" s="60"/>
      <c r="C37" s="60"/>
      <c r="D37" s="72"/>
      <c r="E37" s="72"/>
      <c r="F37" s="72"/>
      <c r="G37" s="72"/>
      <c r="H37" s="72"/>
      <c r="I37" s="72"/>
      <c r="J37" s="72"/>
      <c r="K37" s="72"/>
      <c r="L37" s="72"/>
      <c r="M37" s="72"/>
      <c r="N37" s="72"/>
      <c r="O37" s="72"/>
      <c r="P37" s="72"/>
      <c r="Q37" s="72"/>
      <c r="R37" s="72"/>
      <c r="S37" s="72"/>
      <c r="T37" s="72"/>
      <c r="U37" s="72"/>
      <c r="V37" s="72"/>
      <c r="W37" s="72"/>
      <c r="X37" s="72"/>
      <c r="Y37" s="72"/>
      <c r="Z37" s="72"/>
      <c r="AA37" s="72"/>
      <c r="AB37" s="118"/>
      <c r="AC37" s="72"/>
      <c r="AD37" s="117"/>
      <c r="AE37" s="72"/>
      <c r="AF37" s="72" t="str">
        <f>'Sprachen &amp; Rückgabewerte(2)'!$H$19</f>
        <v>Glasbruchüberwachung (G)</v>
      </c>
      <c r="AH37" s="72"/>
      <c r="AI37" s="72"/>
      <c r="AJ37" s="72"/>
      <c r="AK37" s="72"/>
      <c r="AL37" s="72"/>
      <c r="AM37" s="72"/>
      <c r="AN37" s="443"/>
      <c r="AO37" s="72" t="str">
        <f>'Sprachen &amp; Rückgabewerte(2)'!H28</f>
        <v>MINERGIE-P Modul</v>
      </c>
      <c r="AP37" s="72"/>
      <c r="AQ37" s="72"/>
      <c r="AR37" s="72"/>
      <c r="AS37" s="74"/>
      <c r="AT37" s="110"/>
      <c r="AU37" s="110"/>
      <c r="AW37" s="185" t="str">
        <f>IF(AND(V10&gt;0,'Sprachen &amp; Rückgabewerte(2)'!$I$19=TRUE),CONCATENATE("Pos. ",'Pos. 2'!$B$2,".5"),"")</f>
        <v/>
      </c>
      <c r="AX37" s="734"/>
      <c r="AY37" s="735"/>
      <c r="AZ37" s="184"/>
      <c r="BA37" s="186"/>
    </row>
    <row r="38" spans="2:53" ht="12.75" customHeight="1" x14ac:dyDescent="0.2">
      <c r="B38" s="60"/>
      <c r="C38" s="60"/>
      <c r="D38" s="72"/>
      <c r="E38" s="72"/>
      <c r="F38" s="72"/>
      <c r="G38" s="72"/>
      <c r="H38" s="72"/>
      <c r="I38" s="72"/>
      <c r="J38" s="72"/>
      <c r="K38" s="72"/>
      <c r="L38" s="72"/>
      <c r="M38" s="72"/>
      <c r="N38" s="72"/>
      <c r="O38" s="72"/>
      <c r="P38" s="72"/>
      <c r="Q38" s="72"/>
      <c r="R38" s="72"/>
      <c r="S38" s="72"/>
      <c r="T38" s="72"/>
      <c r="U38" s="72"/>
      <c r="V38" s="72"/>
      <c r="W38" s="72"/>
      <c r="X38" s="72"/>
      <c r="Y38" s="72"/>
      <c r="Z38" s="72"/>
      <c r="AA38" s="72"/>
      <c r="AB38" s="118"/>
      <c r="AC38" s="72"/>
      <c r="AD38" s="117"/>
      <c r="AE38" s="72"/>
      <c r="AF38" s="662" t="str">
        <f>'Sprachen &amp; Rückgabewerte(2)'!$H$20</f>
        <v>Elektrischer Antrieb, Anzahl</v>
      </c>
      <c r="AG38" s="662"/>
      <c r="AH38" s="662"/>
      <c r="AI38" s="662"/>
      <c r="AJ38" s="662"/>
      <c r="AK38" s="662"/>
      <c r="AL38" s="662"/>
      <c r="AM38" s="661">
        <f>IF('Sprachen &amp; Rückgabewerte(2)'!I20=FALSE,0,COUNTIF(F13:AQ19,"E"))</f>
        <v>0</v>
      </c>
      <c r="AN38" s="661"/>
      <c r="AO38" s="72" t="str">
        <f>'Sprachen &amp; Rückgabewerte(2)'!$H$21</f>
        <v>Stk.</v>
      </c>
      <c r="AQ38" s="72"/>
      <c r="AR38" s="72"/>
      <c r="AS38" s="442"/>
      <c r="AT38" s="110"/>
      <c r="AU38" s="110"/>
      <c r="AW38" s="185" t="str">
        <f>IF(AND(Z10&gt;0,'Sprachen &amp; Rückgabewerte(2)'!$I$19=TRUE),CONCATENATE("Pos. ",'Pos. 2'!$B$2,".6"),"")</f>
        <v/>
      </c>
      <c r="AX38" s="734"/>
      <c r="AY38" s="735"/>
      <c r="AZ38" s="61"/>
      <c r="BA38" s="110"/>
    </row>
    <row r="39" spans="2:53" ht="12.75" customHeight="1" x14ac:dyDescent="0.2">
      <c r="B39" s="60"/>
      <c r="C39" s="60"/>
      <c r="D39" s="72"/>
      <c r="E39" s="72"/>
      <c r="F39" s="72"/>
      <c r="G39" s="72"/>
      <c r="H39" s="72"/>
      <c r="I39" s="72"/>
      <c r="J39" s="72"/>
      <c r="K39" s="72"/>
      <c r="L39" s="72"/>
      <c r="M39" s="72"/>
      <c r="N39" s="72"/>
      <c r="O39" s="72"/>
      <c r="P39" s="72"/>
      <c r="Q39" s="72"/>
      <c r="R39" s="72"/>
      <c r="S39" s="72"/>
      <c r="T39" s="72"/>
      <c r="U39" s="72"/>
      <c r="V39" s="72"/>
      <c r="W39" s="72"/>
      <c r="X39" s="72"/>
      <c r="Y39" s="72"/>
      <c r="Z39" s="72"/>
      <c r="AA39" s="72"/>
      <c r="AB39" s="118"/>
      <c r="AC39" s="72"/>
      <c r="AD39" s="117"/>
      <c r="AE39" s="72"/>
      <c r="AF39" s="72" t="str">
        <f>'Sprachen &amp; Rückgabewerte(2)'!$H$22</f>
        <v>geforderte Klassen:</v>
      </c>
      <c r="AH39" s="72"/>
      <c r="AI39" s="72"/>
      <c r="AJ39" s="72"/>
      <c r="AK39" s="72"/>
      <c r="AL39" s="639"/>
      <c r="AM39" s="640"/>
      <c r="AN39" s="640"/>
      <c r="AO39" s="640"/>
      <c r="AP39" s="640"/>
      <c r="AQ39" s="640"/>
      <c r="AR39" s="640"/>
      <c r="AS39" s="641"/>
      <c r="AT39" s="110"/>
      <c r="AU39" s="110"/>
      <c r="AW39" s="185" t="str">
        <f>IF(AND(AD10&gt;0,'Sprachen &amp; Rückgabewerte(2)'!$I$19=TRUE),CONCATENATE("Pos. ",'Pos. 2'!$B$2,".7"),"")</f>
        <v/>
      </c>
      <c r="AX39" s="734"/>
      <c r="AY39" s="735"/>
      <c r="AZ39" s="61"/>
      <c r="BA39" s="110"/>
    </row>
    <row r="40" spans="2:53" ht="12.75" customHeight="1" x14ac:dyDescent="0.2">
      <c r="B40" s="60"/>
      <c r="C40" s="60"/>
      <c r="D40" s="72"/>
      <c r="E40" s="445"/>
      <c r="F40" s="73" t="str">
        <f>'Sprachen &amp; Rückgabewerte(2)'!H30</f>
        <v>nach rechts</v>
      </c>
      <c r="G40" s="72"/>
      <c r="H40" s="72"/>
      <c r="I40" s="72"/>
      <c r="J40" s="72"/>
      <c r="K40" s="72"/>
      <c r="L40" s="72"/>
      <c r="M40" s="72"/>
      <c r="N40" s="75" t="str">
        <f>'Sprachen &amp; Rückgabewerte(2)'!H31</f>
        <v>nach links</v>
      </c>
      <c r="O40" s="445"/>
      <c r="P40" s="75"/>
      <c r="Q40" s="443"/>
      <c r="R40" s="72"/>
      <c r="S40" s="72"/>
      <c r="T40" s="72"/>
      <c r="U40" s="72"/>
      <c r="V40" s="72"/>
      <c r="W40" s="72"/>
      <c r="X40" s="72"/>
      <c r="Y40" s="72"/>
      <c r="Z40" s="632" t="s">
        <v>176</v>
      </c>
      <c r="AA40" s="72"/>
      <c r="AB40" s="118"/>
      <c r="AC40" s="72"/>
      <c r="AD40" s="119"/>
      <c r="AE40" s="120"/>
      <c r="AF40" s="120" t="str">
        <f>'Sprachen &amp; Rückgabewerte(2)'!H29</f>
        <v>Sky-Frame Gun</v>
      </c>
      <c r="AG40" s="316"/>
      <c r="AH40" s="316"/>
      <c r="AI40" s="316"/>
      <c r="AJ40" s="316"/>
      <c r="AK40" s="316"/>
      <c r="AL40" s="316"/>
      <c r="AM40" s="316"/>
      <c r="AN40" s="316"/>
      <c r="AO40" s="316"/>
      <c r="AP40" s="316"/>
      <c r="AQ40" s="316"/>
      <c r="AR40" s="316"/>
      <c r="AS40" s="120"/>
      <c r="AT40" s="111"/>
      <c r="AU40" s="110"/>
      <c r="AW40" s="185" t="str">
        <f>IF(AND(AH10&gt;0,'Sprachen &amp; Rückgabewerte(2)'!$I$19=TRUE),CONCATENATE("Pos. ",'Pos. 2'!$B$2,".8"),"")</f>
        <v/>
      </c>
      <c r="AX40" s="734"/>
      <c r="AY40" s="735"/>
      <c r="AZ40" s="61"/>
      <c r="BA40" s="110"/>
    </row>
    <row r="41" spans="2:53" ht="12.75" customHeight="1" x14ac:dyDescent="0.2">
      <c r="B41" s="60"/>
      <c r="C41" s="60"/>
      <c r="D41" s="72"/>
      <c r="E41" s="445"/>
      <c r="F41" s="73"/>
      <c r="G41" s="72"/>
      <c r="H41" s="72"/>
      <c r="I41" s="72"/>
      <c r="J41" s="72"/>
      <c r="K41" s="72"/>
      <c r="L41" s="72"/>
      <c r="M41" s="72"/>
      <c r="N41" s="75"/>
      <c r="O41" s="445"/>
      <c r="P41" s="75"/>
      <c r="Q41" s="443"/>
      <c r="R41" s="72"/>
      <c r="S41" s="72"/>
      <c r="T41" s="72"/>
      <c r="U41" s="72"/>
      <c r="V41" s="72"/>
      <c r="W41" s="72"/>
      <c r="X41" s="72"/>
      <c r="Y41" s="72"/>
      <c r="Z41" s="633"/>
      <c r="AA41" s="72"/>
      <c r="AB41" s="118"/>
      <c r="AC41" s="72"/>
      <c r="AD41" s="72"/>
      <c r="AE41" s="72"/>
      <c r="AF41" s="72"/>
      <c r="AG41" s="76"/>
      <c r="AH41" s="76"/>
      <c r="AI41" s="76"/>
      <c r="AJ41" s="76"/>
      <c r="AK41" s="76"/>
      <c r="AL41" s="76"/>
      <c r="AM41" s="76"/>
      <c r="AN41" s="76"/>
      <c r="AO41" s="76"/>
      <c r="AP41" s="76"/>
      <c r="AQ41" s="76"/>
      <c r="AR41" s="76"/>
      <c r="AS41" s="72"/>
      <c r="AT41" s="61"/>
      <c r="AU41" s="110"/>
      <c r="AW41" s="185" t="str">
        <f>IF(AND(AL10&gt;0,'Sprachen &amp; Rückgabewerte(2)'!$I$19=TRUE),CONCATENATE("Pos. ",'Pos. 2'!$B$2,".9"),"")</f>
        <v/>
      </c>
      <c r="AX41" s="734"/>
      <c r="AY41" s="735"/>
      <c r="AZ41" s="61"/>
      <c r="BA41" s="110"/>
    </row>
    <row r="42" spans="2:53" ht="12.75" customHeight="1" x14ac:dyDescent="0.2">
      <c r="B42" s="60"/>
      <c r="C42" s="60"/>
      <c r="D42" s="72"/>
      <c r="E42" s="72"/>
      <c r="F42" s="72"/>
      <c r="G42" s="72"/>
      <c r="H42" s="72"/>
      <c r="I42" s="72"/>
      <c r="J42" s="72"/>
      <c r="K42" s="72"/>
      <c r="L42" s="72"/>
      <c r="M42" s="72"/>
      <c r="N42" s="72"/>
      <c r="O42" s="72"/>
      <c r="P42" s="72"/>
      <c r="Q42" s="72"/>
      <c r="R42" s="72"/>
      <c r="S42" s="72"/>
      <c r="T42" s="72"/>
      <c r="U42" s="72"/>
      <c r="V42" s="72"/>
      <c r="W42" s="72"/>
      <c r="X42" s="72"/>
      <c r="Y42" s="72"/>
      <c r="Z42" s="636"/>
      <c r="AA42" s="72"/>
      <c r="AB42" s="118"/>
      <c r="AC42" s="77"/>
      <c r="AD42" s="114"/>
      <c r="AE42" s="116" t="str">
        <f>'Sprachen &amp; Rückgabewerte(2)'!$H$35</f>
        <v>Oberfläche:</v>
      </c>
      <c r="AF42" s="116"/>
      <c r="AG42" s="115"/>
      <c r="AH42" s="115"/>
      <c r="AI42" s="115"/>
      <c r="AJ42" s="115"/>
      <c r="AK42" s="115"/>
      <c r="AL42" s="115"/>
      <c r="AM42" s="134"/>
      <c r="AN42" s="115"/>
      <c r="AO42" s="115"/>
      <c r="AP42" s="115"/>
      <c r="AQ42" s="115"/>
      <c r="AR42" s="115"/>
      <c r="AS42" s="115"/>
      <c r="AT42" s="109"/>
      <c r="AU42" s="110"/>
      <c r="AW42" s="185" t="str">
        <f>IF(AND(AP10&gt;0,'Sprachen &amp; Rückgabewerte(2)'!$I$19=TRUE),CONCATENATE("Pos. ",'Pos. 2'!$B$2,".10"),"")</f>
        <v/>
      </c>
      <c r="AX42" s="734"/>
      <c r="AY42" s="735"/>
      <c r="AZ42" s="61"/>
      <c r="BA42" s="110"/>
    </row>
    <row r="43" spans="2:53" ht="12.75" customHeight="1" x14ac:dyDescent="0.2">
      <c r="B43" s="60"/>
      <c r="C43" s="60"/>
      <c r="D43" s="72"/>
      <c r="E43" s="72"/>
      <c r="F43" s="72"/>
      <c r="G43" s="72"/>
      <c r="H43" s="72"/>
      <c r="I43" s="72"/>
      <c r="J43" s="72"/>
      <c r="K43" s="72"/>
      <c r="L43" s="72"/>
      <c r="M43" s="72"/>
      <c r="N43" s="72"/>
      <c r="O43" s="72"/>
      <c r="P43" s="72"/>
      <c r="Q43" s="72"/>
      <c r="R43" s="72"/>
      <c r="S43" s="72"/>
      <c r="T43" s="72"/>
      <c r="U43" s="72"/>
      <c r="V43" s="72"/>
      <c r="W43" s="72"/>
      <c r="X43" s="72"/>
      <c r="Y43" s="72"/>
      <c r="Z43" s="637"/>
      <c r="AA43" s="72"/>
      <c r="AB43" s="118"/>
      <c r="AC43" s="77"/>
      <c r="AD43" s="117"/>
      <c r="AE43" s="72"/>
      <c r="AF43" s="174" t="str">
        <f>'Sprachen &amp; Rückgabewerte(2)'!H36</f>
        <v>eloxiert (Qualanod):</v>
      </c>
      <c r="AG43" s="72"/>
      <c r="AH43" s="72"/>
      <c r="AI43" s="72"/>
      <c r="AJ43" s="72"/>
      <c r="AK43" s="72"/>
      <c r="AL43" s="72"/>
      <c r="AM43" s="604"/>
      <c r="AN43" s="604"/>
      <c r="AO43" s="604"/>
      <c r="AP43" s="604"/>
      <c r="AQ43" s="604"/>
      <c r="AR43" s="604"/>
      <c r="AS43" s="604"/>
      <c r="AT43" s="110"/>
      <c r="AU43" s="110"/>
      <c r="AW43" s="200">
        <f>COUNTBLANK(AW33:AW42)</f>
        <v>10</v>
      </c>
      <c r="AX43" s="201">
        <f>COUNTBLANK(AX33:AX42)</f>
        <v>10</v>
      </c>
      <c r="AY43" s="201">
        <f>AW43-AX43</f>
        <v>0</v>
      </c>
      <c r="AZ43" s="84"/>
      <c r="BA43" s="111"/>
    </row>
    <row r="44" spans="2:53" ht="12.75" customHeight="1" x14ac:dyDescent="0.2">
      <c r="B44" s="60"/>
      <c r="C44" s="60"/>
      <c r="D44" s="72"/>
      <c r="E44" s="72"/>
      <c r="F44" s="72"/>
      <c r="G44" s="72"/>
      <c r="H44" s="72"/>
      <c r="I44" s="72"/>
      <c r="J44" s="72"/>
      <c r="K44" s="72"/>
      <c r="L44" s="72"/>
      <c r="M44" s="72"/>
      <c r="N44" s="72"/>
      <c r="O44" s="72"/>
      <c r="P44" s="722" t="str">
        <f>'Sprachen &amp; Rückgabewerte(2)'!$H$33</f>
        <v>Griffhöhe:</v>
      </c>
      <c r="Q44" s="722"/>
      <c r="R44" s="722"/>
      <c r="S44" s="722"/>
      <c r="T44" s="72"/>
      <c r="U44" s="72"/>
      <c r="V44" s="72"/>
      <c r="W44" s="72"/>
      <c r="X44" s="72"/>
      <c r="Y44" s="72"/>
      <c r="Z44" s="637"/>
      <c r="AA44" s="72"/>
      <c r="AB44" s="118"/>
      <c r="AC44" s="77"/>
      <c r="AD44" s="117"/>
      <c r="AE44" s="72"/>
      <c r="AF44" s="443"/>
      <c r="AG44" s="73"/>
      <c r="AH44" s="72"/>
      <c r="AI44" s="72"/>
      <c r="AJ44" s="72"/>
      <c r="AK44" s="72"/>
      <c r="AL44" s="72"/>
      <c r="AM44" s="442"/>
      <c r="AN44" s="443"/>
      <c r="AO44" s="613"/>
      <c r="AP44" s="613"/>
      <c r="AQ44" s="613"/>
      <c r="AR44" s="613"/>
      <c r="AS44" s="613"/>
      <c r="AT44" s="110"/>
      <c r="AU44" s="110"/>
    </row>
    <row r="45" spans="2:53" ht="12.75" customHeight="1" x14ac:dyDescent="0.2">
      <c r="B45" s="60"/>
      <c r="C45" s="60"/>
      <c r="D45" s="72"/>
      <c r="E45" s="72"/>
      <c r="F45" s="72"/>
      <c r="G45" s="72"/>
      <c r="H45" s="72"/>
      <c r="I45" s="72"/>
      <c r="J45" s="72"/>
      <c r="K45" s="72"/>
      <c r="L45" s="72"/>
      <c r="M45" s="72"/>
      <c r="N45" s="72"/>
      <c r="O45" s="72"/>
      <c r="P45" s="722"/>
      <c r="Q45" s="722"/>
      <c r="R45" s="722"/>
      <c r="S45" s="722"/>
      <c r="T45" s="598"/>
      <c r="U45" s="599"/>
      <c r="V45" s="73" t="s">
        <v>176</v>
      </c>
      <c r="W45" s="72"/>
      <c r="X45" s="72"/>
      <c r="Y45" s="72"/>
      <c r="Z45" s="638"/>
      <c r="AA45" s="72"/>
      <c r="AB45" s="118"/>
      <c r="AC45" s="77"/>
      <c r="AD45" s="117"/>
      <c r="AE45" s="72"/>
      <c r="AF45" s="442" t="str">
        <f>'Sprachen &amp; Rückgabewerte(2)'!$H$39</f>
        <v>pulverbeschichtet:</v>
      </c>
      <c r="AG45" s="147"/>
      <c r="AH45" s="147"/>
      <c r="AI45" s="147"/>
      <c r="AJ45" s="147"/>
      <c r="AK45" s="147"/>
      <c r="AL45" s="147"/>
      <c r="AM45" s="629"/>
      <c r="AN45" s="630"/>
      <c r="AO45" s="630"/>
      <c r="AP45" s="630"/>
      <c r="AQ45" s="630"/>
      <c r="AR45" s="630"/>
      <c r="AS45" s="631"/>
      <c r="AT45" s="110"/>
      <c r="AU45" s="199"/>
      <c r="AV45" s="109"/>
      <c r="AW45" s="107"/>
      <c r="AX45" s="109"/>
    </row>
    <row r="46" spans="2:53" ht="12.75" customHeight="1" x14ac:dyDescent="0.2">
      <c r="B46" s="60"/>
      <c r="C46" s="60"/>
      <c r="D46" s="72"/>
      <c r="E46" s="72"/>
      <c r="F46" s="72"/>
      <c r="G46" s="72"/>
      <c r="H46" s="72"/>
      <c r="I46" s="716"/>
      <c r="J46" s="716"/>
      <c r="K46" s="716"/>
      <c r="L46" s="157" t="s">
        <v>190</v>
      </c>
      <c r="M46" s="72"/>
      <c r="N46" s="72"/>
      <c r="O46" s="72"/>
      <c r="P46" s="72"/>
      <c r="Q46" s="72"/>
      <c r="R46" s="72"/>
      <c r="S46" s="72"/>
      <c r="T46" s="72"/>
      <c r="U46" s="72"/>
      <c r="V46" s="72"/>
      <c r="W46" s="72"/>
      <c r="X46" s="72"/>
      <c r="Y46" s="72"/>
      <c r="Z46" s="634" t="str">
        <f>'Sprachen &amp; Rückgabewerte(2)'!$H$34</f>
        <v xml:space="preserve">Höhe = </v>
      </c>
      <c r="AA46" s="72"/>
      <c r="AB46" s="118"/>
      <c r="AC46" s="77"/>
      <c r="AD46" s="117"/>
      <c r="AE46" s="72"/>
      <c r="AF46" s="442" t="str">
        <f>'Sprachen &amp; Rückgabewerte(2)'!$H$40</f>
        <v>Vorbehandlung:</v>
      </c>
      <c r="AG46" s="72"/>
      <c r="AH46" s="72"/>
      <c r="AI46" s="72"/>
      <c r="AJ46" s="72"/>
      <c r="AK46" s="72"/>
      <c r="AL46" s="72"/>
      <c r="AM46" s="642"/>
      <c r="AN46" s="643"/>
      <c r="AO46" s="643"/>
      <c r="AP46" s="643"/>
      <c r="AQ46" s="643"/>
      <c r="AR46" s="643"/>
      <c r="AS46" s="644"/>
      <c r="AT46" s="110"/>
      <c r="AU46" s="110"/>
      <c r="AW46" s="229" t="str">
        <f>'Sprachen &amp; Rückgabewerte(2)'!$H$150</f>
        <v>Farbe Panele:</v>
      </c>
      <c r="AX46" s="110"/>
    </row>
    <row r="47" spans="2:53" ht="12.75" customHeight="1" x14ac:dyDescent="0.2">
      <c r="B47" s="60"/>
      <c r="C47" s="60"/>
      <c r="D47" s="72"/>
      <c r="E47" s="72"/>
      <c r="F47" s="72"/>
      <c r="G47" s="72"/>
      <c r="H47" s="72"/>
      <c r="I47" s="716"/>
      <c r="J47" s="716"/>
      <c r="K47" s="716"/>
      <c r="L47" s="157" t="s">
        <v>190</v>
      </c>
      <c r="M47" s="72"/>
      <c r="N47" s="72"/>
      <c r="O47" s="445"/>
      <c r="P47" s="72"/>
      <c r="Q47" s="72"/>
      <c r="R47" s="72"/>
      <c r="S47" s="72"/>
      <c r="T47" s="72"/>
      <c r="U47" s="72"/>
      <c r="V47" s="72"/>
      <c r="W47" s="72"/>
      <c r="X47" s="72"/>
      <c r="Y47" s="72"/>
      <c r="Z47" s="635"/>
      <c r="AA47" s="445"/>
      <c r="AB47" s="118"/>
      <c r="AC47" s="78"/>
      <c r="AD47" s="117"/>
      <c r="AE47" s="72"/>
      <c r="AF47" s="442" t="str">
        <f>'Sprachen &amp; Rückgabewerte(2)'!H176</f>
        <v>Pulverlack Klasse:</v>
      </c>
      <c r="AG47" s="72"/>
      <c r="AH47" s="72"/>
      <c r="AI47" s="72"/>
      <c r="AJ47" s="72"/>
      <c r="AK47" s="72"/>
      <c r="AL47" s="72"/>
      <c r="AM47" s="619"/>
      <c r="AN47" s="620"/>
      <c r="AO47" s="620"/>
      <c r="AP47" s="620"/>
      <c r="AQ47" s="620"/>
      <c r="AR47" s="620"/>
      <c r="AS47" s="621"/>
      <c r="AT47" s="110"/>
      <c r="AU47" s="110"/>
      <c r="AW47" s="60"/>
      <c r="AX47" s="110"/>
    </row>
    <row r="48" spans="2:53" ht="12.75" customHeight="1" x14ac:dyDescent="0.2">
      <c r="B48" s="60"/>
      <c r="C48" s="60"/>
      <c r="D48" s="72"/>
      <c r="E48" s="72"/>
      <c r="F48" s="72"/>
      <c r="G48" s="72"/>
      <c r="H48" s="72"/>
      <c r="I48" s="721"/>
      <c r="J48" s="721"/>
      <c r="K48" s="721"/>
      <c r="L48" s="157" t="s">
        <v>190</v>
      </c>
      <c r="M48" s="72"/>
      <c r="N48" s="72"/>
      <c r="O48" s="445"/>
      <c r="P48" s="72"/>
      <c r="Q48" s="72"/>
      <c r="R48" s="72"/>
      <c r="S48" s="72"/>
      <c r="T48" s="72"/>
      <c r="U48" s="72"/>
      <c r="V48" s="72"/>
      <c r="W48" s="72"/>
      <c r="X48" s="72"/>
      <c r="Y48" s="72"/>
      <c r="Z48" s="635"/>
      <c r="AA48" s="445"/>
      <c r="AB48" s="118"/>
      <c r="AC48" s="78"/>
      <c r="AD48" s="117"/>
      <c r="AE48" s="72"/>
      <c r="AF48" s="627" t="str">
        <f>'Sprachen &amp; Rückgabewerte(2)'!$H$91</f>
        <v>Farbe Laufschiene + Schraubenarretierungen:</v>
      </c>
      <c r="AG48" s="627"/>
      <c r="AH48" s="627"/>
      <c r="AI48" s="627"/>
      <c r="AJ48" s="627"/>
      <c r="AK48" s="627"/>
      <c r="AL48" s="627"/>
      <c r="AM48" s="61"/>
      <c r="AN48" s="61"/>
      <c r="AO48" s="442"/>
      <c r="AP48" s="72"/>
      <c r="AQ48" s="72"/>
      <c r="AR48" s="72"/>
      <c r="AS48" s="72"/>
      <c r="AT48" s="110"/>
      <c r="AU48" s="110"/>
      <c r="AW48" s="586"/>
      <c r="AX48" s="587"/>
    </row>
    <row r="49" spans="2:50" ht="12.75" customHeight="1" x14ac:dyDescent="0.2">
      <c r="B49" s="60"/>
      <c r="C49" s="60"/>
      <c r="D49" s="72"/>
      <c r="E49" s="72"/>
      <c r="F49" s="72"/>
      <c r="G49" s="72"/>
      <c r="H49" s="75" t="str">
        <f>'Sprachen &amp; Rückgabewerte(2)'!$H$32</f>
        <v>Breite =</v>
      </c>
      <c r="I49" s="718"/>
      <c r="J49" s="719"/>
      <c r="K49" s="720"/>
      <c r="L49" s="73" t="s">
        <v>176</v>
      </c>
      <c r="M49" s="72"/>
      <c r="N49" s="72"/>
      <c r="O49" s="445"/>
      <c r="P49" s="72"/>
      <c r="Q49" s="72"/>
      <c r="R49" s="72"/>
      <c r="S49" s="72"/>
      <c r="T49" s="72"/>
      <c r="U49" s="72"/>
      <c r="V49" s="72"/>
      <c r="W49" s="72"/>
      <c r="X49" s="72"/>
      <c r="Y49" s="72"/>
      <c r="Z49" s="635"/>
      <c r="AA49" s="445"/>
      <c r="AB49" s="118"/>
      <c r="AC49" s="78"/>
      <c r="AD49" s="117"/>
      <c r="AE49" s="72"/>
      <c r="AF49" s="627"/>
      <c r="AG49" s="627"/>
      <c r="AH49" s="627"/>
      <c r="AI49" s="627"/>
      <c r="AJ49" s="627"/>
      <c r="AK49" s="627"/>
      <c r="AL49" s="627"/>
      <c r="AM49" s="723"/>
      <c r="AN49" s="724"/>
      <c r="AO49" s="724"/>
      <c r="AP49" s="725"/>
      <c r="AQ49" s="72"/>
      <c r="AR49" s="72"/>
      <c r="AS49" s="72"/>
      <c r="AT49" s="110"/>
      <c r="AU49" s="110"/>
      <c r="AW49" s="68"/>
      <c r="AX49" s="111"/>
    </row>
    <row r="50" spans="2:50" ht="12.75" customHeight="1" x14ac:dyDescent="0.2">
      <c r="B50" s="60"/>
      <c r="C50" s="60"/>
      <c r="D50" s="72"/>
      <c r="E50" s="72"/>
      <c r="F50" s="72"/>
      <c r="G50" s="72"/>
      <c r="H50" s="61"/>
      <c r="I50" s="61"/>
      <c r="J50" s="61"/>
      <c r="K50" s="61"/>
      <c r="L50" s="61"/>
      <c r="M50" s="72"/>
      <c r="N50" s="72"/>
      <c r="O50" s="72"/>
      <c r="P50" s="72"/>
      <c r="Q50" s="72"/>
      <c r="R50" s="72"/>
      <c r="S50" s="72"/>
      <c r="T50" s="72"/>
      <c r="U50" s="72"/>
      <c r="V50" s="72"/>
      <c r="W50" s="72"/>
      <c r="X50" s="72"/>
      <c r="Y50" s="72"/>
      <c r="Z50" s="635"/>
      <c r="AA50" s="72"/>
      <c r="AB50" s="118"/>
      <c r="AC50" s="78"/>
      <c r="AD50" s="119"/>
      <c r="AE50" s="120"/>
      <c r="AF50" s="628"/>
      <c r="AG50" s="628"/>
      <c r="AH50" s="628"/>
      <c r="AI50" s="628"/>
      <c r="AJ50" s="628"/>
      <c r="AK50" s="628"/>
      <c r="AL50" s="628"/>
      <c r="AM50" s="135"/>
      <c r="AN50" s="120"/>
      <c r="AO50" s="120"/>
      <c r="AP50" s="120"/>
      <c r="AQ50" s="120"/>
      <c r="AR50" s="120"/>
      <c r="AS50" s="120"/>
      <c r="AT50" s="111"/>
      <c r="AU50" s="110"/>
    </row>
    <row r="51" spans="2:50" ht="12.75" customHeight="1" x14ac:dyDescent="0.2">
      <c r="B51" s="60"/>
      <c r="C51" s="60"/>
      <c r="D51" s="72"/>
      <c r="E51" s="72"/>
      <c r="F51" s="72"/>
      <c r="G51" s="72"/>
      <c r="H51" s="61"/>
      <c r="I51" s="61"/>
      <c r="J51" s="61"/>
      <c r="K51" s="61"/>
      <c r="L51" s="61"/>
      <c r="M51" s="72"/>
      <c r="N51" s="72"/>
      <c r="O51" s="72"/>
      <c r="P51" s="72"/>
      <c r="Q51" s="72"/>
      <c r="R51" s="72"/>
      <c r="S51" s="72"/>
      <c r="T51" s="72"/>
      <c r="U51" s="72"/>
      <c r="V51" s="72"/>
      <c r="W51" s="72"/>
      <c r="X51" s="72"/>
      <c r="Y51" s="72"/>
      <c r="Z51" s="635"/>
      <c r="AA51" s="72"/>
      <c r="AB51" s="118"/>
      <c r="AC51" s="78"/>
      <c r="AD51" s="72"/>
      <c r="AE51" s="72"/>
      <c r="AF51" s="72"/>
      <c r="AG51" s="72"/>
      <c r="AH51" s="72"/>
      <c r="AI51" s="72"/>
      <c r="AJ51" s="72"/>
      <c r="AK51" s="72"/>
      <c r="AL51" s="72"/>
      <c r="AM51" s="442"/>
      <c r="AN51" s="72"/>
      <c r="AO51" s="72"/>
      <c r="AP51" s="72"/>
      <c r="AQ51" s="72"/>
      <c r="AR51" s="72"/>
      <c r="AS51" s="72"/>
      <c r="AT51" s="61"/>
      <c r="AU51" s="110"/>
    </row>
    <row r="52" spans="2:50" ht="12.75" customHeight="1" x14ac:dyDescent="0.2">
      <c r="B52" s="60"/>
      <c r="C52" s="60"/>
      <c r="D52" s="72"/>
      <c r="E52" s="72"/>
      <c r="F52" s="72"/>
      <c r="G52" s="72"/>
      <c r="H52" s="72"/>
      <c r="I52" s="75"/>
      <c r="J52" s="72"/>
      <c r="K52" s="72"/>
      <c r="L52" s="73"/>
      <c r="M52" s="72"/>
      <c r="N52" s="72"/>
      <c r="O52" s="72"/>
      <c r="P52" s="72"/>
      <c r="Q52" s="72"/>
      <c r="R52" s="72"/>
      <c r="S52" s="72"/>
      <c r="T52" s="72"/>
      <c r="U52" s="72"/>
      <c r="V52" s="72"/>
      <c r="W52" s="72"/>
      <c r="X52" s="72"/>
      <c r="Y52" s="72"/>
      <c r="Z52" s="635"/>
      <c r="AA52" s="72"/>
      <c r="AB52" s="118"/>
      <c r="AC52" s="78"/>
      <c r="AD52" s="114"/>
      <c r="AE52" s="116" t="str">
        <f>'Sprachen &amp; Rückgabewerte(2)'!$H$42</f>
        <v>Glas-Typ: SG = "Sky-Glass"</v>
      </c>
      <c r="AF52" s="116"/>
      <c r="AG52" s="115"/>
      <c r="AH52" s="115"/>
      <c r="AI52" s="115"/>
      <c r="AJ52" s="115"/>
      <c r="AK52" s="115"/>
      <c r="AL52" s="115"/>
      <c r="AM52" s="134"/>
      <c r="AN52" s="115"/>
      <c r="AO52" s="115"/>
      <c r="AP52" s="115"/>
      <c r="AQ52" s="115"/>
      <c r="AR52" s="115"/>
      <c r="AS52" s="115"/>
      <c r="AT52" s="324"/>
      <c r="AU52" s="110"/>
    </row>
    <row r="53" spans="2:50" ht="12.75" customHeight="1" x14ac:dyDescent="0.2">
      <c r="B53" s="60"/>
      <c r="C53" s="60"/>
      <c r="D53" s="72"/>
      <c r="E53" s="72"/>
      <c r="F53" s="72"/>
      <c r="G53" s="72"/>
      <c r="H53" s="61"/>
      <c r="I53" s="61"/>
      <c r="J53" s="61"/>
      <c r="K53" s="61"/>
      <c r="L53" s="72"/>
      <c r="M53" s="73"/>
      <c r="N53" s="72"/>
      <c r="O53" s="72"/>
      <c r="P53" s="72"/>
      <c r="Q53" s="72"/>
      <c r="R53" s="72"/>
      <c r="S53" s="72"/>
      <c r="T53" s="72"/>
      <c r="U53" s="72"/>
      <c r="V53" s="72"/>
      <c r="W53" s="72"/>
      <c r="X53" s="72"/>
      <c r="Y53" s="72"/>
      <c r="Z53" s="635"/>
      <c r="AA53" s="72"/>
      <c r="AB53" s="118"/>
      <c r="AC53" s="78"/>
      <c r="AD53" s="117"/>
      <c r="AE53" s="610"/>
      <c r="AF53" s="611"/>
      <c r="AG53" s="612"/>
      <c r="AH53" s="72" t="str">
        <f>'Sprachen &amp; Rückgabewerte(2)'!$AJ$1</f>
        <v>Ug=</v>
      </c>
      <c r="AI53" s="626">
        <f>LOOKUP($AE$53,'Sprachen &amp; Rückgabewerte(2)'!$AI$3:$AI$45,'Sprachen &amp; Rückgabewerte(2)'!AJ3:AJ45)</f>
        <v>0</v>
      </c>
      <c r="AJ53" s="626"/>
      <c r="AK53" s="726" t="str">
        <f>'Sprachen &amp; Rückgabewerte(2)'!$AK$1</f>
        <v>Lt=</v>
      </c>
      <c r="AL53" s="726"/>
      <c r="AM53" s="625">
        <f>LOOKUP(AE53,'Sprachen &amp; Rückgabewerte(2)'!AI3:AI45,'Sprachen &amp; Rückgabewerte(2)'!AK3:AK45)</f>
        <v>0</v>
      </c>
      <c r="AN53" s="625"/>
      <c r="AO53" s="203" t="str">
        <f>'Sprachen &amp; Rückgabewerte(2)'!$AL$1</f>
        <v>g=</v>
      </c>
      <c r="AP53" s="625">
        <f>LOOKUP(AE53,'Sprachen &amp; Rückgabewerte(2)'!AI3:AI45,'Sprachen &amp; Rückgabewerte(2)'!AL3:AL45)</f>
        <v>0</v>
      </c>
      <c r="AQ53" s="625"/>
      <c r="AR53" s="72"/>
      <c r="AS53" s="72"/>
      <c r="AT53" s="110"/>
      <c r="AU53" s="110"/>
    </row>
    <row r="54" spans="2:50" ht="12.75" customHeight="1" x14ac:dyDescent="0.2">
      <c r="B54" s="60"/>
      <c r="C54" s="60"/>
      <c r="D54" s="72"/>
      <c r="E54" s="72"/>
      <c r="F54" s="72"/>
      <c r="G54" s="72"/>
      <c r="H54" s="72"/>
      <c r="I54" s="72"/>
      <c r="J54" s="72"/>
      <c r="K54" s="72"/>
      <c r="L54" s="72"/>
      <c r="M54" s="72"/>
      <c r="N54" s="72"/>
      <c r="O54" s="72"/>
      <c r="P54" s="72"/>
      <c r="Q54" s="72"/>
      <c r="R54" s="72"/>
      <c r="S54" s="72"/>
      <c r="T54" s="72"/>
      <c r="U54" s="72"/>
      <c r="V54" s="72"/>
      <c r="W54" s="72"/>
      <c r="X54" s="72"/>
      <c r="Y54" s="72"/>
      <c r="Z54" s="635"/>
      <c r="AA54" s="72"/>
      <c r="AB54" s="118"/>
      <c r="AC54" s="72"/>
      <c r="AD54" s="117"/>
      <c r="AE54" s="72"/>
      <c r="AF54" s="72"/>
      <c r="AG54" s="72"/>
      <c r="AH54" s="73" t="str">
        <f>IF(AT52=1,'Sprachen &amp; Rückgabewerte(2)'!H158,LOOKUP(AE53,'Sprachen &amp; Rückgabewerte(2)'!AI3:AI45,'Sprachen &amp; Rückgabewerte(2)'!AM3:AM45))</f>
        <v>Glastyp wählen</v>
      </c>
      <c r="AI54" s="72"/>
      <c r="AJ54" s="72"/>
      <c r="AK54" s="72"/>
      <c r="AL54" s="72"/>
      <c r="AM54" s="442"/>
      <c r="AN54" s="79"/>
      <c r="AO54" s="79"/>
      <c r="AP54" s="72"/>
      <c r="AQ54" s="72"/>
      <c r="AR54" s="72"/>
      <c r="AS54" s="72"/>
      <c r="AT54" s="110"/>
      <c r="AU54" s="110"/>
    </row>
    <row r="55" spans="2:50" ht="12.75" customHeight="1" x14ac:dyDescent="0.2">
      <c r="B55" s="60"/>
      <c r="C55" s="60"/>
      <c r="D55" s="72"/>
      <c r="E55" s="72"/>
      <c r="F55" s="72"/>
      <c r="G55" s="72"/>
      <c r="H55" s="72"/>
      <c r="I55" s="72"/>
      <c r="J55" s="72"/>
      <c r="K55" s="72"/>
      <c r="L55" s="72"/>
      <c r="M55" s="72"/>
      <c r="N55" s="72"/>
      <c r="O55" s="72"/>
      <c r="P55" s="72"/>
      <c r="Q55" s="72"/>
      <c r="R55" s="72"/>
      <c r="S55" s="72"/>
      <c r="T55" s="72"/>
      <c r="U55" s="72"/>
      <c r="V55" s="72"/>
      <c r="W55" s="72"/>
      <c r="X55" s="72"/>
      <c r="Y55" s="72"/>
      <c r="Z55" s="72"/>
      <c r="AA55" s="72"/>
      <c r="AB55" s="118"/>
      <c r="AC55" s="72"/>
      <c r="AD55" s="117"/>
      <c r="AE55" s="662" t="str">
        <f>'Sprachen &amp; Rückgabewerte(2)'!$H$94</f>
        <v>Druckausgleichsventile :</v>
      </c>
      <c r="AF55" s="662"/>
      <c r="AG55" s="662"/>
      <c r="AH55" s="662"/>
      <c r="AI55" s="662"/>
      <c r="AJ55" s="662"/>
      <c r="AK55" s="662"/>
      <c r="AL55" s="662"/>
      <c r="AM55" s="662"/>
      <c r="AN55" s="717"/>
      <c r="AO55" s="560"/>
      <c r="AP55" s="562"/>
      <c r="AQ55" s="72"/>
      <c r="AR55" s="80" t="s">
        <v>347</v>
      </c>
      <c r="AS55" s="72"/>
      <c r="AT55" s="110"/>
      <c r="AU55" s="110"/>
    </row>
    <row r="56" spans="2:50" ht="12.75" customHeight="1" x14ac:dyDescent="0.2">
      <c r="B56" s="60"/>
      <c r="C56" s="60"/>
      <c r="D56" s="72"/>
      <c r="E56" s="72"/>
      <c r="F56" s="72"/>
      <c r="G56" s="72"/>
      <c r="H56" s="72"/>
      <c r="I56" s="72"/>
      <c r="J56" s="72"/>
      <c r="K56" s="72"/>
      <c r="L56" s="72"/>
      <c r="M56" s="72"/>
      <c r="N56" s="72"/>
      <c r="O56" s="72"/>
      <c r="P56" s="72"/>
      <c r="Q56" s="72"/>
      <c r="R56" s="72"/>
      <c r="S56" s="72"/>
      <c r="T56" s="72"/>
      <c r="U56" s="72"/>
      <c r="V56" s="72"/>
      <c r="W56" s="72"/>
      <c r="X56" s="72"/>
      <c r="Y56" s="72"/>
      <c r="Z56" s="72"/>
      <c r="AA56" s="72"/>
      <c r="AB56" s="118"/>
      <c r="AC56" s="72"/>
      <c r="AD56" s="117"/>
      <c r="AE56" s="72"/>
      <c r="AF56" s="127" t="str">
        <f>'Sprachen &amp; Rückgabewerte(2)'!$H$43</f>
        <v>Swisspacer-U schwarz</v>
      </c>
      <c r="AG56" s="72"/>
      <c r="AH56" s="72"/>
      <c r="AI56" s="72"/>
      <c r="AJ56" s="72"/>
      <c r="AK56" s="72"/>
      <c r="AL56" s="72"/>
      <c r="AM56" s="72"/>
      <c r="AN56" s="127" t="str">
        <f>'Sprachen &amp; Rückgabewerte(2)'!$H$44</f>
        <v>Swisspacer-U grau</v>
      </c>
      <c r="AQ56" s="72"/>
      <c r="AS56" s="80"/>
      <c r="AT56" s="110"/>
      <c r="AU56" s="110"/>
    </row>
    <row r="57" spans="2:50" ht="12.75" customHeight="1" x14ac:dyDescent="0.2">
      <c r="B57" s="60"/>
      <c r="C57" s="60"/>
      <c r="D57" s="72"/>
      <c r="E57" s="72"/>
      <c r="F57" s="72"/>
      <c r="G57" s="72"/>
      <c r="H57" s="72"/>
      <c r="I57" s="72"/>
      <c r="J57" s="72"/>
      <c r="K57" s="72"/>
      <c r="L57" s="72"/>
      <c r="M57" s="72"/>
      <c r="N57" s="72"/>
      <c r="O57" s="72"/>
      <c r="P57" s="72"/>
      <c r="Q57" s="72"/>
      <c r="R57" s="72"/>
      <c r="S57" s="72"/>
      <c r="T57" s="72"/>
      <c r="U57" s="72"/>
      <c r="V57" s="72"/>
      <c r="W57" s="72"/>
      <c r="X57" s="72"/>
      <c r="Y57" s="72"/>
      <c r="Z57" s="72"/>
      <c r="AA57" s="72"/>
      <c r="AB57" s="118"/>
      <c r="AC57" s="72"/>
      <c r="AD57" s="117"/>
      <c r="AE57" s="72"/>
      <c r="AF57" s="127" t="str">
        <f>'Sprachen &amp; Rückgabewerte(2)'!$H$45</f>
        <v>Speziell:</v>
      </c>
      <c r="AG57" s="72"/>
      <c r="AH57" s="72"/>
      <c r="AI57" s="622"/>
      <c r="AJ57" s="623"/>
      <c r="AK57" s="623"/>
      <c r="AL57" s="623"/>
      <c r="AM57" s="623"/>
      <c r="AN57" s="623"/>
      <c r="AO57" s="623"/>
      <c r="AP57" s="623"/>
      <c r="AQ57" s="623"/>
      <c r="AR57" s="623"/>
      <c r="AS57" s="624"/>
      <c r="AT57" s="110"/>
      <c r="AU57" s="110"/>
    </row>
    <row r="58" spans="2:50" ht="12.75" customHeight="1" x14ac:dyDescent="0.2">
      <c r="B58" s="60"/>
      <c r="C58" s="60"/>
      <c r="D58" s="72"/>
      <c r="E58" s="72"/>
      <c r="F58" s="72"/>
      <c r="G58" s="72"/>
      <c r="H58" s="72"/>
      <c r="I58" s="75"/>
      <c r="J58" s="73"/>
      <c r="K58" s="73"/>
      <c r="L58" s="73"/>
      <c r="M58" s="73"/>
      <c r="N58" s="73"/>
      <c r="O58" s="72"/>
      <c r="P58" s="72"/>
      <c r="Q58" s="72"/>
      <c r="R58" s="72"/>
      <c r="S58" s="72"/>
      <c r="T58" s="72"/>
      <c r="U58" s="72"/>
      <c r="V58" s="72"/>
      <c r="W58" s="72"/>
      <c r="X58" s="72"/>
      <c r="Y58" s="72"/>
      <c r="Z58" s="72"/>
      <c r="AA58" s="72"/>
      <c r="AB58" s="118"/>
      <c r="AC58" s="72"/>
      <c r="AD58" s="119"/>
      <c r="AE58" s="120"/>
      <c r="AF58" s="120"/>
      <c r="AG58" s="120"/>
      <c r="AH58" s="120"/>
      <c r="AI58" s="148"/>
      <c r="AJ58" s="148"/>
      <c r="AK58" s="148"/>
      <c r="AL58" s="148"/>
      <c r="AM58" s="148"/>
      <c r="AN58" s="148"/>
      <c r="AO58" s="148"/>
      <c r="AP58" s="148"/>
      <c r="AQ58" s="148"/>
      <c r="AR58" s="148"/>
      <c r="AS58" s="148"/>
      <c r="AT58" s="111"/>
      <c r="AU58" s="110"/>
    </row>
    <row r="59" spans="2:50" ht="12.75" customHeight="1" x14ac:dyDescent="0.2">
      <c r="B59" s="60"/>
      <c r="C59" s="60"/>
      <c r="D59" s="72"/>
      <c r="E59" s="72"/>
      <c r="F59" s="72"/>
      <c r="G59" s="72"/>
      <c r="H59" s="72"/>
      <c r="I59" s="75"/>
      <c r="J59" s="73"/>
      <c r="K59" s="73"/>
      <c r="L59" s="73"/>
      <c r="M59" s="73"/>
      <c r="N59" s="73"/>
      <c r="O59" s="72"/>
      <c r="P59" s="72"/>
      <c r="Q59" s="600" t="str">
        <f>IF('Sprachen &amp; Rückgabewerte(2)'!C54=TRUE,'Sprachen &amp; Rückgabewerte(2)'!H160,"")</f>
        <v/>
      </c>
      <c r="R59" s="600"/>
      <c r="S59" s="600"/>
      <c r="T59" s="600"/>
      <c r="U59" s="600"/>
      <c r="V59" s="600"/>
      <c r="W59" s="600"/>
      <c r="X59" s="600"/>
      <c r="Y59" s="600"/>
      <c r="Z59" s="600"/>
      <c r="AA59" s="600"/>
      <c r="AB59" s="601"/>
      <c r="AC59" s="72"/>
      <c r="AD59" s="72"/>
      <c r="AE59" s="72"/>
      <c r="AF59" s="72"/>
      <c r="AG59" s="72"/>
      <c r="AH59" s="72"/>
      <c r="AI59" s="79"/>
      <c r="AJ59" s="79"/>
      <c r="AK59" s="79"/>
      <c r="AL59" s="79"/>
      <c r="AM59" s="79"/>
      <c r="AN59" s="79"/>
      <c r="AO59" s="79"/>
      <c r="AP59" s="79"/>
      <c r="AQ59" s="79"/>
      <c r="AR59" s="79"/>
      <c r="AS59" s="79"/>
      <c r="AT59" s="61"/>
      <c r="AU59" s="110"/>
    </row>
    <row r="60" spans="2:50" ht="12.75" customHeight="1" x14ac:dyDescent="0.2">
      <c r="B60" s="60"/>
      <c r="C60" s="68"/>
      <c r="D60" s="120"/>
      <c r="E60" s="120"/>
      <c r="F60" s="177" t="str">
        <f>'Sprachen &amp; Rückgabewerte(2)'!$H$110</f>
        <v>KABA (22)</v>
      </c>
      <c r="G60" s="120"/>
      <c r="H60" s="120"/>
      <c r="I60" s="120"/>
      <c r="J60" s="120"/>
      <c r="K60" s="120"/>
      <c r="L60" s="177" t="str">
        <f>'Sprachen &amp; Rückgabewerte(2)'!$H$111</f>
        <v>PZ / Euro (17)</v>
      </c>
      <c r="M60" s="120"/>
      <c r="N60" s="120"/>
      <c r="O60" s="120"/>
      <c r="P60" s="120"/>
      <c r="Q60" s="602"/>
      <c r="R60" s="602"/>
      <c r="S60" s="602"/>
      <c r="T60" s="602"/>
      <c r="U60" s="602"/>
      <c r="V60" s="602"/>
      <c r="W60" s="602"/>
      <c r="X60" s="602"/>
      <c r="Y60" s="602"/>
      <c r="Z60" s="602"/>
      <c r="AA60" s="602"/>
      <c r="AB60" s="603"/>
      <c r="AC60" s="72"/>
      <c r="AD60" s="114"/>
      <c r="AE60" s="116" t="str">
        <f>'Sprachen &amp; Rückgabewerte(2)'!$H$64</f>
        <v>Verschlussgriffe:</v>
      </c>
      <c r="AF60" s="116"/>
      <c r="AG60" s="115"/>
      <c r="AH60" s="115"/>
      <c r="AI60" s="115"/>
      <c r="AJ60" s="115"/>
      <c r="AK60" s="115"/>
      <c r="AL60" s="115"/>
      <c r="AM60" s="134"/>
      <c r="AN60" s="115"/>
      <c r="AO60" s="115"/>
      <c r="AP60" s="115"/>
      <c r="AQ60" s="115"/>
      <c r="AR60" s="115"/>
      <c r="AS60" s="115"/>
      <c r="AT60" s="109"/>
      <c r="AU60" s="110"/>
    </row>
    <row r="61" spans="2:50" ht="12.75" customHeight="1" x14ac:dyDescent="0.2">
      <c r="B61" s="60"/>
      <c r="C61" s="61"/>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117"/>
      <c r="AE61" s="72"/>
      <c r="AF61" s="81"/>
      <c r="AG61" s="72"/>
      <c r="AH61" s="72"/>
      <c r="AI61" s="72"/>
      <c r="AJ61" s="72"/>
      <c r="AK61" s="72"/>
      <c r="AL61" s="72"/>
      <c r="AM61" s="442"/>
      <c r="AN61" s="72"/>
      <c r="AO61" s="72"/>
      <c r="AP61" s="72"/>
      <c r="AQ61" s="72"/>
      <c r="AR61" s="72"/>
      <c r="AS61" s="72"/>
      <c r="AT61" s="110"/>
      <c r="AU61" s="110"/>
    </row>
    <row r="62" spans="2:50" ht="12.75" customHeight="1" x14ac:dyDescent="0.2">
      <c r="B62" s="60"/>
      <c r="C62" s="107"/>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408"/>
      <c r="AC62" s="72"/>
      <c r="AD62" s="117"/>
      <c r="AE62" s="72"/>
      <c r="AF62" s="81"/>
      <c r="AG62" s="72"/>
      <c r="AH62" s="72"/>
      <c r="AI62" s="72"/>
      <c r="AJ62" s="72"/>
      <c r="AK62" s="72"/>
      <c r="AL62" s="72"/>
      <c r="AM62" s="442"/>
      <c r="AN62" s="72"/>
      <c r="AO62" s="72"/>
      <c r="AP62" s="72"/>
      <c r="AQ62" s="72"/>
      <c r="AR62" s="72"/>
      <c r="AS62" s="72"/>
      <c r="AT62" s="110"/>
      <c r="AU62" s="110"/>
    </row>
    <row r="63" spans="2:50" ht="12.75" customHeight="1" x14ac:dyDescent="0.2">
      <c r="B63" s="60"/>
      <c r="C63" s="60"/>
      <c r="D63" s="72"/>
      <c r="E63" s="72"/>
      <c r="F63" s="61"/>
      <c r="G63" s="72"/>
      <c r="H63" s="72"/>
      <c r="I63" s="72"/>
      <c r="J63" s="72"/>
      <c r="K63" s="72"/>
      <c r="L63" s="61"/>
      <c r="M63" s="72"/>
      <c r="N63" s="72"/>
      <c r="O63" s="72"/>
      <c r="P63" s="72"/>
      <c r="Q63" s="72"/>
      <c r="R63" s="72"/>
      <c r="S63" s="72"/>
      <c r="T63" s="72"/>
      <c r="U63" s="72"/>
      <c r="V63" s="72"/>
      <c r="W63" s="72"/>
      <c r="X63" s="72"/>
      <c r="Y63" s="72"/>
      <c r="Z63" s="72"/>
      <c r="AA63" s="72"/>
      <c r="AB63" s="118"/>
      <c r="AC63" s="72"/>
      <c r="AD63" s="117"/>
      <c r="AE63" s="72"/>
      <c r="AF63" s="72"/>
      <c r="AG63" s="72"/>
      <c r="AH63" s="72"/>
      <c r="AI63" s="72"/>
      <c r="AJ63" s="72"/>
      <c r="AK63" s="72"/>
      <c r="AL63" s="72"/>
      <c r="AM63" s="442"/>
      <c r="AN63" s="72"/>
      <c r="AO63" s="72"/>
      <c r="AP63" s="72"/>
      <c r="AQ63" s="72"/>
      <c r="AR63" s="72"/>
      <c r="AS63" s="72"/>
      <c r="AT63" s="110"/>
      <c r="AU63" s="110"/>
    </row>
    <row r="64" spans="2:50" ht="12.75" customHeight="1" x14ac:dyDescent="0.2">
      <c r="B64" s="60"/>
      <c r="C64" s="60"/>
      <c r="D64" s="72"/>
      <c r="E64" s="73"/>
      <c r="F64" s="73"/>
      <c r="G64" s="72"/>
      <c r="H64" s="72"/>
      <c r="I64" s="72"/>
      <c r="J64" s="72"/>
      <c r="K64" s="72"/>
      <c r="L64" s="73"/>
      <c r="M64" s="72"/>
      <c r="N64" s="72"/>
      <c r="O64" s="72"/>
      <c r="P64" s="72"/>
      <c r="Q64" s="72"/>
      <c r="R64" s="72"/>
      <c r="S64" s="72"/>
      <c r="T64" s="72"/>
      <c r="U64" s="72"/>
      <c r="V64" s="72"/>
      <c r="W64" s="72"/>
      <c r="X64" s="72"/>
      <c r="Y64" s="72"/>
      <c r="Z64" s="72"/>
      <c r="AA64" s="72"/>
      <c r="AB64" s="118"/>
      <c r="AC64" s="72"/>
      <c r="AD64" s="117"/>
      <c r="AE64" s="72"/>
      <c r="AF64" s="72"/>
      <c r="AG64" s="72"/>
      <c r="AH64" s="72"/>
      <c r="AI64" s="72"/>
      <c r="AJ64" s="72"/>
      <c r="AK64" s="72"/>
      <c r="AL64" s="72"/>
      <c r="AM64" s="442"/>
      <c r="AN64" s="72"/>
      <c r="AO64" s="72"/>
      <c r="AP64" s="72"/>
      <c r="AQ64" s="72"/>
      <c r="AR64" s="72"/>
      <c r="AS64" s="72"/>
      <c r="AT64" s="110"/>
      <c r="AU64" s="110"/>
    </row>
    <row r="65" spans="2:50" ht="12.75" customHeight="1" x14ac:dyDescent="0.2">
      <c r="B65" s="60"/>
      <c r="C65" s="60"/>
      <c r="D65" s="72"/>
      <c r="E65" s="72"/>
      <c r="F65" s="72"/>
      <c r="G65" s="72"/>
      <c r="H65" s="72"/>
      <c r="I65" s="72"/>
      <c r="J65" s="72"/>
      <c r="K65" s="72"/>
      <c r="L65" s="72"/>
      <c r="M65" s="72"/>
      <c r="N65" s="72"/>
      <c r="O65" s="72"/>
      <c r="P65" s="72"/>
      <c r="Q65" s="72"/>
      <c r="R65" s="72"/>
      <c r="S65" s="72"/>
      <c r="T65" s="72"/>
      <c r="U65" s="72"/>
      <c r="V65" s="72"/>
      <c r="W65" s="72"/>
      <c r="X65" s="72"/>
      <c r="Y65" s="72"/>
      <c r="Z65" s="72"/>
      <c r="AA65" s="72"/>
      <c r="AB65" s="118"/>
      <c r="AC65" s="72"/>
      <c r="AD65" s="117"/>
      <c r="AE65" s="72"/>
      <c r="AF65" s="72"/>
      <c r="AG65" s="72"/>
      <c r="AH65" s="72"/>
      <c r="AI65" s="72"/>
      <c r="AJ65" s="72"/>
      <c r="AK65" s="72"/>
      <c r="AL65" s="72"/>
      <c r="AM65" s="72"/>
      <c r="AN65" s="72"/>
      <c r="AO65" s="72"/>
      <c r="AP65" s="72"/>
      <c r="AQ65" s="72"/>
      <c r="AR65" s="72"/>
      <c r="AS65" s="72"/>
      <c r="AT65" s="110"/>
      <c r="AU65" s="110"/>
    </row>
    <row r="66" spans="2:50" ht="12.75" customHeight="1" x14ac:dyDescent="0.2">
      <c r="B66" s="60"/>
      <c r="C66" s="60"/>
      <c r="D66" s="72"/>
      <c r="E66" s="72"/>
      <c r="F66" s="72"/>
      <c r="G66" s="72"/>
      <c r="H66" s="72"/>
      <c r="I66" s="72"/>
      <c r="J66" s="72"/>
      <c r="K66" s="72"/>
      <c r="L66" s="72"/>
      <c r="M66" s="72"/>
      <c r="N66" s="72"/>
      <c r="O66" s="72"/>
      <c r="P66" s="72"/>
      <c r="Q66" s="72"/>
      <c r="R66" s="72"/>
      <c r="S66" s="72"/>
      <c r="T66" s="72"/>
      <c r="U66" s="72"/>
      <c r="V66" s="72"/>
      <c r="W66" s="72"/>
      <c r="X66" s="72"/>
      <c r="Y66" s="72"/>
      <c r="Z66" s="72"/>
      <c r="AA66" s="72"/>
      <c r="AB66" s="118"/>
      <c r="AC66" s="72"/>
      <c r="AD66" s="117"/>
      <c r="AE66" s="72"/>
      <c r="AF66" s="72"/>
      <c r="AG66" s="72"/>
      <c r="AH66" s="72"/>
      <c r="AI66" s="72"/>
      <c r="AJ66" s="72"/>
      <c r="AK66" s="72"/>
      <c r="AL66" s="72"/>
      <c r="AM66" s="72"/>
      <c r="AN66" s="72"/>
      <c r="AO66" s="72"/>
      <c r="AP66" s="72"/>
      <c r="AQ66" s="72"/>
      <c r="AR66" s="72"/>
      <c r="AS66" s="72"/>
      <c r="AT66" s="110"/>
      <c r="AU66" s="110"/>
    </row>
    <row r="67" spans="2:50" ht="12.75" customHeight="1" x14ac:dyDescent="0.2">
      <c r="B67" s="60"/>
      <c r="C67" s="60"/>
      <c r="D67" s="72"/>
      <c r="E67" s="72"/>
      <c r="F67" s="72"/>
      <c r="G67" s="72"/>
      <c r="H67" s="72"/>
      <c r="I67" s="72"/>
      <c r="J67" s="72"/>
      <c r="K67" s="72"/>
      <c r="L67" s="72"/>
      <c r="M67" s="72"/>
      <c r="N67" s="72"/>
      <c r="O67" s="72"/>
      <c r="P67" s="72"/>
      <c r="Q67" s="72"/>
      <c r="R67" s="72"/>
      <c r="S67" s="72"/>
      <c r="T67" s="72"/>
      <c r="U67" s="72"/>
      <c r="V67" s="72"/>
      <c r="W67" s="72"/>
      <c r="X67" s="72"/>
      <c r="Y67" s="72"/>
      <c r="Z67" s="72"/>
      <c r="AA67" s="72"/>
      <c r="AB67" s="118"/>
      <c r="AC67" s="72"/>
      <c r="AD67" s="117"/>
      <c r="AE67" s="72"/>
      <c r="AF67" s="72"/>
      <c r="AG67" s="72"/>
      <c r="AH67" s="72"/>
      <c r="AI67" s="72"/>
      <c r="AJ67" s="72"/>
      <c r="AK67" s="72"/>
      <c r="AL67" s="72"/>
      <c r="AM67" s="72"/>
      <c r="AN67" s="72"/>
      <c r="AO67" s="72"/>
      <c r="AP67" s="72"/>
      <c r="AQ67" s="72"/>
      <c r="AR67" s="72"/>
      <c r="AS67" s="72"/>
      <c r="AT67" s="110"/>
      <c r="AU67" s="110"/>
    </row>
    <row r="68" spans="2:50" ht="12.75" customHeight="1" x14ac:dyDescent="0.2">
      <c r="B68" s="60"/>
      <c r="C68" s="60"/>
      <c r="D68" s="72"/>
      <c r="E68" s="72"/>
      <c r="F68" s="72"/>
      <c r="G68" s="72"/>
      <c r="H68" s="72"/>
      <c r="I68" s="72"/>
      <c r="J68" s="72"/>
      <c r="K68" s="72"/>
      <c r="L68" s="72"/>
      <c r="M68" s="72"/>
      <c r="N68" s="72"/>
      <c r="O68" s="72"/>
      <c r="P68" s="72"/>
      <c r="Q68" s="72"/>
      <c r="R68" s="72"/>
      <c r="S68" s="72"/>
      <c r="T68" s="72"/>
      <c r="U68" s="72"/>
      <c r="V68" s="72"/>
      <c r="W68" s="72"/>
      <c r="X68" s="72"/>
      <c r="Y68" s="72"/>
      <c r="Z68" s="72"/>
      <c r="AA68" s="72"/>
      <c r="AB68" s="118"/>
      <c r="AC68" s="72"/>
      <c r="AD68" s="117"/>
      <c r="AE68" s="72"/>
      <c r="AF68" s="72"/>
      <c r="AG68" s="72"/>
      <c r="AH68" s="72"/>
      <c r="AI68" s="72"/>
      <c r="AJ68" s="72"/>
      <c r="AK68" s="72"/>
      <c r="AL68" s="72"/>
      <c r="AM68" s="72"/>
      <c r="AN68" s="72"/>
      <c r="AO68" s="72"/>
      <c r="AP68" s="72"/>
      <c r="AQ68" s="72"/>
      <c r="AR68" s="72"/>
      <c r="AS68" s="72"/>
      <c r="AT68" s="110"/>
      <c r="AU68" s="110"/>
    </row>
    <row r="69" spans="2:50" ht="12.75" customHeight="1" x14ac:dyDescent="0.2">
      <c r="B69" s="60"/>
      <c r="C69" s="60"/>
      <c r="D69" s="72"/>
      <c r="E69" s="72"/>
      <c r="F69" s="72"/>
      <c r="G69" s="72"/>
      <c r="H69" s="72"/>
      <c r="I69" s="72"/>
      <c r="J69" s="72"/>
      <c r="K69" s="72"/>
      <c r="L69" s="72"/>
      <c r="M69" s="72"/>
      <c r="N69" s="72"/>
      <c r="O69" s="72"/>
      <c r="P69" s="72"/>
      <c r="Q69" s="72"/>
      <c r="R69" s="72"/>
      <c r="S69" s="72"/>
      <c r="T69" s="72"/>
      <c r="U69" s="72"/>
      <c r="V69" s="72"/>
      <c r="W69" s="72"/>
      <c r="X69" s="72"/>
      <c r="Y69" s="72"/>
      <c r="Z69" s="72"/>
      <c r="AA69" s="72"/>
      <c r="AB69" s="118"/>
      <c r="AC69" s="72"/>
      <c r="AD69" s="117"/>
      <c r="AE69" s="72"/>
      <c r="AF69" s="72"/>
      <c r="AG69" s="72"/>
      <c r="AH69" s="72"/>
      <c r="AI69" s="72"/>
      <c r="AJ69" s="72"/>
      <c r="AK69" s="72"/>
      <c r="AL69" s="72"/>
      <c r="AM69" s="72"/>
      <c r="AN69" s="72"/>
      <c r="AO69" s="72"/>
      <c r="AP69" s="72"/>
      <c r="AQ69" s="72"/>
      <c r="AR69" s="72"/>
      <c r="AS69" s="72"/>
      <c r="AT69" s="110"/>
      <c r="AU69" s="110"/>
    </row>
    <row r="70" spans="2:50" ht="12.75" customHeight="1" x14ac:dyDescent="0.2">
      <c r="B70" s="60"/>
      <c r="C70" s="60"/>
      <c r="D70" s="72"/>
      <c r="E70" s="72"/>
      <c r="F70" s="72"/>
      <c r="G70" s="72"/>
      <c r="H70" s="72"/>
      <c r="I70" s="72"/>
      <c r="J70" s="72"/>
      <c r="K70" s="72"/>
      <c r="L70" s="72"/>
      <c r="M70" s="72"/>
      <c r="N70" s="72"/>
      <c r="O70" s="72"/>
      <c r="P70" s="72"/>
      <c r="Q70" s="72"/>
      <c r="R70" s="72"/>
      <c r="S70" s="72"/>
      <c r="T70" s="72"/>
      <c r="U70" s="72"/>
      <c r="V70" s="72"/>
      <c r="W70" s="72"/>
      <c r="X70" s="72"/>
      <c r="Y70" s="72"/>
      <c r="Z70" s="72"/>
      <c r="AA70" s="72"/>
      <c r="AB70" s="118"/>
      <c r="AC70" s="72"/>
      <c r="AD70" s="117"/>
      <c r="AE70" s="575"/>
      <c r="AF70" s="576"/>
      <c r="AG70" s="576"/>
      <c r="AH70" s="576"/>
      <c r="AI70" s="576"/>
      <c r="AJ70" s="576"/>
      <c r="AK70" s="576"/>
      <c r="AL70" s="577"/>
      <c r="AM70" s="72"/>
      <c r="AN70" s="616"/>
      <c r="AO70" s="617"/>
      <c r="AP70" s="617"/>
      <c r="AQ70" s="617"/>
      <c r="AR70" s="617"/>
      <c r="AS70" s="618"/>
      <c r="AT70" s="110"/>
      <c r="AU70" s="110"/>
    </row>
    <row r="71" spans="2:50" ht="12.75" customHeight="1" x14ac:dyDescent="0.2">
      <c r="B71" s="60"/>
      <c r="C71" s="60"/>
      <c r="D71" s="72"/>
      <c r="E71" s="72"/>
      <c r="F71" s="73" t="str">
        <f>'Sprachen &amp; Rückgabewerte(2)'!$B$41</f>
        <v>320101/320101</v>
      </c>
      <c r="G71" s="72"/>
      <c r="H71" s="72"/>
      <c r="I71" s="72"/>
      <c r="J71" s="72"/>
      <c r="K71" s="72"/>
      <c r="L71" s="73" t="str">
        <f>'Sprachen &amp; Rückgabewerte(2)'!$B$42</f>
        <v>320401/320401</v>
      </c>
      <c r="M71" s="61"/>
      <c r="N71" s="72"/>
      <c r="O71" s="72"/>
      <c r="P71" s="72"/>
      <c r="Q71" s="72"/>
      <c r="R71" s="73" t="str">
        <f>'Sprachen &amp; Rückgabewerte(2)'!$B$43</f>
        <v>360001/360001</v>
      </c>
      <c r="S71" s="72"/>
      <c r="T71" s="72"/>
      <c r="U71" s="72"/>
      <c r="V71" s="72"/>
      <c r="W71" s="72"/>
      <c r="X71" s="73" t="str">
        <f>'Sprachen &amp; Rückgabewerte(2)'!$B$44</f>
        <v>321101/321101</v>
      </c>
      <c r="Y71" s="61"/>
      <c r="Z71" s="72"/>
      <c r="AA71" s="72"/>
      <c r="AB71" s="118"/>
      <c r="AC71" s="72"/>
      <c r="AD71" s="119"/>
      <c r="AE71" s="120"/>
      <c r="AF71" s="120"/>
      <c r="AG71" s="120"/>
      <c r="AH71" s="120"/>
      <c r="AI71" s="120"/>
      <c r="AJ71" s="120"/>
      <c r="AK71" s="120"/>
      <c r="AL71" s="120"/>
      <c r="AM71" s="120"/>
      <c r="AN71" s="120"/>
      <c r="AO71" s="120"/>
      <c r="AP71" s="120"/>
      <c r="AQ71" s="120"/>
      <c r="AR71" s="120"/>
      <c r="AS71" s="120"/>
      <c r="AT71" s="111"/>
      <c r="AU71" s="110"/>
    </row>
    <row r="72" spans="2:50" ht="12.75" customHeight="1" x14ac:dyDescent="0.2">
      <c r="B72" s="60"/>
      <c r="C72" s="60"/>
      <c r="D72" s="72"/>
      <c r="E72" s="72"/>
      <c r="F72" s="699"/>
      <c r="G72" s="700"/>
      <c r="H72" s="700"/>
      <c r="I72" s="701"/>
      <c r="J72" s="72"/>
      <c r="K72" s="72"/>
      <c r="L72" s="699"/>
      <c r="M72" s="700"/>
      <c r="N72" s="700"/>
      <c r="O72" s="701"/>
      <c r="P72" s="72"/>
      <c r="Q72" s="72"/>
      <c r="R72" s="72"/>
      <c r="S72" s="424"/>
      <c r="T72" s="424"/>
      <c r="U72" s="424"/>
      <c r="V72" s="72"/>
      <c r="W72" s="72"/>
      <c r="X72" s="699"/>
      <c r="Y72" s="700"/>
      <c r="Z72" s="700"/>
      <c r="AA72" s="701"/>
      <c r="AB72" s="118"/>
      <c r="AC72" s="72"/>
      <c r="AD72" s="72"/>
      <c r="AE72" s="72"/>
      <c r="AF72" s="72"/>
      <c r="AG72" s="72"/>
      <c r="AH72" s="72"/>
      <c r="AI72" s="72"/>
      <c r="AJ72" s="72"/>
      <c r="AK72" s="72"/>
      <c r="AL72" s="72"/>
      <c r="AM72" s="72"/>
      <c r="AN72" s="72"/>
      <c r="AO72" s="72"/>
      <c r="AP72" s="72"/>
      <c r="AQ72" s="72"/>
      <c r="AR72" s="72"/>
      <c r="AS72" s="72"/>
      <c r="AT72" s="61"/>
      <c r="AU72" s="110"/>
    </row>
    <row r="73" spans="2:50" ht="12.75" customHeight="1" x14ac:dyDescent="0.2">
      <c r="B73" s="60"/>
      <c r="C73" s="60"/>
      <c r="D73" s="72"/>
      <c r="E73" s="72"/>
      <c r="F73" s="72"/>
      <c r="G73" s="72"/>
      <c r="H73" s="72"/>
      <c r="I73" s="72"/>
      <c r="J73" s="72"/>
      <c r="K73" s="72"/>
      <c r="L73" s="72"/>
      <c r="M73" s="72"/>
      <c r="N73" s="72"/>
      <c r="O73" s="72"/>
      <c r="P73" s="72"/>
      <c r="Q73" s="72"/>
      <c r="R73" s="72"/>
      <c r="S73" s="72"/>
      <c r="T73" s="72"/>
      <c r="U73" s="72"/>
      <c r="V73" s="72"/>
      <c r="W73" s="72"/>
      <c r="X73" s="72"/>
      <c r="Y73" s="72"/>
      <c r="Z73" s="72"/>
      <c r="AA73" s="72"/>
      <c r="AB73" s="407"/>
      <c r="AC73" s="72"/>
      <c r="AD73" s="114"/>
      <c r="AE73" s="116" t="str">
        <f>'Sprachen &amp; Rückgabewerte(2)'!$H$70</f>
        <v>Befestigung:</v>
      </c>
      <c r="AF73" s="116"/>
      <c r="AG73" s="115"/>
      <c r="AH73" s="115"/>
      <c r="AI73" s="115"/>
      <c r="AJ73" s="115"/>
      <c r="AK73" s="115"/>
      <c r="AL73" s="115"/>
      <c r="AM73" s="115"/>
      <c r="AN73" s="115"/>
      <c r="AO73" s="115"/>
      <c r="AP73" s="115"/>
      <c r="AQ73" s="115"/>
      <c r="AR73" s="115"/>
      <c r="AS73" s="115"/>
      <c r="AT73" s="109"/>
      <c r="AU73" s="110"/>
    </row>
    <row r="74" spans="2:50" ht="12.75" customHeight="1" x14ac:dyDescent="0.2">
      <c r="B74" s="60"/>
      <c r="C74" s="60"/>
      <c r="D74" s="72"/>
      <c r="E74" s="72"/>
      <c r="F74" s="72"/>
      <c r="G74" s="72"/>
      <c r="H74" s="72"/>
      <c r="I74" s="72"/>
      <c r="J74" s="72"/>
      <c r="K74" s="72"/>
      <c r="L74" s="72"/>
      <c r="M74" s="72"/>
      <c r="N74" s="72"/>
      <c r="O74" s="72"/>
      <c r="P74" s="72"/>
      <c r="Q74" s="72"/>
      <c r="R74" s="72"/>
      <c r="S74" s="72"/>
      <c r="T74" s="72"/>
      <c r="U74" s="72"/>
      <c r="V74" s="72"/>
      <c r="W74" s="72"/>
      <c r="X74" s="72"/>
      <c r="Y74" s="72"/>
      <c r="Z74" s="72"/>
      <c r="AA74" s="72"/>
      <c r="AB74" s="118"/>
      <c r="AC74" s="72"/>
      <c r="AD74" s="117"/>
      <c r="AE74" s="72"/>
      <c r="AF74" s="72" t="str">
        <f>'Sprachen &amp; Rückgabewerte(2)'!$H$71</f>
        <v>Universalschrauben (A2):</v>
      </c>
      <c r="AG74" s="72"/>
      <c r="AH74" s="72"/>
      <c r="AI74" s="72"/>
      <c r="AJ74" s="72"/>
      <c r="AK74" s="72"/>
      <c r="AL74" s="72"/>
      <c r="AM74" s="72" t="str">
        <f>'Sprachen &amp; Rückgabewerte(2)'!H72</f>
        <v>L=52mm</v>
      </c>
      <c r="AN74" s="382"/>
      <c r="AO74" s="382"/>
      <c r="AP74" s="384"/>
      <c r="AQ74" s="72" t="str">
        <f>'Sprachen &amp; Rückgabewerte(2)'!$H$180</f>
        <v>VE</v>
      </c>
      <c r="AR74" s="72"/>
      <c r="AS74" s="72"/>
      <c r="AT74" s="110"/>
      <c r="AU74" s="110"/>
    </row>
    <row r="75" spans="2:50" ht="12.75" customHeight="1" thickBot="1" x14ac:dyDescent="0.25">
      <c r="B75" s="60"/>
      <c r="C75" s="60"/>
      <c r="D75" s="72"/>
      <c r="E75" s="72"/>
      <c r="F75" s="72"/>
      <c r="G75" s="72"/>
      <c r="H75" s="72"/>
      <c r="I75" s="72"/>
      <c r="J75" s="72"/>
      <c r="K75" s="72"/>
      <c r="L75" s="72"/>
      <c r="M75" s="72"/>
      <c r="N75" s="72"/>
      <c r="O75" s="72"/>
      <c r="P75" s="72"/>
      <c r="Q75" s="72"/>
      <c r="R75" s="72"/>
      <c r="S75" s="72"/>
      <c r="T75" s="72"/>
      <c r="U75" s="72"/>
      <c r="V75" s="72"/>
      <c r="W75" s="72"/>
      <c r="X75" s="72"/>
      <c r="Y75" s="72"/>
      <c r="Z75" s="72"/>
      <c r="AA75" s="72"/>
      <c r="AB75" s="118"/>
      <c r="AC75" s="72"/>
      <c r="AD75" s="117"/>
      <c r="AE75" s="72"/>
      <c r="AF75" s="72"/>
      <c r="AG75" s="79" t="str">
        <f>'Sprachen &amp; Rückgabewerte(2)'!H75</f>
        <v>(VE à 100 Stk.)</v>
      </c>
      <c r="AH75" s="72"/>
      <c r="AI75" s="72"/>
      <c r="AJ75" s="72"/>
      <c r="AK75" s="72"/>
      <c r="AL75" s="72"/>
      <c r="AM75" s="72" t="str">
        <f>'Sprachen &amp; Rückgabewerte(2)'!H73</f>
        <v>L=82mm</v>
      </c>
      <c r="AN75" s="383"/>
      <c r="AO75" s="382"/>
      <c r="AP75" s="384"/>
      <c r="AQ75" s="72" t="str">
        <f>'Sprachen &amp; Rückgabewerte(2)'!$H$180</f>
        <v>VE</v>
      </c>
      <c r="AR75" s="72"/>
      <c r="AS75" s="72"/>
      <c r="AT75" s="110"/>
      <c r="AU75" s="110"/>
    </row>
    <row r="76" spans="2:50" ht="12.75" customHeight="1" x14ac:dyDescent="0.2">
      <c r="B76" s="60"/>
      <c r="C76" s="60"/>
      <c r="D76" s="72"/>
      <c r="E76" s="72"/>
      <c r="F76" s="72"/>
      <c r="G76" s="72"/>
      <c r="H76" s="72"/>
      <c r="I76" s="72"/>
      <c r="J76" s="72"/>
      <c r="K76" s="72"/>
      <c r="L76" s="72"/>
      <c r="M76" s="72"/>
      <c r="N76" s="72"/>
      <c r="O76" s="72"/>
      <c r="P76" s="72"/>
      <c r="Q76" s="72"/>
      <c r="R76" s="72"/>
      <c r="S76" s="72"/>
      <c r="T76" s="72"/>
      <c r="U76" s="72"/>
      <c r="V76" s="72"/>
      <c r="W76" s="72"/>
      <c r="X76" s="72"/>
      <c r="Y76" s="72"/>
      <c r="Z76" s="72"/>
      <c r="AA76" s="72"/>
      <c r="AB76" s="118"/>
      <c r="AC76" s="72"/>
      <c r="AD76" s="117"/>
      <c r="AE76" s="72"/>
      <c r="AF76" s="72"/>
      <c r="AG76" s="72"/>
      <c r="AH76" s="72"/>
      <c r="AI76" s="72"/>
      <c r="AJ76" s="72"/>
      <c r="AK76" s="72"/>
      <c r="AL76" s="72"/>
      <c r="AM76" s="72" t="str">
        <f>'Sprachen &amp; Rückgabewerte(2)'!H74</f>
        <v>L=112mm</v>
      </c>
      <c r="AN76" s="383"/>
      <c r="AO76" s="382"/>
      <c r="AP76" s="384"/>
      <c r="AQ76" s="72" t="str">
        <f>'Sprachen &amp; Rückgabewerte(2)'!$H$180</f>
        <v>VE</v>
      </c>
      <c r="AR76" s="72"/>
      <c r="AS76" s="72"/>
      <c r="AT76" s="110"/>
      <c r="AU76" s="110"/>
      <c r="AW76" s="320"/>
      <c r="AX76" s="320"/>
    </row>
    <row r="77" spans="2:50" ht="12.75" customHeight="1" x14ac:dyDescent="0.2">
      <c r="B77" s="60"/>
      <c r="C77" s="60"/>
      <c r="D77" s="72"/>
      <c r="E77" s="72"/>
      <c r="F77" s="72"/>
      <c r="G77" s="72"/>
      <c r="H77" s="72"/>
      <c r="I77" s="72"/>
      <c r="J77" s="72"/>
      <c r="K77" s="72"/>
      <c r="L77" s="72"/>
      <c r="M77" s="72"/>
      <c r="N77" s="72"/>
      <c r="O77" s="72"/>
      <c r="P77" s="72"/>
      <c r="Q77" s="72"/>
      <c r="R77" s="72"/>
      <c r="S77" s="72"/>
      <c r="T77" s="72"/>
      <c r="U77" s="72"/>
      <c r="V77" s="72"/>
      <c r="W77" s="72"/>
      <c r="X77" s="72"/>
      <c r="Y77" s="72"/>
      <c r="Z77" s="72"/>
      <c r="AA77" s="72"/>
      <c r="AB77" s="118"/>
      <c r="AC77" s="72"/>
      <c r="AD77" s="117"/>
      <c r="AE77" s="81" t="str">
        <f>'Sprachen &amp; Rückgabewerte(2)'!$H$76</f>
        <v>Sockelbefestigung:</v>
      </c>
      <c r="AF77" s="81"/>
      <c r="AG77" s="72"/>
      <c r="AH77" s="72"/>
      <c r="AI77" s="72"/>
      <c r="AJ77" s="72"/>
      <c r="AK77" s="72"/>
      <c r="AL77" s="72"/>
      <c r="AM77" s="72"/>
      <c r="AN77" s="72"/>
      <c r="AO77" s="72"/>
      <c r="AP77" s="72"/>
      <c r="AQ77" s="72"/>
      <c r="AR77" s="72"/>
      <c r="AS77" s="72"/>
      <c r="AT77" s="110"/>
      <c r="AU77" s="110"/>
      <c r="AW77" s="321"/>
      <c r="AX77" s="321"/>
    </row>
    <row r="78" spans="2:50" ht="12.75" customHeight="1" x14ac:dyDescent="0.2">
      <c r="B78" s="60"/>
      <c r="C78" s="60"/>
      <c r="D78" s="72"/>
      <c r="E78" s="72"/>
      <c r="F78" s="72"/>
      <c r="G78" s="72"/>
      <c r="H78" s="72"/>
      <c r="I78" s="72"/>
      <c r="J78" s="72"/>
      <c r="K78" s="72"/>
      <c r="L78" s="72"/>
      <c r="M78" s="72"/>
      <c r="N78" s="72"/>
      <c r="O78" s="72"/>
      <c r="P78" s="72"/>
      <c r="Q78" s="72"/>
      <c r="R78" s="72"/>
      <c r="S78" s="72"/>
      <c r="T78" s="72"/>
      <c r="U78" s="72"/>
      <c r="V78" s="72"/>
      <c r="W78" s="72"/>
      <c r="X78" s="72"/>
      <c r="Y78" s="72"/>
      <c r="Z78" s="72"/>
      <c r="AA78" s="72"/>
      <c r="AB78" s="118"/>
      <c r="AC78" s="72"/>
      <c r="AD78" s="117"/>
      <c r="AE78" s="72" t="str">
        <f>'Sprachen &amp; Rückgabewerte(2)'!$H$77</f>
        <v>Verstellschrauben M10 x</v>
      </c>
      <c r="AF78" s="72"/>
      <c r="AG78" s="72"/>
      <c r="AH78" s="72"/>
      <c r="AI78" s="72"/>
      <c r="AJ78" s="72"/>
      <c r="AK78" s="72"/>
      <c r="AL78" s="72"/>
      <c r="AM78" s="72"/>
      <c r="AN78" s="606"/>
      <c r="AO78" s="606"/>
      <c r="AP78" s="606"/>
      <c r="AQ78" s="72"/>
      <c r="AR78" s="72"/>
      <c r="AS78" s="72"/>
      <c r="AT78" s="110"/>
      <c r="AU78" s="110"/>
      <c r="AW78" s="321"/>
      <c r="AX78" s="321"/>
    </row>
    <row r="79" spans="2:50" ht="12.75" customHeight="1" x14ac:dyDescent="0.2">
      <c r="B79" s="60"/>
      <c r="C79" s="60"/>
      <c r="D79" s="72"/>
      <c r="E79" s="72"/>
      <c r="F79" s="72"/>
      <c r="G79" s="72"/>
      <c r="H79" s="72"/>
      <c r="I79" s="72"/>
      <c r="J79" s="72"/>
      <c r="K79" s="72"/>
      <c r="L79" s="72"/>
      <c r="M79" s="72"/>
      <c r="N79" s="72"/>
      <c r="O79" s="72"/>
      <c r="P79" s="72"/>
      <c r="Q79" s="72"/>
      <c r="R79" s="72"/>
      <c r="S79" s="72"/>
      <c r="T79" s="72"/>
      <c r="U79" s="72"/>
      <c r="V79" s="72"/>
      <c r="W79" s="72"/>
      <c r="X79" s="72"/>
      <c r="Y79" s="72"/>
      <c r="Z79" s="72"/>
      <c r="AA79" s="72"/>
      <c r="AB79" s="118"/>
      <c r="AC79" s="72"/>
      <c r="AD79" s="117"/>
      <c r="AE79" s="72" t="str">
        <f>'Sprachen &amp; Rückgabewerte(2)'!$H$52</f>
        <v>Standardgrundplatten:</v>
      </c>
      <c r="AF79" s="72"/>
      <c r="AG79" s="72"/>
      <c r="AH79" s="72"/>
      <c r="AI79" s="72"/>
      <c r="AJ79" s="72"/>
      <c r="AK79" s="72"/>
      <c r="AL79" s="72"/>
      <c r="AM79" s="72"/>
      <c r="AN79" s="606"/>
      <c r="AO79" s="606"/>
      <c r="AP79" s="606"/>
      <c r="AQ79" s="72"/>
      <c r="AR79" s="72"/>
      <c r="AS79" s="72"/>
      <c r="AT79" s="110"/>
      <c r="AU79" s="110"/>
      <c r="AW79" s="321"/>
      <c r="AX79" s="321"/>
    </row>
    <row r="80" spans="2:50" ht="12" customHeight="1" thickBot="1" x14ac:dyDescent="0.25">
      <c r="B80" s="60"/>
      <c r="C80" s="60"/>
      <c r="D80" s="72"/>
      <c r="E80" s="72"/>
      <c r="F80" s="72"/>
      <c r="G80" s="72"/>
      <c r="H80" s="72"/>
      <c r="I80" s="72"/>
      <c r="J80" s="72"/>
      <c r="K80" s="72"/>
      <c r="L80" s="72"/>
      <c r="M80" s="72"/>
      <c r="N80" s="72"/>
      <c r="O80" s="72"/>
      <c r="P80" s="72"/>
      <c r="Q80" s="72"/>
      <c r="R80" s="72"/>
      <c r="S80" s="72"/>
      <c r="T80" s="72"/>
      <c r="U80" s="72"/>
      <c r="V80" s="72"/>
      <c r="W80" s="72"/>
      <c r="X80" s="72"/>
      <c r="Y80" s="72"/>
      <c r="Z80" s="72"/>
      <c r="AA80" s="72"/>
      <c r="AB80" s="118"/>
      <c r="AC80" s="72"/>
      <c r="AD80" s="117"/>
      <c r="AE80" s="182" t="str">
        <f>'Sprachen &amp; Rückgabewerte(2)'!$H$84</f>
        <v>Rahmenzusammenbau:</v>
      </c>
      <c r="AF80" s="72"/>
      <c r="AG80" s="72"/>
      <c r="AH80" s="72"/>
      <c r="AI80" s="72"/>
      <c r="AJ80" s="72"/>
      <c r="AK80" s="72"/>
      <c r="AL80" s="72"/>
      <c r="AM80" s="72"/>
      <c r="AN80" s="607"/>
      <c r="AO80" s="608"/>
      <c r="AP80" s="608"/>
      <c r="AQ80" s="608"/>
      <c r="AR80" s="608"/>
      <c r="AS80" s="609"/>
      <c r="AT80" s="110"/>
      <c r="AU80" s="319"/>
      <c r="AV80" s="84"/>
      <c r="AW80" s="322"/>
      <c r="AX80" s="322"/>
    </row>
    <row r="81" spans="2:50" ht="12.75" customHeight="1" x14ac:dyDescent="0.2">
      <c r="B81" s="60"/>
      <c r="C81" s="60"/>
      <c r="D81" s="72"/>
      <c r="E81" s="72"/>
      <c r="F81" s="72"/>
      <c r="G81" s="72"/>
      <c r="H81" s="72"/>
      <c r="I81" s="72"/>
      <c r="J81" s="72"/>
      <c r="K81" s="72"/>
      <c r="L81" s="72"/>
      <c r="M81" s="72"/>
      <c r="N81" s="72"/>
      <c r="O81" s="72"/>
      <c r="P81" s="72"/>
      <c r="Q81" s="72"/>
      <c r="R81" s="72"/>
      <c r="S81" s="72"/>
      <c r="T81" s="72"/>
      <c r="U81" s="72"/>
      <c r="V81" s="72"/>
      <c r="W81" s="72"/>
      <c r="X81" s="72"/>
      <c r="Y81" s="72"/>
      <c r="Z81" s="72"/>
      <c r="AA81" s="72"/>
      <c r="AB81" s="118"/>
      <c r="AC81" s="72"/>
      <c r="AD81" s="119"/>
      <c r="AE81" s="120"/>
      <c r="AF81" s="120"/>
      <c r="AG81" s="120"/>
      <c r="AH81" s="120"/>
      <c r="AI81" s="120"/>
      <c r="AJ81" s="120"/>
      <c r="AK81" s="120"/>
      <c r="AL81" s="120"/>
      <c r="AM81" s="120"/>
      <c r="AN81" s="120"/>
      <c r="AO81" s="120"/>
      <c r="AP81" s="120"/>
      <c r="AQ81" s="120"/>
      <c r="AR81" s="120"/>
      <c r="AS81" s="120"/>
      <c r="AT81" s="111"/>
      <c r="AU81" s="110"/>
    </row>
    <row r="82" spans="2:50" ht="12.75" customHeight="1" x14ac:dyDescent="0.2">
      <c r="B82" s="60"/>
      <c r="C82" s="60"/>
      <c r="D82" s="72"/>
      <c r="E82" s="72"/>
      <c r="F82" s="72"/>
      <c r="G82" s="72"/>
      <c r="H82" s="72"/>
      <c r="I82" s="72"/>
      <c r="J82" s="72"/>
      <c r="K82" s="72"/>
      <c r="L82" s="72"/>
      <c r="M82" s="72"/>
      <c r="N82" s="72"/>
      <c r="O82" s="72"/>
      <c r="P82" s="72"/>
      <c r="Q82" s="72"/>
      <c r="R82" s="72"/>
      <c r="S82" s="72"/>
      <c r="T82" s="72"/>
      <c r="U82" s="72"/>
      <c r="V82" s="72"/>
      <c r="W82" s="72"/>
      <c r="X82" s="72"/>
      <c r="Y82" s="72"/>
      <c r="Z82" s="72"/>
      <c r="AA82" s="72"/>
      <c r="AB82" s="118"/>
      <c r="AC82" s="72"/>
      <c r="AD82" s="72"/>
      <c r="AE82" s="72"/>
      <c r="AF82" s="72"/>
      <c r="AG82" s="72"/>
      <c r="AH82" s="72"/>
      <c r="AI82" s="72"/>
      <c r="AJ82" s="72"/>
      <c r="AK82" s="72"/>
      <c r="AL82" s="72"/>
      <c r="AM82" s="72"/>
      <c r="AN82" s="72"/>
      <c r="AO82" s="72"/>
      <c r="AP82" s="72"/>
      <c r="AQ82" s="72"/>
      <c r="AR82" s="72"/>
      <c r="AS82" s="72"/>
      <c r="AT82" s="61"/>
      <c r="AU82" s="110"/>
    </row>
    <row r="83" spans="2:50" ht="12.75" customHeight="1" x14ac:dyDescent="0.2">
      <c r="B83" s="60"/>
      <c r="C83" s="60"/>
      <c r="D83" s="72"/>
      <c r="E83" s="72"/>
      <c r="F83" s="72"/>
      <c r="G83" s="72"/>
      <c r="H83" s="72"/>
      <c r="I83" s="72"/>
      <c r="J83" s="72"/>
      <c r="K83" s="72"/>
      <c r="L83" s="72"/>
      <c r="M83" s="72"/>
      <c r="N83" s="72"/>
      <c r="O83" s="72"/>
      <c r="P83" s="72"/>
      <c r="Q83" s="72"/>
      <c r="R83" s="72"/>
      <c r="S83" s="72"/>
      <c r="T83" s="72"/>
      <c r="U83" s="72"/>
      <c r="V83" s="72"/>
      <c r="W83" s="72"/>
      <c r="X83" s="72"/>
      <c r="Y83" s="72"/>
      <c r="Z83" s="72"/>
      <c r="AA83" s="72"/>
      <c r="AB83" s="118"/>
      <c r="AC83" s="72"/>
      <c r="AD83" s="114"/>
      <c r="AE83" s="116" t="str">
        <f>'Sprachen &amp; Rückgabewerte(2)'!$H$87</f>
        <v>Logistik:</v>
      </c>
      <c r="AF83" s="116"/>
      <c r="AG83" s="115"/>
      <c r="AH83" s="115"/>
      <c r="AI83" s="115"/>
      <c r="AJ83" s="115"/>
      <c r="AK83" s="115"/>
      <c r="AL83" s="115"/>
      <c r="AM83" s="115"/>
      <c r="AN83" s="116" t="str">
        <f>'Sprachen &amp; Rückgabewerte(2)'!$H$49</f>
        <v>Zubehör:</v>
      </c>
      <c r="AO83" s="115"/>
      <c r="AP83" s="115"/>
      <c r="AQ83" s="115"/>
      <c r="AR83" s="115"/>
      <c r="AS83" s="115"/>
      <c r="AT83" s="109"/>
      <c r="AU83" s="110"/>
    </row>
    <row r="84" spans="2:50" ht="12.75" customHeight="1" x14ac:dyDescent="0.2">
      <c r="B84" s="60"/>
      <c r="C84" s="60"/>
      <c r="D84" s="72"/>
      <c r="E84" s="72"/>
      <c r="F84" s="72"/>
      <c r="G84" s="72"/>
      <c r="H84" s="73" t="str">
        <f>'Sprachen &amp; Rückgabewerte(2)'!$B$45</f>
        <v>321801/321801</v>
      </c>
      <c r="I84" s="72"/>
      <c r="J84" s="72"/>
      <c r="K84" s="72"/>
      <c r="L84" s="72"/>
      <c r="M84" s="72"/>
      <c r="N84" s="61"/>
      <c r="O84" s="73" t="str">
        <f>'Sprachen &amp; Rückgabewerte(2)'!$B$46</f>
        <v>321801/322201</v>
      </c>
      <c r="P84" s="72"/>
      <c r="Q84" s="72"/>
      <c r="R84" s="72"/>
      <c r="S84" s="72"/>
      <c r="T84" s="72"/>
      <c r="U84" s="61"/>
      <c r="V84" s="73" t="str">
        <f>'Sprachen &amp; Rückgabewerte(2)'!$B$47</f>
        <v>322201/322201</v>
      </c>
      <c r="W84" s="72"/>
      <c r="X84" s="72"/>
      <c r="Y84" s="72"/>
      <c r="Z84" s="72"/>
      <c r="AA84" s="72"/>
      <c r="AB84" s="118"/>
      <c r="AC84" s="72"/>
      <c r="AD84" s="117"/>
      <c r="AE84" s="550"/>
      <c r="AF84" s="614"/>
      <c r="AG84" s="614"/>
      <c r="AH84" s="614"/>
      <c r="AI84" s="614"/>
      <c r="AJ84" s="614"/>
      <c r="AK84" s="614"/>
      <c r="AL84" s="551"/>
      <c r="AM84" s="72"/>
      <c r="AN84" s="72"/>
      <c r="AO84" s="72" t="str">
        <f>'Sprachen &amp; Rückgabewerte(2)'!$H$50</f>
        <v>Rinne (siehe unten)</v>
      </c>
      <c r="AP84" s="72"/>
      <c r="AQ84" s="72"/>
      <c r="AR84" s="72"/>
      <c r="AS84" s="72"/>
      <c r="AT84" s="110"/>
      <c r="AU84" s="199"/>
      <c r="AV84" s="199"/>
    </row>
    <row r="85" spans="2:50" ht="12.75" customHeight="1" x14ac:dyDescent="0.2">
      <c r="B85" s="60"/>
      <c r="C85" s="60"/>
      <c r="D85" s="72"/>
      <c r="E85" s="72"/>
      <c r="F85" s="72"/>
      <c r="G85" s="72"/>
      <c r="H85" s="699"/>
      <c r="I85" s="700"/>
      <c r="J85" s="700"/>
      <c r="K85" s="701"/>
      <c r="L85" s="72"/>
      <c r="M85" s="72"/>
      <c r="N85" s="72"/>
      <c r="O85" s="699"/>
      <c r="P85" s="700"/>
      <c r="Q85" s="700"/>
      <c r="R85" s="701"/>
      <c r="S85" s="72"/>
      <c r="T85" s="72"/>
      <c r="U85" s="72"/>
      <c r="V85" s="699"/>
      <c r="W85" s="700"/>
      <c r="X85" s="700"/>
      <c r="Y85" s="701"/>
      <c r="Z85" s="72"/>
      <c r="AA85" s="72"/>
      <c r="AB85" s="118"/>
      <c r="AC85" s="72"/>
      <c r="AD85" s="117"/>
      <c r="AE85" s="615"/>
      <c r="AF85" s="615"/>
      <c r="AG85" s="615"/>
      <c r="AH85" s="615"/>
      <c r="AI85" s="615"/>
      <c r="AJ85" s="615"/>
      <c r="AK85" s="615"/>
      <c r="AL85" s="615"/>
      <c r="AM85" s="72"/>
      <c r="AN85" s="72"/>
      <c r="AO85" s="72" t="str">
        <f>'Sprachen &amp; Rückgabewerte(2)'!$H$51</f>
        <v>Wetterschenkel</v>
      </c>
      <c r="AP85" s="72"/>
      <c r="AQ85" s="72"/>
      <c r="AR85" s="72"/>
      <c r="AS85" s="72"/>
      <c r="AT85" s="110"/>
      <c r="AU85" s="110"/>
      <c r="AV85" s="220"/>
    </row>
    <row r="86" spans="2:50" ht="12.75" customHeight="1" x14ac:dyDescent="0.2">
      <c r="B86" s="60"/>
      <c r="C86" s="60"/>
      <c r="D86" s="61"/>
      <c r="E86" s="61"/>
      <c r="F86" s="61"/>
      <c r="G86" s="61"/>
      <c r="H86" s="61"/>
      <c r="I86" s="61"/>
      <c r="J86" s="61"/>
      <c r="K86" s="61"/>
      <c r="L86" s="61"/>
      <c r="M86" s="61"/>
      <c r="N86" s="61"/>
      <c r="O86" s="61"/>
      <c r="P86" s="61"/>
      <c r="Q86" s="61"/>
      <c r="R86" s="61"/>
      <c r="S86" s="61"/>
      <c r="T86" s="61"/>
      <c r="U86" s="61"/>
      <c r="V86" s="61"/>
      <c r="W86" s="61"/>
      <c r="X86" s="61"/>
      <c r="Y86" s="61"/>
      <c r="Z86" s="61"/>
      <c r="AA86" s="61"/>
      <c r="AB86" s="110"/>
      <c r="AC86" s="61"/>
      <c r="AD86" s="60"/>
      <c r="AE86" s="61"/>
      <c r="AF86" s="61"/>
      <c r="AG86" s="61"/>
      <c r="AH86" s="61"/>
      <c r="AI86" s="61"/>
      <c r="AJ86" s="61"/>
      <c r="AK86" s="61"/>
      <c r="AL86" s="61"/>
      <c r="AM86" s="61"/>
      <c r="AN86" s="61"/>
      <c r="AO86" s="61" t="str">
        <f>IF('Sprachen &amp; Rückgabewerte(2)'!$I$51=TRUE,"L=","")</f>
        <v/>
      </c>
      <c r="AP86" s="605"/>
      <c r="AQ86" s="605"/>
      <c r="AR86" s="605"/>
      <c r="AS86" s="61" t="str">
        <f>IF('Sprachen &amp; Rückgabewerte(2)'!$I$51=TRUE,"mm","")</f>
        <v/>
      </c>
      <c r="AT86" s="110"/>
      <c r="AU86" s="110"/>
      <c r="AV86" s="220"/>
    </row>
    <row r="87" spans="2:50" ht="12.75" customHeight="1" x14ac:dyDescent="0.2">
      <c r="B87" s="60"/>
      <c r="C87" s="60"/>
      <c r="D87" s="61"/>
      <c r="E87" s="61"/>
      <c r="F87" s="61"/>
      <c r="G87" s="61"/>
      <c r="H87" s="61"/>
      <c r="I87" s="61"/>
      <c r="J87" s="61"/>
      <c r="K87" s="61"/>
      <c r="L87" s="61"/>
      <c r="M87" s="61"/>
      <c r="N87" s="61"/>
      <c r="O87" s="61"/>
      <c r="P87" s="61"/>
      <c r="Q87" s="61"/>
      <c r="R87" s="61"/>
      <c r="S87" s="61"/>
      <c r="T87" s="61"/>
      <c r="U87" s="61"/>
      <c r="V87" s="61"/>
      <c r="W87" s="61"/>
      <c r="X87" s="61"/>
      <c r="Y87" s="61"/>
      <c r="Z87" s="712" t="str">
        <f>'Sprachen &amp; Rückgabewerte(2)'!$H$118</f>
        <v>Standard (RC2 in Anlehnung)</v>
      </c>
      <c r="AA87" s="712"/>
      <c r="AB87" s="713"/>
      <c r="AC87" s="61"/>
      <c r="AD87" s="60"/>
      <c r="AE87" s="313" t="str">
        <f>'Sprachen &amp; Rückgabewerte(2)'!$H$47</f>
        <v>Windlast:</v>
      </c>
      <c r="AF87" s="81"/>
      <c r="AG87" s="149"/>
      <c r="AH87" s="61"/>
      <c r="AI87" s="61"/>
      <c r="AJ87" s="61"/>
      <c r="AK87" s="61"/>
      <c r="AL87" s="61"/>
      <c r="AM87" s="583"/>
      <c r="AN87" s="584"/>
      <c r="AO87" s="585"/>
      <c r="AP87" s="314" t="s">
        <v>704</v>
      </c>
      <c r="AS87" s="178"/>
      <c r="AT87" s="110"/>
      <c r="AU87" s="110"/>
      <c r="AV87" s="220"/>
    </row>
    <row r="88" spans="2:50" ht="12.75" customHeight="1" x14ac:dyDescent="0.2">
      <c r="B88" s="60"/>
      <c r="C88" s="60"/>
      <c r="D88" s="61"/>
      <c r="E88" s="61"/>
      <c r="F88" s="61"/>
      <c r="G88" s="61"/>
      <c r="H88" s="61"/>
      <c r="I88" s="61"/>
      <c r="J88" s="61"/>
      <c r="K88" s="61"/>
      <c r="L88" s="61"/>
      <c r="M88" s="61"/>
      <c r="N88" s="61"/>
      <c r="O88" s="61"/>
      <c r="P88" s="61"/>
      <c r="Q88" s="61"/>
      <c r="R88" s="61"/>
      <c r="S88" s="61"/>
      <c r="T88" s="61"/>
      <c r="U88" s="61"/>
      <c r="V88" s="61"/>
      <c r="W88" s="61"/>
      <c r="X88" s="61"/>
      <c r="Y88" s="61"/>
      <c r="Z88" s="712"/>
      <c r="AA88" s="712"/>
      <c r="AB88" s="713"/>
      <c r="AC88" s="61"/>
      <c r="AD88" s="60"/>
      <c r="AE88" s="182" t="str">
        <f>'Sprachen &amp; Rückgabewerte(2)'!$H$90</f>
        <v>Wunschtermin:</v>
      </c>
      <c r="AF88" s="312"/>
      <c r="AG88" s="312"/>
      <c r="AH88" s="312"/>
      <c r="AI88" s="312"/>
      <c r="AJ88" s="312"/>
      <c r="AK88" s="312"/>
      <c r="AL88" s="312"/>
      <c r="AM88" s="578"/>
      <c r="AN88" s="579"/>
      <c r="AO88" s="579"/>
      <c r="AP88" s="580"/>
      <c r="AQ88" s="580"/>
      <c r="AR88" s="581"/>
      <c r="AS88" s="312"/>
      <c r="AT88" s="110"/>
      <c r="AU88" s="110"/>
      <c r="AV88" s="220"/>
    </row>
    <row r="89" spans="2:50" ht="12.75" customHeight="1" x14ac:dyDescent="0.2">
      <c r="B89" s="60"/>
      <c r="C89" s="60"/>
      <c r="D89" s="61"/>
      <c r="E89" s="61"/>
      <c r="F89" s="61"/>
      <c r="G89" s="61"/>
      <c r="H89" s="61"/>
      <c r="I89" s="61"/>
      <c r="J89" s="61"/>
      <c r="K89" s="61"/>
      <c r="L89" s="61"/>
      <c r="M89" s="61"/>
      <c r="N89" s="61"/>
      <c r="O89" s="61"/>
      <c r="P89" s="61"/>
      <c r="Q89" s="61"/>
      <c r="R89" s="61"/>
      <c r="S89" s="61"/>
      <c r="T89" s="61"/>
      <c r="U89" s="61"/>
      <c r="V89" s="61"/>
      <c r="W89" s="61"/>
      <c r="X89" s="61"/>
      <c r="Y89" s="61"/>
      <c r="Z89" s="712"/>
      <c r="AA89" s="712"/>
      <c r="AB89" s="713"/>
      <c r="AC89" s="61"/>
      <c r="AD89" s="60"/>
      <c r="AF89" s="312"/>
      <c r="AG89" s="312"/>
      <c r="AH89" s="312"/>
      <c r="AI89" s="312"/>
      <c r="AJ89" s="312"/>
      <c r="AK89" s="312"/>
      <c r="AL89" s="312"/>
      <c r="AS89" s="312"/>
      <c r="AT89" s="110"/>
      <c r="AU89" s="110"/>
      <c r="AV89" s="220"/>
    </row>
    <row r="90" spans="2:50" ht="12.75" customHeight="1" x14ac:dyDescent="0.2">
      <c r="B90" s="60"/>
      <c r="C90" s="60"/>
      <c r="D90" s="61"/>
      <c r="E90" s="61"/>
      <c r="F90" s="61"/>
      <c r="G90" s="61"/>
      <c r="H90" s="61"/>
      <c r="I90" s="61"/>
      <c r="J90" s="61"/>
      <c r="K90" s="61"/>
      <c r="L90" s="61"/>
      <c r="M90" s="61"/>
      <c r="N90" s="61"/>
      <c r="O90" s="61"/>
      <c r="P90" s="61"/>
      <c r="Q90" s="61"/>
      <c r="R90" s="61"/>
      <c r="S90" s="61"/>
      <c r="T90" s="61"/>
      <c r="U90" s="61"/>
      <c r="V90" s="150" t="str">
        <f>'Sprachen &amp; Rückgabewerte(2)'!$H$116</f>
        <v>Ganzglas-Ecke</v>
      </c>
      <c r="W90" s="61"/>
      <c r="X90" s="61"/>
      <c r="Y90" s="61"/>
      <c r="Z90" s="61"/>
      <c r="AA90" s="61"/>
      <c r="AB90" s="110"/>
      <c r="AC90" s="61"/>
      <c r="AD90" s="60"/>
      <c r="AE90" s="582" t="str">
        <f>'Sprachen &amp; Rückgabewerte(2)'!$H$102</f>
        <v>Diese Bestellung ist verbindlich und muss komplett ausgefüllt werden. Änderungen werden als Mehraufwand verrechnet.</v>
      </c>
      <c r="AF90" s="582"/>
      <c r="AG90" s="582"/>
      <c r="AH90" s="582"/>
      <c r="AI90" s="582"/>
      <c r="AJ90" s="582"/>
      <c r="AK90" s="582"/>
      <c r="AL90" s="582"/>
      <c r="AM90" s="582"/>
      <c r="AN90" s="582"/>
      <c r="AO90" s="582"/>
      <c r="AP90" s="582"/>
      <c r="AQ90" s="582"/>
      <c r="AR90" s="582"/>
      <c r="AS90" s="582"/>
      <c r="AT90" s="110"/>
      <c r="AU90" s="110"/>
      <c r="AV90" s="220"/>
    </row>
    <row r="91" spans="2:50" ht="12.75" customHeight="1" x14ac:dyDescent="0.2">
      <c r="B91" s="60"/>
      <c r="C91" s="60"/>
      <c r="D91" s="61"/>
      <c r="E91" s="61"/>
      <c r="F91" s="61"/>
      <c r="G91" s="61"/>
      <c r="H91" s="61"/>
      <c r="I91" s="61"/>
      <c r="J91" s="61"/>
      <c r="K91" s="61"/>
      <c r="L91" s="61"/>
      <c r="M91" s="61"/>
      <c r="N91" s="61"/>
      <c r="O91" s="61"/>
      <c r="P91" s="61"/>
      <c r="Q91" s="61"/>
      <c r="R91" s="61"/>
      <c r="S91" s="61"/>
      <c r="T91" s="61"/>
      <c r="U91" s="61"/>
      <c r="V91" s="61"/>
      <c r="W91" s="61"/>
      <c r="X91" s="61"/>
      <c r="Y91" s="61"/>
      <c r="Z91" s="714" t="str">
        <f>'Sprachen &amp; Rückgabewerte(2)'!$H$119</f>
        <v>RC2 mit Blech</v>
      </c>
      <c r="AA91" s="714"/>
      <c r="AB91" s="715"/>
      <c r="AC91" s="61"/>
      <c r="AD91" s="60"/>
      <c r="AE91" s="582"/>
      <c r="AF91" s="582"/>
      <c r="AG91" s="582"/>
      <c r="AH91" s="582"/>
      <c r="AI91" s="582"/>
      <c r="AJ91" s="582"/>
      <c r="AK91" s="582"/>
      <c r="AL91" s="582"/>
      <c r="AM91" s="582"/>
      <c r="AN91" s="582"/>
      <c r="AO91" s="582"/>
      <c r="AP91" s="582"/>
      <c r="AQ91" s="582"/>
      <c r="AR91" s="582"/>
      <c r="AS91" s="582"/>
      <c r="AT91" s="110"/>
      <c r="AU91" s="110"/>
      <c r="AV91" s="220"/>
    </row>
    <row r="92" spans="2:50" ht="12.75" customHeight="1" x14ac:dyDescent="0.2">
      <c r="B92" s="60"/>
      <c r="C92" s="60"/>
      <c r="D92" s="61"/>
      <c r="E92" s="61"/>
      <c r="F92" s="61"/>
      <c r="G92" s="61"/>
      <c r="H92" s="61"/>
      <c r="I92" s="61"/>
      <c r="J92" s="61"/>
      <c r="K92" s="61"/>
      <c r="L92" s="61"/>
      <c r="M92" s="61"/>
      <c r="N92" s="61"/>
      <c r="O92" s="61"/>
      <c r="P92" s="61"/>
      <c r="Q92" s="61"/>
      <c r="R92" s="61"/>
      <c r="S92" s="61"/>
      <c r="T92" s="61"/>
      <c r="U92" s="61"/>
      <c r="V92" s="61"/>
      <c r="W92" s="61"/>
      <c r="X92" s="61"/>
      <c r="Y92" s="61"/>
      <c r="Z92" s="714"/>
      <c r="AA92" s="714"/>
      <c r="AB92" s="715"/>
      <c r="AC92" s="61"/>
      <c r="AD92" s="60"/>
      <c r="AE92" s="582"/>
      <c r="AF92" s="582"/>
      <c r="AG92" s="582"/>
      <c r="AH92" s="582"/>
      <c r="AI92" s="582"/>
      <c r="AJ92" s="582"/>
      <c r="AK92" s="582"/>
      <c r="AL92" s="582"/>
      <c r="AM92" s="582"/>
      <c r="AN92" s="582"/>
      <c r="AO92" s="582"/>
      <c r="AP92" s="582"/>
      <c r="AQ92" s="582"/>
      <c r="AR92" s="582"/>
      <c r="AS92" s="582"/>
      <c r="AT92" s="110"/>
      <c r="AU92" s="110"/>
      <c r="AV92" s="220"/>
    </row>
    <row r="93" spans="2:50" ht="12.75" customHeight="1" x14ac:dyDescent="0.2">
      <c r="B93" s="60"/>
      <c r="C93" s="60"/>
      <c r="D93" s="61"/>
      <c r="E93" s="61"/>
      <c r="F93" s="61"/>
      <c r="G93" s="61"/>
      <c r="H93" s="61"/>
      <c r="I93" s="61"/>
      <c r="J93" s="61"/>
      <c r="K93" s="61"/>
      <c r="L93" s="61"/>
      <c r="M93" s="61"/>
      <c r="N93" s="61"/>
      <c r="O93" s="61"/>
      <c r="P93" s="61"/>
      <c r="Q93" s="61"/>
      <c r="R93" s="61"/>
      <c r="S93" s="61"/>
      <c r="T93" s="61"/>
      <c r="U93" s="61"/>
      <c r="V93" s="61"/>
      <c r="W93" s="61"/>
      <c r="X93" s="61"/>
      <c r="Y93" s="61"/>
      <c r="Z93" s="714"/>
      <c r="AA93" s="714"/>
      <c r="AB93" s="715"/>
      <c r="AC93" s="61"/>
      <c r="AD93" s="68"/>
      <c r="AE93" s="84"/>
      <c r="AF93" s="84"/>
      <c r="AG93" s="84"/>
      <c r="AH93" s="84"/>
      <c r="AI93" s="84"/>
      <c r="AJ93" s="84"/>
      <c r="AK93" s="84"/>
      <c r="AL93" s="84"/>
      <c r="AM93" s="84"/>
      <c r="AN93" s="84"/>
      <c r="AO93" s="84"/>
      <c r="AP93" s="84"/>
      <c r="AQ93" s="84"/>
      <c r="AR93" s="84"/>
      <c r="AS93" s="84"/>
      <c r="AT93" s="111"/>
      <c r="AU93" s="110"/>
      <c r="AV93" s="220"/>
    </row>
    <row r="94" spans="2:50" ht="12.75" customHeight="1" x14ac:dyDescent="0.2">
      <c r="B94" s="60"/>
      <c r="C94" s="60"/>
      <c r="D94" s="61"/>
      <c r="E94" s="61"/>
      <c r="F94" s="61"/>
      <c r="G94" s="61"/>
      <c r="H94" s="61"/>
      <c r="I94" s="61"/>
      <c r="J94" s="61"/>
      <c r="K94" s="61"/>
      <c r="L94" s="61"/>
      <c r="M94" s="61"/>
      <c r="N94" s="61"/>
      <c r="O94" s="61"/>
      <c r="P94" s="61"/>
      <c r="Q94" s="61"/>
      <c r="R94" s="61"/>
      <c r="S94" s="61"/>
      <c r="T94" s="61"/>
      <c r="U94" s="61"/>
      <c r="V94" s="61"/>
      <c r="W94" s="61"/>
      <c r="X94" s="61"/>
      <c r="Y94" s="61"/>
      <c r="Z94" s="61"/>
      <c r="AA94" s="61"/>
      <c r="AB94" s="110"/>
      <c r="AC94" s="61"/>
      <c r="AD94" s="61"/>
      <c r="AE94" s="61"/>
      <c r="AF94" s="61"/>
      <c r="AG94" s="61"/>
      <c r="AH94" s="61"/>
      <c r="AI94" s="61"/>
      <c r="AJ94" s="61"/>
      <c r="AK94" s="72"/>
      <c r="AL94" s="72"/>
      <c r="AM94" s="72"/>
      <c r="AN94" s="72"/>
      <c r="AO94" s="72"/>
      <c r="AP94" s="72"/>
      <c r="AQ94" s="72"/>
      <c r="AR94" s="61"/>
      <c r="AS94" s="61"/>
      <c r="AT94" s="61"/>
      <c r="AU94" s="110"/>
      <c r="AV94" s="220"/>
    </row>
    <row r="95" spans="2:50" ht="12.75" customHeight="1" x14ac:dyDescent="0.2">
      <c r="B95" s="60"/>
      <c r="C95" s="60"/>
      <c r="D95" s="61"/>
      <c r="E95" s="61"/>
      <c r="F95" s="61"/>
      <c r="G95" s="61"/>
      <c r="H95" s="150" t="str">
        <f>'Sprachen &amp; Rückgabewerte(2)'!$B$48</f>
        <v>310101/310301</v>
      </c>
      <c r="I95" s="61"/>
      <c r="J95" s="61"/>
      <c r="K95" s="61"/>
      <c r="L95" s="61"/>
      <c r="M95" s="61"/>
      <c r="N95" s="61"/>
      <c r="O95" s="150" t="str">
        <f>'Sprachen &amp; Rückgabewerte(2)'!$B$49</f>
        <v>310101/310501</v>
      </c>
      <c r="P95" s="61"/>
      <c r="Q95" s="61"/>
      <c r="R95" s="61"/>
      <c r="S95" s="61"/>
      <c r="T95" s="61"/>
      <c r="U95" s="61"/>
      <c r="W95" s="61"/>
      <c r="X95" s="61"/>
      <c r="Y95" s="61"/>
      <c r="Z95" s="61"/>
      <c r="AA95" s="61"/>
      <c r="AB95" s="110"/>
      <c r="AC95" s="61"/>
      <c r="AD95" s="107"/>
      <c r="AE95" s="115"/>
      <c r="AF95" s="115"/>
      <c r="AG95" s="115"/>
      <c r="AH95" s="115"/>
      <c r="AI95" s="115"/>
      <c r="AJ95" s="115"/>
      <c r="AK95" s="115"/>
      <c r="AL95" s="115"/>
      <c r="AM95" s="115"/>
      <c r="AN95" s="115"/>
      <c r="AO95" s="115"/>
      <c r="AP95" s="115"/>
      <c r="AQ95" s="115"/>
      <c r="AR95" s="115"/>
      <c r="AS95" s="115"/>
      <c r="AT95" s="409"/>
      <c r="AU95" s="110"/>
      <c r="AV95" s="220"/>
      <c r="AW95" s="411" t="str">
        <f>IF(OR(AQ96="",AQ96='Sprachen &amp; Rückgabewerte(2)'!H96),"",'Sprachen &amp; Rückgabewerte(2)'!H182)</f>
        <v/>
      </c>
    </row>
    <row r="96" spans="2:50" ht="12.75" customHeight="1" x14ac:dyDescent="0.2">
      <c r="B96" s="60"/>
      <c r="C96" s="60"/>
      <c r="D96" s="61"/>
      <c r="E96" s="61"/>
      <c r="F96" s="61"/>
      <c r="G96" s="61"/>
      <c r="H96" s="699"/>
      <c r="I96" s="700"/>
      <c r="J96" s="700"/>
      <c r="K96" s="701"/>
      <c r="L96" s="61"/>
      <c r="M96" s="61"/>
      <c r="N96" s="61"/>
      <c r="O96" s="711"/>
      <c r="P96" s="711"/>
      <c r="Q96" s="711"/>
      <c r="R96" s="711"/>
      <c r="S96" s="61"/>
      <c r="T96" s="61"/>
      <c r="U96" s="61"/>
      <c r="V96" s="150" t="str">
        <f>'Sprachen &amp; Rückgabewerte(2)'!$H$117</f>
        <v>Ecke RC2 (WK2)</v>
      </c>
      <c r="W96" s="61"/>
      <c r="X96" s="61"/>
      <c r="Y96" s="61"/>
      <c r="Z96" s="61"/>
      <c r="AA96" s="61"/>
      <c r="AB96" s="110"/>
      <c r="AC96" s="61"/>
      <c r="AD96" s="60"/>
      <c r="AE96" s="73" t="str">
        <f>'Sprachen &amp; Rückgabewerte(2)'!H181</f>
        <v>Sky-Frame Beratung vorhanden:</v>
      </c>
      <c r="AF96" s="72"/>
      <c r="AG96" s="72"/>
      <c r="AH96" s="72"/>
      <c r="AI96" s="72"/>
      <c r="AJ96" s="72"/>
      <c r="AK96" s="72"/>
      <c r="AL96" s="72"/>
      <c r="AM96" s="72"/>
      <c r="AN96" s="72"/>
      <c r="AO96" s="72"/>
      <c r="AP96" s="72"/>
      <c r="AQ96" s="594"/>
      <c r="AR96" s="595"/>
      <c r="AS96" s="412"/>
      <c r="AT96" s="410"/>
      <c r="AU96" s="111"/>
      <c r="AV96" s="413"/>
      <c r="AW96" s="596"/>
      <c r="AX96" s="597"/>
    </row>
    <row r="97" spans="2:48" ht="12.75" customHeight="1" x14ac:dyDescent="0.2">
      <c r="B97" s="60"/>
      <c r="C97" s="68"/>
      <c r="D97" s="84"/>
      <c r="E97" s="84"/>
      <c r="F97" s="84"/>
      <c r="G97" s="84"/>
      <c r="H97" s="84"/>
      <c r="I97" s="84"/>
      <c r="J97" s="84"/>
      <c r="K97" s="84"/>
      <c r="L97" s="84"/>
      <c r="M97" s="84"/>
      <c r="N97" s="84"/>
      <c r="O97" s="84"/>
      <c r="P97" s="84"/>
      <c r="Q97" s="84"/>
      <c r="R97" s="84"/>
      <c r="S97" s="84"/>
      <c r="T97" s="84"/>
      <c r="U97" s="84"/>
      <c r="V97" s="560"/>
      <c r="W97" s="561"/>
      <c r="X97" s="561"/>
      <c r="Y97" s="562"/>
      <c r="Z97" s="84"/>
      <c r="AA97" s="84"/>
      <c r="AB97" s="111"/>
      <c r="AC97" s="61"/>
      <c r="AD97" s="68"/>
      <c r="AE97" s="120"/>
      <c r="AF97" s="120"/>
      <c r="AG97" s="120"/>
      <c r="AH97" s="120"/>
      <c r="AI97" s="120"/>
      <c r="AJ97" s="120"/>
      <c r="AK97" s="120"/>
      <c r="AL97" s="120"/>
      <c r="AM97" s="120"/>
      <c r="AN97" s="120"/>
      <c r="AO97" s="120"/>
      <c r="AP97" s="120"/>
      <c r="AQ97" s="120"/>
      <c r="AR97" s="120"/>
      <c r="AS97" s="120"/>
      <c r="AT97" s="410"/>
      <c r="AU97" s="110"/>
      <c r="AV97" s="220"/>
    </row>
    <row r="98" spans="2:48" ht="19.5" customHeight="1" x14ac:dyDescent="0.2">
      <c r="B98" s="68"/>
      <c r="C98" s="710" t="s">
        <v>935</v>
      </c>
      <c r="D98" s="710"/>
      <c r="E98" s="710"/>
      <c r="F98" s="710"/>
      <c r="G98" s="710"/>
      <c r="H98" s="710"/>
      <c r="I98" s="710"/>
      <c r="J98" s="710"/>
      <c r="K98" s="710"/>
      <c r="L98" s="710"/>
      <c r="M98" s="710"/>
      <c r="N98" s="710"/>
      <c r="O98" s="710"/>
      <c r="P98" s="710"/>
      <c r="Q98" s="710"/>
      <c r="R98" s="710"/>
      <c r="S98" s="710"/>
      <c r="T98" s="710"/>
      <c r="U98" s="710"/>
      <c r="V98" s="710"/>
      <c r="W98" s="710"/>
      <c r="X98" s="710"/>
      <c r="Y98" s="710"/>
      <c r="Z98" s="710"/>
      <c r="AA98" s="710"/>
      <c r="AB98" s="710"/>
      <c r="AC98" s="710"/>
      <c r="AD98" s="710"/>
      <c r="AE98" s="710"/>
      <c r="AF98" s="710"/>
      <c r="AG98" s="710"/>
      <c r="AH98" s="710"/>
      <c r="AI98" s="710"/>
      <c r="AJ98" s="710"/>
      <c r="AK98" s="710"/>
      <c r="AL98" s="710"/>
      <c r="AM98" s="710"/>
      <c r="AN98" s="710"/>
      <c r="AO98" s="710"/>
      <c r="AP98" s="84"/>
      <c r="AQ98" s="84"/>
      <c r="AR98" s="84"/>
      <c r="AS98" s="84"/>
      <c r="AT98" s="152" t="s">
        <v>932</v>
      </c>
      <c r="AU98" s="111"/>
      <c r="AV98" s="220"/>
    </row>
    <row r="99" spans="2:48" ht="19.5" customHeight="1" x14ac:dyDescent="0.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247"/>
      <c r="AU99" s="61"/>
      <c r="AV99" s="110"/>
    </row>
    <row r="100" spans="2:48" x14ac:dyDescent="0.2">
      <c r="AV100" s="111"/>
    </row>
    <row r="101" spans="2:48" ht="13.5" thickBot="1" x14ac:dyDescent="0.25">
      <c r="B101" s="107"/>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109"/>
    </row>
    <row r="102" spans="2:48" ht="16.5" thickTop="1" x14ac:dyDescent="0.25">
      <c r="B102" s="60"/>
      <c r="C102" s="107"/>
      <c r="D102" s="82"/>
      <c r="E102" s="265" t="str">
        <f>'Sprachen &amp; Rückgabewerte(2)'!$H$138</f>
        <v>Rinnenbestellung</v>
      </c>
      <c r="F102" s="82"/>
      <c r="G102" s="82"/>
      <c r="H102" s="82"/>
      <c r="I102" s="82"/>
      <c r="J102" s="82"/>
      <c r="K102" s="82"/>
      <c r="L102" s="82"/>
      <c r="M102" s="82"/>
      <c r="N102" s="82"/>
      <c r="O102" s="82"/>
      <c r="P102" s="82"/>
      <c r="Q102" s="82"/>
      <c r="R102" s="82"/>
      <c r="S102" s="82"/>
      <c r="T102" s="82"/>
      <c r="U102" s="82"/>
      <c r="V102" s="82"/>
      <c r="W102" s="82"/>
      <c r="X102" s="82"/>
      <c r="Y102" s="82"/>
      <c r="Z102" s="109"/>
      <c r="AA102" s="61"/>
      <c r="AB102" s="232"/>
      <c r="AC102" s="233"/>
      <c r="AD102" s="233"/>
      <c r="AE102" s="233"/>
      <c r="AF102" s="248"/>
      <c r="AG102" s="249"/>
      <c r="AH102" s="252"/>
      <c r="AI102" s="248"/>
      <c r="AJ102" s="248"/>
      <c r="AK102" s="248"/>
      <c r="AL102" s="248"/>
      <c r="AM102" s="249"/>
      <c r="AN102" s="252"/>
      <c r="AO102" s="248"/>
      <c r="AP102" s="248"/>
      <c r="AQ102" s="248"/>
      <c r="AR102" s="248"/>
      <c r="AS102" s="248"/>
      <c r="AT102" s="249"/>
      <c r="AU102" s="110"/>
    </row>
    <row r="103" spans="2:48" x14ac:dyDescent="0.2">
      <c r="B103" s="60"/>
      <c r="C103" s="60"/>
      <c r="D103" s="61"/>
      <c r="E103" s="61"/>
      <c r="F103" s="61"/>
      <c r="G103" s="61"/>
      <c r="H103" s="61"/>
      <c r="I103" s="61"/>
      <c r="J103" s="61"/>
      <c r="K103" s="61"/>
      <c r="L103" s="61"/>
      <c r="M103" s="61"/>
      <c r="N103" s="61"/>
      <c r="O103" s="61"/>
      <c r="P103" s="61"/>
      <c r="Q103" s="61"/>
      <c r="R103" s="61"/>
      <c r="S103" s="61"/>
      <c r="T103" s="61"/>
      <c r="U103" s="61"/>
      <c r="V103" s="61"/>
      <c r="W103" s="61"/>
      <c r="X103" s="61"/>
      <c r="Y103" s="61"/>
      <c r="Z103" s="110"/>
      <c r="AA103" s="61"/>
      <c r="AB103" s="235"/>
      <c r="AC103" s="61"/>
      <c r="AD103" s="61"/>
      <c r="AE103" s="61"/>
      <c r="AF103" s="127"/>
      <c r="AG103" s="250"/>
      <c r="AH103" s="253"/>
      <c r="AI103" s="127"/>
      <c r="AJ103" s="127"/>
      <c r="AK103" s="127"/>
      <c r="AL103" s="127"/>
      <c r="AM103" s="250"/>
      <c r="AN103" s="253"/>
      <c r="AO103" s="127"/>
      <c r="AP103" s="127"/>
      <c r="AQ103" s="127"/>
      <c r="AR103" s="127"/>
      <c r="AS103" s="127"/>
      <c r="AT103" s="250"/>
      <c r="AU103" s="128"/>
    </row>
    <row r="104" spans="2:48" ht="15" customHeight="1" x14ac:dyDescent="0.2">
      <c r="B104" s="60"/>
      <c r="C104" s="60"/>
      <c r="D104" s="61"/>
      <c r="E104" s="72" t="str">
        <f>'Sprachen &amp; Rückgabewerte(2)'!$H$139</f>
        <v>Wahl des Rinnensystems:</v>
      </c>
      <c r="F104" s="61"/>
      <c r="G104" s="61"/>
      <c r="H104" s="61"/>
      <c r="I104" s="61"/>
      <c r="J104" s="61"/>
      <c r="K104" s="61"/>
      <c r="L104" s="61"/>
      <c r="M104" s="61"/>
      <c r="N104" s="61"/>
      <c r="O104" s="61"/>
      <c r="P104" s="61"/>
      <c r="Q104" s="61"/>
      <c r="R104" s="61"/>
      <c r="S104" s="61"/>
      <c r="T104" s="727"/>
      <c r="U104" s="729"/>
      <c r="V104" s="230"/>
      <c r="W104" s="230"/>
      <c r="X104" s="61"/>
      <c r="Y104" s="61"/>
      <c r="Z104" s="110"/>
      <c r="AB104" s="235"/>
      <c r="AC104" s="61"/>
      <c r="AD104" s="61"/>
      <c r="AE104" s="61"/>
      <c r="AF104" s="127"/>
      <c r="AG104" s="250"/>
      <c r="AH104" s="253"/>
      <c r="AI104" s="127"/>
      <c r="AJ104" s="127"/>
      <c r="AK104" s="127"/>
      <c r="AL104" s="127"/>
      <c r="AM104" s="250"/>
      <c r="AN104" s="253"/>
      <c r="AO104" s="127"/>
      <c r="AP104" s="127"/>
      <c r="AQ104" s="127"/>
      <c r="AR104" s="127"/>
      <c r="AS104" s="127"/>
      <c r="AT104" s="250"/>
      <c r="AU104" s="128"/>
    </row>
    <row r="105" spans="2:48" x14ac:dyDescent="0.2">
      <c r="B105" s="60"/>
      <c r="C105" s="60"/>
      <c r="D105" s="61"/>
      <c r="E105" s="61"/>
      <c r="F105" s="61"/>
      <c r="G105" s="61"/>
      <c r="H105" s="61"/>
      <c r="I105" s="61"/>
      <c r="J105" s="61"/>
      <c r="K105" s="61"/>
      <c r="L105" s="61"/>
      <c r="M105" s="61"/>
      <c r="N105" s="61"/>
      <c r="O105" s="61"/>
      <c r="P105" s="61"/>
      <c r="Q105" s="61"/>
      <c r="R105" s="61"/>
      <c r="S105" s="61"/>
      <c r="T105" s="61"/>
      <c r="U105" s="61"/>
      <c r="V105" s="61"/>
      <c r="W105" s="61"/>
      <c r="X105" s="61"/>
      <c r="Y105" s="61"/>
      <c r="Z105" s="110"/>
      <c r="AB105" s="235"/>
      <c r="AC105" s="61"/>
      <c r="AD105" s="61"/>
      <c r="AE105" s="61"/>
      <c r="AF105" s="127"/>
      <c r="AG105" s="250"/>
      <c r="AH105" s="253"/>
      <c r="AI105" s="127"/>
      <c r="AJ105" s="127"/>
      <c r="AK105" s="127"/>
      <c r="AL105" s="127"/>
      <c r="AM105" s="250"/>
      <c r="AN105" s="253"/>
      <c r="AO105" s="127"/>
      <c r="AP105" s="127"/>
      <c r="AQ105" s="127"/>
      <c r="AR105" s="127"/>
      <c r="AS105" s="127"/>
      <c r="AT105" s="250"/>
      <c r="AU105" s="128"/>
    </row>
    <row r="106" spans="2:48" ht="15" customHeight="1" x14ac:dyDescent="0.2">
      <c r="B106" s="60"/>
      <c r="C106" s="60"/>
      <c r="D106" s="61"/>
      <c r="E106" s="72" t="str">
        <f>'Sprachen &amp; Rückgabewerte(2)'!$H$140</f>
        <v>Einzug an der linken Anlagenseite:</v>
      </c>
      <c r="F106" s="61"/>
      <c r="G106" s="61"/>
      <c r="H106" s="61"/>
      <c r="I106" s="61"/>
      <c r="J106" s="61"/>
      <c r="K106" s="61"/>
      <c r="L106" s="61"/>
      <c r="M106" s="61"/>
      <c r="N106" s="61"/>
      <c r="O106" s="61"/>
      <c r="P106" s="61"/>
      <c r="Q106" s="61"/>
      <c r="R106" s="61"/>
      <c r="S106" s="61"/>
      <c r="T106" s="704"/>
      <c r="U106" s="733"/>
      <c r="V106" s="61" t="s">
        <v>176</v>
      </c>
      <c r="W106" s="61"/>
      <c r="X106" s="61"/>
      <c r="Y106" s="61"/>
      <c r="Z106" s="110"/>
      <c r="AB106" s="235"/>
      <c r="AC106" s="61"/>
      <c r="AD106" s="61"/>
      <c r="AE106" s="61"/>
      <c r="AF106" s="127"/>
      <c r="AG106" s="250"/>
      <c r="AH106" s="253"/>
      <c r="AI106" s="127"/>
      <c r="AJ106" s="127"/>
      <c r="AK106" s="127"/>
      <c r="AL106" s="127"/>
      <c r="AM106" s="250"/>
      <c r="AN106" s="253"/>
      <c r="AO106" s="127"/>
      <c r="AP106" s="127"/>
      <c r="AQ106" s="127"/>
      <c r="AR106" s="127"/>
      <c r="AS106" s="127"/>
      <c r="AT106" s="250"/>
      <c r="AU106" s="128"/>
    </row>
    <row r="107" spans="2:48" x14ac:dyDescent="0.2">
      <c r="B107" s="60"/>
      <c r="C107" s="60"/>
      <c r="D107" s="61"/>
      <c r="E107" s="61"/>
      <c r="F107" s="61"/>
      <c r="G107" s="61"/>
      <c r="H107" s="61"/>
      <c r="I107" s="61"/>
      <c r="J107" s="61"/>
      <c r="K107" s="61"/>
      <c r="L107" s="61"/>
      <c r="M107" s="61"/>
      <c r="N107" s="61"/>
      <c r="O107" s="61"/>
      <c r="P107" s="61"/>
      <c r="Q107" s="61"/>
      <c r="R107" s="61"/>
      <c r="S107" s="61"/>
      <c r="T107" s="61"/>
      <c r="U107" s="61"/>
      <c r="V107" s="61"/>
      <c r="W107" s="61"/>
      <c r="X107" s="61"/>
      <c r="Y107" s="61"/>
      <c r="Z107" s="110"/>
      <c r="AB107" s="235"/>
      <c r="AC107" s="61"/>
      <c r="AD107" s="61"/>
      <c r="AE107" s="61"/>
      <c r="AF107" s="127"/>
      <c r="AG107" s="250"/>
      <c r="AH107" s="253"/>
      <c r="AI107" s="127"/>
      <c r="AJ107" s="127"/>
      <c r="AK107" s="127"/>
      <c r="AL107" s="127"/>
      <c r="AM107" s="250"/>
      <c r="AN107" s="253"/>
      <c r="AO107" s="127"/>
      <c r="AP107" s="127"/>
      <c r="AQ107" s="127"/>
      <c r="AR107" s="127"/>
      <c r="AS107" s="127"/>
      <c r="AT107" s="250"/>
      <c r="AU107" s="128"/>
    </row>
    <row r="108" spans="2:48" ht="15" customHeight="1" x14ac:dyDescent="0.2">
      <c r="B108" s="60"/>
      <c r="C108" s="60"/>
      <c r="D108" s="61"/>
      <c r="E108" s="72" t="str">
        <f>'Sprachen &amp; Rückgabewerte(2)'!$H$141</f>
        <v>Einzug an der rechten Anlagenseite:</v>
      </c>
      <c r="F108" s="61"/>
      <c r="G108" s="61"/>
      <c r="H108" s="61"/>
      <c r="I108" s="61"/>
      <c r="J108" s="61"/>
      <c r="K108" s="61"/>
      <c r="L108" s="61"/>
      <c r="M108" s="61"/>
      <c r="N108" s="61"/>
      <c r="O108" s="61"/>
      <c r="P108" s="61"/>
      <c r="Q108" s="61"/>
      <c r="R108" s="61"/>
      <c r="S108" s="61"/>
      <c r="T108" s="704"/>
      <c r="U108" s="733"/>
      <c r="V108" s="61" t="s">
        <v>176</v>
      </c>
      <c r="W108" s="61"/>
      <c r="X108" s="61"/>
      <c r="Y108" s="61"/>
      <c r="Z108" s="110"/>
      <c r="AB108" s="235"/>
      <c r="AC108" s="61"/>
      <c r="AD108" s="61"/>
      <c r="AE108" s="61"/>
      <c r="AF108" s="127"/>
      <c r="AG108" s="250"/>
      <c r="AH108" s="253"/>
      <c r="AI108" s="127"/>
      <c r="AJ108" s="127"/>
      <c r="AK108" s="127"/>
      <c r="AL108" s="127"/>
      <c r="AM108" s="250"/>
      <c r="AN108" s="253"/>
      <c r="AO108" s="127"/>
      <c r="AP108" s="127"/>
      <c r="AQ108" s="127"/>
      <c r="AR108" s="127"/>
      <c r="AS108" s="127"/>
      <c r="AT108" s="250"/>
      <c r="AU108" s="128"/>
    </row>
    <row r="109" spans="2:48" x14ac:dyDescent="0.2">
      <c r="B109" s="60"/>
      <c r="C109" s="60"/>
      <c r="D109" s="61"/>
      <c r="E109" s="61"/>
      <c r="F109" s="61"/>
      <c r="G109" s="61"/>
      <c r="H109" s="61"/>
      <c r="I109" s="61"/>
      <c r="J109" s="61"/>
      <c r="K109" s="61"/>
      <c r="L109" s="61"/>
      <c r="M109" s="61"/>
      <c r="N109" s="61"/>
      <c r="O109" s="61"/>
      <c r="P109" s="61"/>
      <c r="Q109" s="61"/>
      <c r="R109" s="61"/>
      <c r="S109" s="61"/>
      <c r="T109" s="61"/>
      <c r="U109" s="61"/>
      <c r="V109" s="61"/>
      <c r="W109" s="61"/>
      <c r="X109" s="61"/>
      <c r="Y109" s="61"/>
      <c r="Z109" s="110"/>
      <c r="AB109" s="235"/>
      <c r="AC109" s="61"/>
      <c r="AD109" s="61"/>
      <c r="AE109" s="61"/>
      <c r="AF109" s="127"/>
      <c r="AG109" s="250"/>
      <c r="AH109" s="253"/>
      <c r="AI109" s="127"/>
      <c r="AJ109" s="127"/>
      <c r="AK109" s="127"/>
      <c r="AL109" s="127"/>
      <c r="AM109" s="250"/>
      <c r="AN109" s="253"/>
      <c r="AO109" s="127"/>
      <c r="AP109" s="127"/>
      <c r="AQ109" s="127"/>
      <c r="AR109" s="127"/>
      <c r="AS109" s="127"/>
      <c r="AT109" s="250"/>
      <c r="AU109" s="128"/>
    </row>
    <row r="110" spans="2:48" ht="15" customHeight="1" x14ac:dyDescent="0.2">
      <c r="B110" s="60"/>
      <c r="C110" s="60"/>
      <c r="D110" s="61"/>
      <c r="E110" s="72" t="str">
        <f>'Sprachen &amp; Rückgabewerte(2)'!$H$142</f>
        <v>Anschlussstutzen:</v>
      </c>
      <c r="F110" s="61"/>
      <c r="G110" s="61"/>
      <c r="H110" s="61"/>
      <c r="I110" s="61"/>
      <c r="J110" s="61"/>
      <c r="K110" s="61"/>
      <c r="L110" s="61"/>
      <c r="M110" s="61"/>
      <c r="N110" s="61"/>
      <c r="O110" s="61"/>
      <c r="P110" s="61"/>
      <c r="Q110" s="61"/>
      <c r="R110" s="61"/>
      <c r="S110" s="61"/>
      <c r="T110" s="727"/>
      <c r="U110" s="728"/>
      <c r="V110" s="728"/>
      <c r="W110" s="728"/>
      <c r="X110" s="728"/>
      <c r="Y110" s="729"/>
      <c r="Z110" s="537"/>
      <c r="AB110" s="254"/>
      <c r="AC110" s="255"/>
      <c r="AD110" s="255"/>
      <c r="AE110" s="255"/>
      <c r="AF110" s="256"/>
      <c r="AG110" s="257"/>
      <c r="AH110" s="258"/>
      <c r="AI110" s="256"/>
      <c r="AJ110" s="256"/>
      <c r="AK110" s="256"/>
      <c r="AL110" s="256"/>
      <c r="AM110" s="257"/>
      <c r="AN110" s="258"/>
      <c r="AO110" s="256"/>
      <c r="AP110" s="256"/>
      <c r="AQ110" s="256"/>
      <c r="AR110" s="256"/>
      <c r="AS110" s="256"/>
      <c r="AT110" s="257"/>
      <c r="AU110" s="128"/>
    </row>
    <row r="111" spans="2:48" x14ac:dyDescent="0.2">
      <c r="B111" s="60"/>
      <c r="C111" s="60"/>
      <c r="D111" s="61"/>
      <c r="E111" s="61"/>
      <c r="F111" s="61"/>
      <c r="G111" s="61"/>
      <c r="H111" s="61"/>
      <c r="I111" s="61"/>
      <c r="J111" s="61"/>
      <c r="K111" s="61"/>
      <c r="L111" s="61"/>
      <c r="M111" s="61"/>
      <c r="N111" s="61"/>
      <c r="O111" s="61"/>
      <c r="P111" s="61"/>
      <c r="Q111" s="61"/>
      <c r="R111" s="61"/>
      <c r="S111" s="61"/>
      <c r="T111" s="61"/>
      <c r="U111" s="61"/>
      <c r="V111" s="61"/>
      <c r="W111" s="61"/>
      <c r="X111" s="61"/>
      <c r="Y111" s="61"/>
      <c r="Z111" s="110"/>
      <c r="AB111" s="259"/>
      <c r="AC111" s="260"/>
      <c r="AD111" s="260"/>
      <c r="AE111" s="260"/>
      <c r="AF111" s="261"/>
      <c r="AG111" s="262"/>
      <c r="AH111" s="261"/>
      <c r="AI111" s="261"/>
      <c r="AJ111" s="261"/>
      <c r="AK111" s="261"/>
      <c r="AL111" s="261"/>
      <c r="AM111" s="261"/>
      <c r="AN111" s="263"/>
      <c r="AO111" s="261"/>
      <c r="AP111" s="261"/>
      <c r="AQ111" s="261"/>
      <c r="AR111" s="261"/>
      <c r="AS111" s="261"/>
      <c r="AT111" s="262"/>
      <c r="AU111" s="128"/>
    </row>
    <row r="112" spans="2:48" ht="15" customHeight="1" x14ac:dyDescent="0.2">
      <c r="B112" s="60"/>
      <c r="C112" s="60"/>
      <c r="D112" s="61"/>
      <c r="E112" s="61"/>
      <c r="F112" s="61"/>
      <c r="G112" s="61"/>
      <c r="H112" s="61"/>
      <c r="I112" s="61"/>
      <c r="J112" s="61"/>
      <c r="K112" s="61"/>
      <c r="L112" s="61"/>
      <c r="M112" s="61"/>
      <c r="N112" s="61"/>
      <c r="O112" s="61"/>
      <c r="P112" s="61"/>
      <c r="Q112" s="61"/>
      <c r="R112" s="268" t="str">
        <f>IF($T$110='Sprachen &amp; Rückgabewerte(2)'!$J$143,'Sprachen &amp; Rückgabewerte(2)'!$H$145,'Sprachen &amp; Rückgabewerte(2)'!$H$148)</f>
        <v>Abstände Ablaufstutzen (E):</v>
      </c>
      <c r="S112" s="61"/>
      <c r="T112" s="730"/>
      <c r="U112" s="731"/>
      <c r="V112" s="731"/>
      <c r="W112" s="731"/>
      <c r="X112" s="731"/>
      <c r="Y112" s="732"/>
      <c r="Z112" s="538"/>
      <c r="AB112" s="235"/>
      <c r="AC112" s="61"/>
      <c r="AD112" s="61"/>
      <c r="AE112" s="61"/>
      <c r="AF112" s="127"/>
      <c r="AG112" s="250"/>
      <c r="AH112" s="127"/>
      <c r="AI112" s="127"/>
      <c r="AJ112" s="127"/>
      <c r="AK112" s="127"/>
      <c r="AL112" s="127"/>
      <c r="AM112" s="127"/>
      <c r="AN112" s="253"/>
      <c r="AO112" s="127"/>
      <c r="AP112" s="127"/>
      <c r="AQ112" s="127"/>
      <c r="AR112" s="127"/>
      <c r="AS112" s="127"/>
      <c r="AT112" s="250"/>
      <c r="AU112" s="128"/>
    </row>
    <row r="113" spans="2:47" x14ac:dyDescent="0.2">
      <c r="B113" s="60"/>
      <c r="C113" s="60"/>
      <c r="D113" s="61"/>
      <c r="E113" s="269"/>
      <c r="F113" s="269"/>
      <c r="G113" s="269"/>
      <c r="H113" s="269"/>
      <c r="I113" s="269"/>
      <c r="J113" s="269"/>
      <c r="K113" s="269"/>
      <c r="L113" s="269"/>
      <c r="M113" s="269"/>
      <c r="N113" s="269"/>
      <c r="O113" s="269"/>
      <c r="P113" s="269"/>
      <c r="Q113" s="269"/>
      <c r="R113" s="269"/>
      <c r="S113" s="269"/>
      <c r="T113" s="61"/>
      <c r="U113" s="61"/>
      <c r="V113" s="61"/>
      <c r="W113" s="61"/>
      <c r="X113" s="61"/>
      <c r="Y113" s="61"/>
      <c r="Z113" s="110"/>
      <c r="AB113" s="235"/>
      <c r="AC113" s="61"/>
      <c r="AD113" s="61"/>
      <c r="AE113" s="61"/>
      <c r="AF113" s="127"/>
      <c r="AG113" s="250"/>
      <c r="AH113" s="127"/>
      <c r="AI113" s="127"/>
      <c r="AJ113" s="127"/>
      <c r="AK113" s="127"/>
      <c r="AL113" s="127"/>
      <c r="AM113" s="127"/>
      <c r="AN113" s="253"/>
      <c r="AO113" s="127"/>
      <c r="AP113" s="127"/>
      <c r="AQ113" s="127"/>
      <c r="AR113" s="127"/>
      <c r="AS113" s="127"/>
      <c r="AT113" s="250"/>
      <c r="AU113" s="110"/>
    </row>
    <row r="114" spans="2:47" ht="15" customHeight="1" x14ac:dyDescent="0.2">
      <c r="B114" s="60"/>
      <c r="C114" s="60"/>
      <c r="D114" s="61"/>
      <c r="E114" s="269"/>
      <c r="F114" s="269"/>
      <c r="G114" s="269"/>
      <c r="H114" s="269"/>
      <c r="I114" s="269"/>
      <c r="J114" s="269"/>
      <c r="K114" s="269"/>
      <c r="L114" s="269"/>
      <c r="M114" s="269"/>
      <c r="N114" s="269"/>
      <c r="O114" s="269"/>
      <c r="P114" s="269"/>
      <c r="Q114" s="269"/>
      <c r="R114" s="268" t="str">
        <f>'Sprachen &amp; Rückgabewerte(2)'!H149</f>
        <v>Rinnenanschluss:</v>
      </c>
      <c r="S114" s="269"/>
      <c r="T114" s="727"/>
      <c r="U114" s="729"/>
      <c r="V114" s="61"/>
      <c r="W114" s="61"/>
      <c r="X114" s="61"/>
      <c r="Y114" s="61"/>
      <c r="Z114" s="110"/>
      <c r="AB114" s="235"/>
      <c r="AC114" s="61"/>
      <c r="AD114" s="61"/>
      <c r="AE114" s="61"/>
      <c r="AF114" s="127"/>
      <c r="AG114" s="250"/>
      <c r="AH114" s="127"/>
      <c r="AI114" s="127"/>
      <c r="AJ114" s="127"/>
      <c r="AK114" s="127"/>
      <c r="AL114" s="127"/>
      <c r="AM114" s="127"/>
      <c r="AN114" s="253"/>
      <c r="AO114" s="127"/>
      <c r="AP114" s="127"/>
      <c r="AQ114" s="127"/>
      <c r="AR114" s="127"/>
      <c r="AS114" s="127"/>
      <c r="AT114" s="250"/>
      <c r="AU114" s="110"/>
    </row>
    <row r="115" spans="2:47" x14ac:dyDescent="0.2">
      <c r="B115" s="60"/>
      <c r="C115" s="60"/>
      <c r="D115" s="61"/>
      <c r="E115" s="61"/>
      <c r="F115" s="61"/>
      <c r="G115" s="61"/>
      <c r="H115" s="61"/>
      <c r="I115" s="61"/>
      <c r="J115" s="61"/>
      <c r="K115" s="61"/>
      <c r="L115" s="61"/>
      <c r="M115" s="61"/>
      <c r="N115" s="61"/>
      <c r="O115" s="61"/>
      <c r="P115" s="61"/>
      <c r="Q115" s="61"/>
      <c r="R115" s="61"/>
      <c r="S115" s="61"/>
      <c r="T115" s="61"/>
      <c r="U115" s="61"/>
      <c r="V115" s="61"/>
      <c r="W115" s="61"/>
      <c r="X115" s="61"/>
      <c r="Y115" s="61"/>
      <c r="Z115" s="110"/>
      <c r="AA115" s="61"/>
      <c r="AB115" s="235"/>
      <c r="AC115" s="61"/>
      <c r="AD115" s="61"/>
      <c r="AE115" s="61"/>
      <c r="AF115" s="61"/>
      <c r="AG115" s="250"/>
      <c r="AH115" s="127"/>
      <c r="AI115" s="127"/>
      <c r="AJ115" s="127"/>
      <c r="AK115" s="127"/>
      <c r="AL115" s="127"/>
      <c r="AM115" s="127"/>
      <c r="AN115" s="253"/>
      <c r="AO115" s="61"/>
      <c r="AP115" s="61"/>
      <c r="AQ115" s="61"/>
      <c r="AR115" s="61"/>
      <c r="AS115" s="61"/>
      <c r="AT115" s="237"/>
      <c r="AU115" s="110"/>
    </row>
    <row r="116" spans="2:47" x14ac:dyDescent="0.2">
      <c r="B116" s="60"/>
      <c r="C116" s="60"/>
      <c r="D116" s="61"/>
      <c r="E116" s="698" t="str">
        <f>IF('Sprachen &amp; Rückgabewerte(2)'!$I$50=TRUE,'Sprachen &amp; Rückgabewerte(2)'!$H$102,"")</f>
        <v/>
      </c>
      <c r="F116" s="698"/>
      <c r="G116" s="698"/>
      <c r="H116" s="698"/>
      <c r="I116" s="698"/>
      <c r="J116" s="698"/>
      <c r="K116" s="698"/>
      <c r="L116" s="698"/>
      <c r="M116" s="698"/>
      <c r="N116" s="698"/>
      <c r="O116" s="698"/>
      <c r="P116" s="698"/>
      <c r="Q116" s="698"/>
      <c r="R116" s="698"/>
      <c r="S116" s="61"/>
      <c r="T116" s="61"/>
      <c r="U116" s="61"/>
      <c r="V116" s="61"/>
      <c r="W116" s="61"/>
      <c r="X116" s="61"/>
      <c r="Y116" s="61"/>
      <c r="Z116" s="110"/>
      <c r="AA116" s="61"/>
      <c r="AB116" s="235"/>
      <c r="AC116" s="61"/>
      <c r="AD116" s="61"/>
      <c r="AE116" s="61"/>
      <c r="AF116" s="61"/>
      <c r="AG116" s="250"/>
      <c r="AH116" s="127"/>
      <c r="AI116" s="127"/>
      <c r="AJ116" s="127"/>
      <c r="AK116" s="127"/>
      <c r="AL116" s="127"/>
      <c r="AM116" s="127"/>
      <c r="AN116" s="253"/>
      <c r="AO116" s="61"/>
      <c r="AP116" s="61"/>
      <c r="AQ116" s="61"/>
      <c r="AR116" s="61"/>
      <c r="AS116" s="61"/>
      <c r="AT116" s="237"/>
      <c r="AU116" s="110"/>
    </row>
    <row r="117" spans="2:47" ht="12.75" customHeight="1" x14ac:dyDescent="0.2">
      <c r="B117" s="60"/>
      <c r="C117" s="60"/>
      <c r="D117" s="61"/>
      <c r="E117" s="698"/>
      <c r="F117" s="698"/>
      <c r="G117" s="698"/>
      <c r="H117" s="698"/>
      <c r="I117" s="698"/>
      <c r="J117" s="698"/>
      <c r="K117" s="698"/>
      <c r="L117" s="698"/>
      <c r="M117" s="698"/>
      <c r="N117" s="698"/>
      <c r="O117" s="698"/>
      <c r="P117" s="698"/>
      <c r="Q117" s="698"/>
      <c r="R117" s="698"/>
      <c r="S117" s="127"/>
      <c r="T117" s="127"/>
      <c r="U117" s="127"/>
      <c r="V117" s="127"/>
      <c r="W117" s="127"/>
      <c r="X117" s="127"/>
      <c r="Y117" s="127"/>
      <c r="Z117" s="128"/>
      <c r="AA117" s="127"/>
      <c r="AB117" s="253"/>
      <c r="AC117" s="127"/>
      <c r="AD117" s="127"/>
      <c r="AE117" s="127"/>
      <c r="AF117" s="127"/>
      <c r="AG117" s="250"/>
      <c r="AH117" s="127"/>
      <c r="AI117" s="127"/>
      <c r="AJ117" s="127"/>
      <c r="AK117" s="127"/>
      <c r="AL117" s="127"/>
      <c r="AM117" s="127"/>
      <c r="AN117" s="253"/>
      <c r="AO117" s="61"/>
      <c r="AP117" s="61"/>
      <c r="AQ117" s="61"/>
      <c r="AR117" s="61"/>
      <c r="AS117" s="61"/>
      <c r="AT117" s="237"/>
      <c r="AU117" s="110"/>
    </row>
    <row r="118" spans="2:47" x14ac:dyDescent="0.2">
      <c r="B118" s="60"/>
      <c r="C118" s="60"/>
      <c r="D118" s="61"/>
      <c r="E118" s="698"/>
      <c r="F118" s="698"/>
      <c r="G118" s="698"/>
      <c r="H118" s="698"/>
      <c r="I118" s="698"/>
      <c r="J118" s="698"/>
      <c r="K118" s="698"/>
      <c r="L118" s="698"/>
      <c r="M118" s="698"/>
      <c r="N118" s="698"/>
      <c r="O118" s="698"/>
      <c r="P118" s="698"/>
      <c r="Q118" s="698"/>
      <c r="R118" s="698"/>
      <c r="S118" s="61"/>
      <c r="T118" s="61"/>
      <c r="U118" s="61"/>
      <c r="V118" s="61"/>
      <c r="W118" s="61"/>
      <c r="X118" s="61"/>
      <c r="Y118" s="61"/>
      <c r="Z118" s="110"/>
      <c r="AB118" s="235"/>
      <c r="AC118" s="61"/>
      <c r="AD118" s="61"/>
      <c r="AE118" s="61"/>
      <c r="AF118" s="61"/>
      <c r="AG118" s="237"/>
      <c r="AH118" s="61"/>
      <c r="AI118" s="61"/>
      <c r="AJ118" s="61"/>
      <c r="AK118" s="61"/>
      <c r="AL118" s="61"/>
      <c r="AM118" s="61"/>
      <c r="AN118" s="235"/>
      <c r="AO118" s="61"/>
      <c r="AP118" s="61"/>
      <c r="AQ118" s="61"/>
      <c r="AR118" s="61"/>
      <c r="AS118" s="61"/>
      <c r="AT118" s="237"/>
      <c r="AU118" s="110"/>
    </row>
    <row r="119" spans="2:47" x14ac:dyDescent="0.2">
      <c r="B119" s="60"/>
      <c r="C119" s="60"/>
      <c r="D119" s="61"/>
      <c r="E119" s="61"/>
      <c r="F119" s="61"/>
      <c r="G119" s="61"/>
      <c r="H119" s="61"/>
      <c r="I119" s="61"/>
      <c r="J119" s="61"/>
      <c r="K119" s="61"/>
      <c r="L119" s="61"/>
      <c r="M119" s="61"/>
      <c r="N119" s="61"/>
      <c r="O119" s="61"/>
      <c r="P119" s="61"/>
      <c r="Q119" s="61"/>
      <c r="R119" s="61"/>
      <c r="S119" s="61"/>
      <c r="T119" s="61"/>
      <c r="U119" s="61"/>
      <c r="V119" s="61"/>
      <c r="W119" s="61"/>
      <c r="X119" s="61"/>
      <c r="Y119" s="61"/>
      <c r="Z119" s="110"/>
      <c r="AB119" s="235"/>
      <c r="AC119" s="61"/>
      <c r="AD119" s="61"/>
      <c r="AE119" s="61"/>
      <c r="AF119" s="61"/>
      <c r="AG119" s="237"/>
      <c r="AH119" s="61"/>
      <c r="AI119" s="61"/>
      <c r="AJ119" s="61"/>
      <c r="AK119" s="61"/>
      <c r="AL119" s="61"/>
      <c r="AM119" s="61"/>
      <c r="AN119" s="235"/>
      <c r="AO119" s="61"/>
      <c r="AP119" s="61"/>
      <c r="AQ119" s="61"/>
      <c r="AR119" s="61"/>
      <c r="AS119" s="61"/>
      <c r="AT119" s="237"/>
      <c r="AU119" s="110"/>
    </row>
    <row r="120" spans="2:47" ht="13.5" thickBot="1" x14ac:dyDescent="0.25">
      <c r="B120" s="60"/>
      <c r="C120" s="68"/>
      <c r="D120" s="84"/>
      <c r="E120" s="84"/>
      <c r="F120" s="84"/>
      <c r="G120" s="84"/>
      <c r="H120" s="84"/>
      <c r="I120" s="84"/>
      <c r="J120" s="84"/>
      <c r="K120" s="84"/>
      <c r="L120" s="84"/>
      <c r="M120" s="84"/>
      <c r="N120" s="84"/>
      <c r="O120" s="84"/>
      <c r="P120" s="84"/>
      <c r="Q120" s="84"/>
      <c r="R120" s="84"/>
      <c r="S120" s="84"/>
      <c r="T120" s="84"/>
      <c r="U120" s="84"/>
      <c r="V120" s="84"/>
      <c r="W120" s="84"/>
      <c r="X120" s="84"/>
      <c r="Y120" s="84"/>
      <c r="Z120" s="111"/>
      <c r="AB120" s="251"/>
      <c r="AC120" s="241"/>
      <c r="AD120" s="241"/>
      <c r="AE120" s="241"/>
      <c r="AF120" s="241"/>
      <c r="AG120" s="243"/>
      <c r="AH120" s="241"/>
      <c r="AI120" s="241"/>
      <c r="AJ120" s="241"/>
      <c r="AK120" s="241"/>
      <c r="AL120" s="241"/>
      <c r="AM120" s="241"/>
      <c r="AN120" s="251"/>
      <c r="AO120" s="241"/>
      <c r="AP120" s="241"/>
      <c r="AQ120" s="241"/>
      <c r="AR120" s="241"/>
      <c r="AS120" s="241"/>
      <c r="AT120" s="243"/>
      <c r="AU120" s="110"/>
    </row>
    <row r="121" spans="2:47" ht="13.5" thickTop="1" x14ac:dyDescent="0.2">
      <c r="B121" s="60"/>
      <c r="AU121" s="110"/>
    </row>
    <row r="122" spans="2:47" ht="12.95" customHeight="1" x14ac:dyDescent="0.2">
      <c r="B122" s="60"/>
      <c r="L122" s="61"/>
      <c r="M122" s="61"/>
      <c r="N122" s="61"/>
      <c r="O122" s="61"/>
      <c r="P122" s="61"/>
      <c r="Q122" s="61"/>
      <c r="R122" s="61"/>
      <c r="S122" s="61"/>
      <c r="T122" s="61"/>
      <c r="U122" s="61"/>
      <c r="V122" s="61"/>
      <c r="W122" s="61"/>
      <c r="X122" s="61"/>
      <c r="Y122" s="61"/>
      <c r="Z122" s="61"/>
      <c r="AA122" s="61"/>
      <c r="AB122" s="107"/>
      <c r="AC122" s="82"/>
      <c r="AD122" s="82"/>
      <c r="AE122" s="82"/>
      <c r="AF122" s="82"/>
      <c r="AG122" s="82"/>
      <c r="AH122" s="82"/>
      <c r="AI122" s="82"/>
      <c r="AJ122" s="82"/>
      <c r="AK122" s="82"/>
      <c r="AL122" s="82"/>
      <c r="AM122" s="82"/>
      <c r="AN122" s="82"/>
      <c r="AO122" s="82"/>
      <c r="AP122" s="82"/>
      <c r="AQ122" s="82"/>
      <c r="AR122" s="82"/>
      <c r="AS122" s="82"/>
      <c r="AT122" s="109"/>
      <c r="AU122" s="110"/>
    </row>
    <row r="123" spans="2:47" ht="12.95" customHeight="1" x14ac:dyDescent="0.2">
      <c r="B123" s="60"/>
      <c r="L123" s="61"/>
      <c r="M123" s="61"/>
      <c r="N123" s="61"/>
      <c r="O123" s="61"/>
      <c r="P123" s="61"/>
      <c r="Q123" s="61"/>
      <c r="R123" s="61"/>
      <c r="S123" s="61"/>
      <c r="T123" s="61"/>
      <c r="U123" s="61"/>
      <c r="V123" s="61"/>
      <c r="W123" s="61"/>
      <c r="X123" s="61"/>
      <c r="Y123" s="61"/>
      <c r="Z123" s="61"/>
      <c r="AA123" s="61"/>
      <c r="AB123" s="60"/>
      <c r="AC123" s="61"/>
      <c r="AD123" s="61"/>
      <c r="AE123" s="61"/>
      <c r="AF123" s="61"/>
      <c r="AG123" s="61"/>
      <c r="AH123" s="61"/>
      <c r="AI123" s="61"/>
      <c r="AJ123" s="61"/>
      <c r="AK123" s="61"/>
      <c r="AL123" s="61"/>
      <c r="AM123" s="61"/>
      <c r="AN123" s="61"/>
      <c r="AO123" s="61"/>
      <c r="AP123" s="61"/>
      <c r="AQ123" s="61"/>
      <c r="AR123" s="61"/>
      <c r="AS123" s="61"/>
      <c r="AT123" s="110"/>
      <c r="AU123" s="110"/>
    </row>
    <row r="124" spans="2:47" ht="12.95" customHeight="1" x14ac:dyDescent="0.2">
      <c r="B124" s="60"/>
      <c r="L124" s="61"/>
      <c r="M124" s="61"/>
      <c r="N124" s="61"/>
      <c r="O124" s="61"/>
      <c r="P124" s="61"/>
      <c r="Q124" s="61"/>
      <c r="R124" s="61"/>
      <c r="S124" s="61"/>
      <c r="T124" s="61"/>
      <c r="U124" s="61"/>
      <c r="V124" s="61"/>
      <c r="W124" s="61"/>
      <c r="X124" s="61"/>
      <c r="Y124" s="61"/>
      <c r="Z124" s="61"/>
      <c r="AA124" s="61"/>
      <c r="AB124" s="60"/>
      <c r="AC124" s="61"/>
      <c r="AD124" s="61"/>
      <c r="AE124" s="61"/>
      <c r="AF124" s="61"/>
      <c r="AG124" s="61"/>
      <c r="AH124" s="61"/>
      <c r="AI124" s="61"/>
      <c r="AJ124" s="61"/>
      <c r="AK124" s="61"/>
      <c r="AL124" s="61"/>
      <c r="AM124" s="61"/>
      <c r="AN124" s="61"/>
      <c r="AO124" s="61"/>
      <c r="AP124" s="61"/>
      <c r="AQ124" s="61"/>
      <c r="AR124" s="61"/>
      <c r="AS124" s="61"/>
      <c r="AT124" s="110"/>
      <c r="AU124" s="110"/>
    </row>
    <row r="125" spans="2:47" ht="12.95" customHeight="1" x14ac:dyDescent="0.2">
      <c r="B125" s="60"/>
      <c r="L125" s="61"/>
      <c r="M125" s="61"/>
      <c r="N125" s="61"/>
      <c r="O125" s="61"/>
      <c r="P125" s="61"/>
      <c r="Q125" s="61"/>
      <c r="R125" s="61"/>
      <c r="S125" s="61"/>
      <c r="T125" s="61"/>
      <c r="U125" s="61"/>
      <c r="V125" s="61"/>
      <c r="W125" s="61"/>
      <c r="X125" s="61"/>
      <c r="Y125" s="61"/>
      <c r="Z125" s="61"/>
      <c r="AA125" s="61"/>
      <c r="AB125" s="60"/>
      <c r="AC125" s="61"/>
      <c r="AD125" s="61"/>
      <c r="AE125" s="61"/>
      <c r="AF125" s="61"/>
      <c r="AG125" s="61"/>
      <c r="AH125" s="61"/>
      <c r="AI125" s="61"/>
      <c r="AJ125" s="61"/>
      <c r="AK125" s="61"/>
      <c r="AL125" s="61"/>
      <c r="AM125" s="61"/>
      <c r="AN125" s="61"/>
      <c r="AO125" s="61"/>
      <c r="AP125" s="61"/>
      <c r="AQ125" s="61"/>
      <c r="AR125" s="61"/>
      <c r="AS125" s="61"/>
      <c r="AT125" s="110"/>
      <c r="AU125" s="110"/>
    </row>
    <row r="126" spans="2:47" ht="12.95" customHeight="1" x14ac:dyDescent="0.2">
      <c r="B126" s="60"/>
      <c r="L126" s="61"/>
      <c r="M126" s="61"/>
      <c r="N126" s="61"/>
      <c r="O126" s="61"/>
      <c r="P126" s="61"/>
      <c r="Q126" s="61"/>
      <c r="R126" s="61"/>
      <c r="S126" s="61"/>
      <c r="T126" s="61"/>
      <c r="U126" s="61"/>
      <c r="V126" s="61"/>
      <c r="W126" s="61"/>
      <c r="X126" s="61"/>
      <c r="Y126" s="61"/>
      <c r="Z126" s="61"/>
      <c r="AA126" s="61"/>
      <c r="AB126" s="60"/>
      <c r="AC126" s="61"/>
      <c r="AD126" s="61"/>
      <c r="AE126" s="61"/>
      <c r="AF126" s="61"/>
      <c r="AG126" s="61"/>
      <c r="AH126" s="61"/>
      <c r="AI126" s="61"/>
      <c r="AJ126" s="61"/>
      <c r="AK126" s="127"/>
      <c r="AL126" s="127"/>
      <c r="AM126" s="127"/>
      <c r="AN126" s="127"/>
      <c r="AO126" s="127"/>
      <c r="AP126" s="61"/>
      <c r="AQ126" s="61"/>
      <c r="AR126" s="61"/>
      <c r="AS126" s="61"/>
      <c r="AT126" s="110"/>
      <c r="AU126" s="110"/>
    </row>
    <row r="127" spans="2:47" ht="12.95" customHeight="1" x14ac:dyDescent="0.2">
      <c r="B127" s="60"/>
      <c r="L127" s="61"/>
      <c r="M127" s="61"/>
      <c r="N127" s="61"/>
      <c r="O127" s="61"/>
      <c r="P127" s="61"/>
      <c r="Q127" s="61"/>
      <c r="R127" s="61"/>
      <c r="S127" s="61"/>
      <c r="T127" s="61"/>
      <c r="U127" s="61"/>
      <c r="V127" s="61"/>
      <c r="W127" s="61"/>
      <c r="X127" s="61"/>
      <c r="Y127" s="61"/>
      <c r="Z127" s="61"/>
      <c r="AA127" s="61"/>
      <c r="AB127" s="60"/>
      <c r="AC127" s="61"/>
      <c r="AD127" s="61"/>
      <c r="AE127" s="61"/>
      <c r="AF127" s="61"/>
      <c r="AG127" s="61"/>
      <c r="AH127" s="61"/>
      <c r="AI127" s="61"/>
      <c r="AJ127" s="61"/>
      <c r="AK127" s="127"/>
      <c r="AL127" s="127"/>
      <c r="AM127" s="127"/>
      <c r="AN127" s="127"/>
      <c r="AO127" s="127"/>
      <c r="AP127" s="61"/>
      <c r="AQ127" s="61"/>
      <c r="AR127" s="61"/>
      <c r="AS127" s="61"/>
      <c r="AT127" s="110"/>
      <c r="AU127" s="110"/>
    </row>
    <row r="128" spans="2:47" ht="12.95" customHeight="1" x14ac:dyDescent="0.2">
      <c r="B128" s="60"/>
      <c r="L128" s="61"/>
      <c r="M128" s="61"/>
      <c r="N128" s="61"/>
      <c r="O128" s="61"/>
      <c r="P128" s="61"/>
      <c r="Q128" s="61"/>
      <c r="R128" s="61"/>
      <c r="S128" s="61"/>
      <c r="T128" s="61"/>
      <c r="U128" s="61"/>
      <c r="V128" s="61"/>
      <c r="W128" s="61"/>
      <c r="X128" s="61"/>
      <c r="Y128" s="61"/>
      <c r="Z128" s="61"/>
      <c r="AA128" s="61"/>
      <c r="AB128" s="60"/>
      <c r="AC128" s="61"/>
      <c r="AD128" s="61"/>
      <c r="AE128" s="61"/>
      <c r="AF128" s="61"/>
      <c r="AG128" s="61"/>
      <c r="AH128" s="61"/>
      <c r="AI128" s="61"/>
      <c r="AJ128" s="61"/>
      <c r="AK128" s="127"/>
      <c r="AL128" s="127"/>
      <c r="AM128" s="127"/>
      <c r="AN128" s="127"/>
      <c r="AO128" s="127"/>
      <c r="AP128" s="61"/>
      <c r="AQ128" s="61"/>
      <c r="AR128" s="61"/>
      <c r="AS128" s="61"/>
      <c r="AT128" s="110"/>
      <c r="AU128" s="110"/>
    </row>
    <row r="129" spans="2:47" ht="12.95" customHeight="1" x14ac:dyDescent="0.2">
      <c r="B129" s="60"/>
      <c r="L129" s="61"/>
      <c r="M129" s="61"/>
      <c r="N129" s="61"/>
      <c r="O129" s="61"/>
      <c r="P129" s="61"/>
      <c r="Q129" s="61"/>
      <c r="R129" s="61"/>
      <c r="S129" s="61"/>
      <c r="T129" s="61"/>
      <c r="U129" s="61"/>
      <c r="V129" s="61"/>
      <c r="W129" s="61"/>
      <c r="X129" s="61"/>
      <c r="Y129" s="61"/>
      <c r="Z129" s="61"/>
      <c r="AA129" s="61"/>
      <c r="AB129" s="60"/>
      <c r="AC129" s="61"/>
      <c r="AD129" s="61"/>
      <c r="AE129" s="61"/>
      <c r="AF129" s="149"/>
      <c r="AG129" s="61"/>
      <c r="AH129" s="61"/>
      <c r="AI129" s="61"/>
      <c r="AJ129" s="61"/>
      <c r="AK129" s="127"/>
      <c r="AL129" s="127"/>
      <c r="AM129" s="127"/>
      <c r="AN129" s="127"/>
      <c r="AO129" s="127"/>
      <c r="AP129" s="61"/>
      <c r="AQ129" s="61"/>
      <c r="AR129" s="61"/>
      <c r="AS129" s="61"/>
      <c r="AT129" s="110"/>
      <c r="AU129" s="110"/>
    </row>
    <row r="130" spans="2:47" ht="12.95" customHeight="1" x14ac:dyDescent="0.2">
      <c r="B130" s="60"/>
      <c r="L130" s="61"/>
      <c r="M130" s="61"/>
      <c r="N130" s="61"/>
      <c r="O130" s="61"/>
      <c r="P130" s="61"/>
      <c r="Q130" s="61"/>
      <c r="R130" s="61"/>
      <c r="S130" s="61"/>
      <c r="T130" s="61"/>
      <c r="U130" s="61"/>
      <c r="V130" s="61"/>
      <c r="W130" s="61"/>
      <c r="X130" s="61"/>
      <c r="Y130" s="61"/>
      <c r="Z130" s="61"/>
      <c r="AA130" s="61"/>
      <c r="AB130" s="60"/>
      <c r="AC130" s="61"/>
      <c r="AD130" s="61"/>
      <c r="AE130" s="61"/>
      <c r="AF130" s="61"/>
      <c r="AG130" s="61"/>
      <c r="AH130" s="61"/>
      <c r="AI130" s="61"/>
      <c r="AJ130" s="61"/>
      <c r="AK130" s="127"/>
      <c r="AL130" s="127"/>
      <c r="AM130" s="127"/>
      <c r="AN130" s="127"/>
      <c r="AO130" s="127"/>
      <c r="AP130" s="61"/>
      <c r="AQ130" s="61"/>
      <c r="AR130" s="61"/>
      <c r="AS130" s="61"/>
      <c r="AT130" s="110"/>
      <c r="AU130" s="110"/>
    </row>
    <row r="131" spans="2:47" ht="12.95" customHeight="1" x14ac:dyDescent="0.2">
      <c r="B131" s="60"/>
      <c r="L131" s="61"/>
      <c r="M131" s="61"/>
      <c r="N131" s="61"/>
      <c r="O131" s="61"/>
      <c r="P131" s="61"/>
      <c r="Q131" s="61"/>
      <c r="R131" s="61"/>
      <c r="S131" s="61"/>
      <c r="T131" s="61"/>
      <c r="U131" s="61"/>
      <c r="V131" s="61"/>
      <c r="W131" s="61"/>
      <c r="X131" s="61"/>
      <c r="Y131" s="61"/>
      <c r="Z131" s="61"/>
      <c r="AA131" s="61"/>
      <c r="AB131" s="60"/>
      <c r="AC131" s="61"/>
      <c r="AD131" s="61"/>
      <c r="AE131" s="208"/>
      <c r="AF131" s="127"/>
      <c r="AG131" s="127"/>
      <c r="AH131" s="127"/>
      <c r="AI131" s="127"/>
      <c r="AJ131" s="127"/>
      <c r="AK131" s="127"/>
      <c r="AL131" s="127"/>
      <c r="AM131" s="127"/>
      <c r="AN131" s="127"/>
      <c r="AO131" s="127"/>
      <c r="AP131" s="127"/>
      <c r="AQ131" s="127"/>
      <c r="AR131" s="127"/>
      <c r="AS131" s="127"/>
      <c r="AT131" s="128"/>
      <c r="AU131" s="110"/>
    </row>
    <row r="132" spans="2:47" ht="12.95" customHeight="1" x14ac:dyDescent="0.2">
      <c r="B132" s="60"/>
      <c r="L132" s="61"/>
      <c r="M132" s="61"/>
      <c r="N132" s="61"/>
      <c r="O132" s="61"/>
      <c r="P132" s="61"/>
      <c r="Q132" s="61"/>
      <c r="R132" s="61"/>
      <c r="S132" s="61"/>
      <c r="T132" s="61"/>
      <c r="U132" s="61"/>
      <c r="V132" s="61"/>
      <c r="W132" s="61"/>
      <c r="X132" s="61"/>
      <c r="Y132" s="61"/>
      <c r="Z132" s="61"/>
      <c r="AA132" s="61"/>
      <c r="AB132" s="60"/>
      <c r="AC132" s="61"/>
      <c r="AD132" s="61"/>
      <c r="AE132" s="208"/>
      <c r="AF132" s="127"/>
      <c r="AG132" s="127"/>
      <c r="AH132" s="127"/>
      <c r="AI132" s="127"/>
      <c r="AJ132" s="127"/>
      <c r="AK132" s="127"/>
      <c r="AL132" s="127"/>
      <c r="AM132" s="127"/>
      <c r="AN132" s="127"/>
      <c r="AO132" s="127"/>
      <c r="AP132" s="127"/>
      <c r="AQ132" s="127"/>
      <c r="AR132" s="127"/>
      <c r="AS132" s="127"/>
      <c r="AT132" s="128"/>
      <c r="AU132" s="110"/>
    </row>
    <row r="133" spans="2:47" ht="12.95" customHeight="1" x14ac:dyDescent="0.2">
      <c r="B133" s="60"/>
      <c r="L133" s="61"/>
      <c r="M133" s="61"/>
      <c r="N133" s="61"/>
      <c r="O133" s="61"/>
      <c r="P133" s="61"/>
      <c r="Q133" s="61"/>
      <c r="R133" s="61"/>
      <c r="S133" s="61"/>
      <c r="T133" s="61"/>
      <c r="U133" s="61"/>
      <c r="V133" s="61"/>
      <c r="W133" s="61"/>
      <c r="X133" s="61"/>
      <c r="Y133" s="61"/>
      <c r="Z133" s="61"/>
      <c r="AA133" s="61"/>
      <c r="AB133" s="60"/>
      <c r="AC133" s="61"/>
      <c r="AD133" s="61"/>
      <c r="AE133" s="208"/>
      <c r="AF133" s="127"/>
      <c r="AG133" s="127"/>
      <c r="AH133" s="127"/>
      <c r="AI133" s="127"/>
      <c r="AJ133" s="127"/>
      <c r="AK133" s="127"/>
      <c r="AL133" s="127"/>
      <c r="AM133" s="127"/>
      <c r="AN133" s="127"/>
      <c r="AO133" s="127"/>
      <c r="AP133" s="127"/>
      <c r="AQ133" s="127"/>
      <c r="AR133" s="127"/>
      <c r="AS133" s="127"/>
      <c r="AT133" s="128"/>
      <c r="AU133" s="110"/>
    </row>
    <row r="134" spans="2:47" ht="12.95" customHeight="1" x14ac:dyDescent="0.2">
      <c r="B134" s="60"/>
      <c r="L134" s="61"/>
      <c r="M134" s="61"/>
      <c r="N134" s="61"/>
      <c r="O134" s="61"/>
      <c r="P134" s="61"/>
      <c r="Q134" s="61"/>
      <c r="R134" s="61"/>
      <c r="S134" s="61"/>
      <c r="T134" s="61"/>
      <c r="U134" s="61"/>
      <c r="V134" s="61"/>
      <c r="W134" s="61"/>
      <c r="X134" s="61"/>
      <c r="Y134" s="61"/>
      <c r="Z134" s="61"/>
      <c r="AA134" s="61"/>
      <c r="AB134" s="60"/>
      <c r="AC134" s="61"/>
      <c r="AD134" s="61"/>
      <c r="AE134" s="208"/>
      <c r="AF134" s="127"/>
      <c r="AG134" s="127"/>
      <c r="AH134" s="127"/>
      <c r="AI134" s="127"/>
      <c r="AJ134" s="127"/>
      <c r="AK134" s="127"/>
      <c r="AL134" s="127"/>
      <c r="AM134" s="127"/>
      <c r="AN134" s="127"/>
      <c r="AO134" s="127"/>
      <c r="AP134" s="127"/>
      <c r="AQ134" s="127"/>
      <c r="AR134" s="127"/>
      <c r="AS134" s="127"/>
      <c r="AT134" s="128"/>
      <c r="AU134" s="110"/>
    </row>
    <row r="135" spans="2:47" ht="18.75" customHeight="1" x14ac:dyDescent="0.2">
      <c r="B135" s="60"/>
      <c r="L135" s="61"/>
      <c r="M135" s="61"/>
      <c r="N135" s="61"/>
      <c r="O135" s="61"/>
      <c r="P135" s="61"/>
      <c r="Q135" s="61"/>
      <c r="R135" s="61"/>
      <c r="S135" s="61"/>
      <c r="T135" s="61"/>
      <c r="U135" s="61"/>
      <c r="V135" s="61"/>
      <c r="W135" s="61"/>
      <c r="X135" s="61"/>
      <c r="Y135" s="61"/>
      <c r="Z135" s="61"/>
      <c r="AA135" s="61"/>
      <c r="AB135" s="68"/>
      <c r="AC135" s="84"/>
      <c r="AD135" s="84"/>
      <c r="AE135" s="264"/>
      <c r="AF135" s="131"/>
      <c r="AG135" s="131"/>
      <c r="AH135" s="131"/>
      <c r="AI135" s="131"/>
      <c r="AJ135" s="131"/>
      <c r="AK135" s="131"/>
      <c r="AL135" s="131"/>
      <c r="AM135" s="131"/>
      <c r="AN135" s="131"/>
      <c r="AO135" s="131"/>
      <c r="AP135" s="131"/>
      <c r="AQ135" s="131"/>
      <c r="AR135" s="131"/>
      <c r="AS135" s="131"/>
      <c r="AT135" s="132"/>
      <c r="AU135" s="110"/>
    </row>
    <row r="136" spans="2:47" x14ac:dyDescent="0.2">
      <c r="B136" s="68"/>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111"/>
    </row>
    <row r="137" spans="2:47" x14ac:dyDescent="0.2">
      <c r="AE137" s="204"/>
      <c r="AF137" s="127"/>
      <c r="AG137" s="127"/>
      <c r="AH137" s="127"/>
      <c r="AI137" s="127"/>
      <c r="AJ137" s="127"/>
      <c r="AK137" s="127"/>
      <c r="AL137" s="127"/>
      <c r="AM137" s="127"/>
      <c r="AN137" s="127"/>
      <c r="AO137" s="127"/>
      <c r="AP137" s="127"/>
      <c r="AQ137" s="127"/>
      <c r="AR137" s="127"/>
      <c r="AS137" s="127"/>
      <c r="AT137" s="127"/>
    </row>
    <row r="138" spans="2:47" x14ac:dyDescent="0.2">
      <c r="AE138" s="204"/>
      <c r="AF138" s="127"/>
      <c r="AG138" s="127"/>
      <c r="AH138" s="127"/>
      <c r="AI138" s="127"/>
      <c r="AJ138" s="127"/>
      <c r="AK138" s="127"/>
      <c r="AL138" s="127"/>
      <c r="AM138" s="127"/>
      <c r="AN138" s="127"/>
      <c r="AO138" s="127"/>
      <c r="AP138" s="127"/>
      <c r="AQ138" s="127"/>
      <c r="AR138" s="127"/>
      <c r="AS138" s="127"/>
      <c r="AT138" s="127"/>
    </row>
    <row r="139" spans="2:47" x14ac:dyDescent="0.2">
      <c r="AE139" s="204"/>
      <c r="AF139" s="127"/>
      <c r="AG139" s="127"/>
      <c r="AH139" s="127"/>
      <c r="AI139" s="127"/>
      <c r="AJ139" s="127"/>
      <c r="AK139" s="127"/>
      <c r="AL139" s="127"/>
      <c r="AM139" s="127"/>
      <c r="AN139" s="127"/>
      <c r="AO139" s="127"/>
      <c r="AP139" s="127"/>
      <c r="AQ139" s="127"/>
      <c r="AR139" s="127"/>
      <c r="AS139" s="127"/>
      <c r="AT139" s="127"/>
    </row>
    <row r="140" spans="2:47" x14ac:dyDescent="0.2">
      <c r="AE140" s="204"/>
      <c r="AF140" s="127"/>
      <c r="AG140" s="127"/>
      <c r="AH140" s="127"/>
      <c r="AI140" s="127"/>
      <c r="AJ140" s="127"/>
      <c r="AK140" s="127"/>
      <c r="AL140" s="127"/>
      <c r="AM140" s="127"/>
      <c r="AN140" s="127"/>
      <c r="AO140" s="127"/>
      <c r="AP140" s="127"/>
      <c r="AQ140" s="127"/>
      <c r="AR140" s="127"/>
      <c r="AS140" s="127"/>
      <c r="AT140" s="127"/>
    </row>
    <row r="141" spans="2:47" x14ac:dyDescent="0.2">
      <c r="AE141" s="204"/>
      <c r="AF141" s="127"/>
      <c r="AG141" s="127"/>
      <c r="AH141" s="127"/>
      <c r="AI141" s="127"/>
      <c r="AJ141" s="127"/>
      <c r="AK141" s="127"/>
      <c r="AL141" s="127"/>
      <c r="AM141" s="127"/>
      <c r="AN141" s="127"/>
      <c r="AO141" s="127"/>
      <c r="AP141" s="127"/>
      <c r="AQ141" s="127"/>
      <c r="AR141" s="127"/>
      <c r="AS141" s="127"/>
      <c r="AT141" s="127"/>
    </row>
    <row r="142" spans="2:47" x14ac:dyDescent="0.2">
      <c r="AE142" s="204"/>
      <c r="AF142" s="127"/>
      <c r="AG142" s="127"/>
      <c r="AH142" s="127"/>
      <c r="AI142" s="127"/>
      <c r="AJ142" s="127"/>
      <c r="AK142" s="127"/>
      <c r="AL142" s="127"/>
      <c r="AM142" s="127"/>
      <c r="AN142" s="127"/>
      <c r="AO142" s="127"/>
      <c r="AP142" s="127"/>
      <c r="AQ142" s="127"/>
      <c r="AR142" s="127"/>
      <c r="AS142" s="127"/>
      <c r="AT142" s="127"/>
    </row>
    <row r="143" spans="2:47" ht="15" customHeight="1" x14ac:dyDescent="0.2">
      <c r="X143" s="127"/>
      <c r="Y143" s="127"/>
      <c r="AE143" s="204"/>
      <c r="AF143" s="127"/>
      <c r="AG143" s="127"/>
      <c r="AH143" s="127"/>
      <c r="AI143" s="127"/>
      <c r="AJ143" s="127"/>
      <c r="AK143" s="127"/>
      <c r="AL143" s="127"/>
      <c r="AM143" s="127"/>
      <c r="AN143" s="127"/>
      <c r="AO143" s="127"/>
      <c r="AP143" s="127"/>
      <c r="AQ143" s="127"/>
      <c r="AR143" s="127"/>
      <c r="AS143" s="127"/>
      <c r="AT143" s="127"/>
    </row>
    <row r="144" spans="2:47" x14ac:dyDescent="0.2">
      <c r="AE144" s="204"/>
      <c r="AG144" s="127"/>
      <c r="AH144" s="127"/>
      <c r="AI144" s="127"/>
      <c r="AJ144" s="127"/>
      <c r="AK144" s="127"/>
      <c r="AL144" s="127"/>
      <c r="AM144" s="127"/>
      <c r="AN144" s="127"/>
      <c r="AO144" s="127"/>
    </row>
    <row r="145" spans="24:47" x14ac:dyDescent="0.2">
      <c r="AE145" s="204"/>
      <c r="AF145" s="127"/>
      <c r="AG145" s="127"/>
      <c r="AH145" s="127"/>
      <c r="AI145" s="127"/>
      <c r="AJ145" s="127"/>
      <c r="AK145" s="127"/>
      <c r="AL145" s="127"/>
      <c r="AM145" s="127"/>
      <c r="AN145" s="127"/>
      <c r="AO145" s="127"/>
      <c r="AP145" s="127"/>
      <c r="AQ145" s="127"/>
      <c r="AR145" s="127"/>
      <c r="AS145" s="127"/>
      <c r="AT145" s="127"/>
    </row>
    <row r="146" spans="24:47" x14ac:dyDescent="0.2">
      <c r="AE146" s="204"/>
      <c r="AF146" s="127"/>
      <c r="AG146" s="127"/>
      <c r="AH146" s="127"/>
      <c r="AI146" s="127"/>
      <c r="AJ146" s="127"/>
      <c r="AK146" s="127"/>
      <c r="AL146" s="127"/>
      <c r="AM146" s="127"/>
      <c r="AN146" s="127"/>
      <c r="AO146" s="127"/>
      <c r="AP146" s="127"/>
      <c r="AQ146" s="127"/>
      <c r="AR146" s="127"/>
      <c r="AS146" s="127"/>
      <c r="AT146" s="127"/>
      <c r="AU146" s="205"/>
    </row>
    <row r="147" spans="24:47" x14ac:dyDescent="0.2">
      <c r="AE147" s="204"/>
      <c r="AF147" s="127"/>
      <c r="AG147" s="127"/>
      <c r="AH147" s="127"/>
      <c r="AI147" s="127"/>
      <c r="AJ147" s="127"/>
      <c r="AK147" s="127"/>
      <c r="AL147" s="127"/>
      <c r="AM147" s="127"/>
      <c r="AN147" s="127"/>
      <c r="AO147" s="127"/>
      <c r="AP147" s="127"/>
      <c r="AQ147" s="127"/>
      <c r="AR147" s="127"/>
      <c r="AS147" s="127"/>
      <c r="AT147" s="127"/>
      <c r="AU147" s="205"/>
    </row>
    <row r="148" spans="24:47" x14ac:dyDescent="0.2">
      <c r="AE148" s="204"/>
      <c r="AF148" s="127"/>
      <c r="AG148" s="127"/>
      <c r="AH148" s="127"/>
      <c r="AI148" s="127"/>
      <c r="AJ148" s="127"/>
      <c r="AK148" s="127"/>
      <c r="AL148" s="127"/>
      <c r="AM148" s="127"/>
      <c r="AN148" s="127"/>
      <c r="AO148" s="127"/>
      <c r="AP148" s="127"/>
      <c r="AQ148" s="127"/>
      <c r="AR148" s="127"/>
      <c r="AS148" s="127"/>
      <c r="AT148" s="127"/>
      <c r="AU148" s="205"/>
    </row>
    <row r="149" spans="24:47" x14ac:dyDescent="0.2">
      <c r="AE149" s="204"/>
      <c r="AF149" s="127"/>
      <c r="AG149" s="127"/>
      <c r="AH149" s="127"/>
      <c r="AI149" s="127"/>
      <c r="AJ149" s="127"/>
      <c r="AK149" s="127"/>
      <c r="AL149" s="127"/>
      <c r="AM149" s="127"/>
      <c r="AN149" s="127"/>
      <c r="AO149" s="127"/>
      <c r="AP149" s="127"/>
      <c r="AQ149" s="127"/>
      <c r="AR149" s="127"/>
      <c r="AS149" s="127"/>
      <c r="AT149" s="127"/>
      <c r="AU149" s="205"/>
    </row>
    <row r="150" spans="24:47" x14ac:dyDescent="0.2">
      <c r="AE150" s="204"/>
      <c r="AF150" s="127"/>
      <c r="AG150" s="127"/>
      <c r="AH150" s="127"/>
      <c r="AI150" s="127"/>
      <c r="AJ150" s="127"/>
      <c r="AK150" s="127"/>
      <c r="AL150" s="127"/>
      <c r="AM150" s="127"/>
      <c r="AN150" s="127"/>
      <c r="AO150" s="127"/>
      <c r="AP150" s="127"/>
      <c r="AQ150" s="127"/>
      <c r="AR150" s="127"/>
      <c r="AS150" s="127"/>
      <c r="AT150" s="127"/>
      <c r="AU150" s="205"/>
    </row>
    <row r="151" spans="24:47" x14ac:dyDescent="0.2">
      <c r="AE151" s="204"/>
      <c r="AF151" s="127"/>
      <c r="AG151" s="127"/>
      <c r="AH151" s="127"/>
      <c r="AI151" s="127"/>
      <c r="AJ151" s="127"/>
      <c r="AK151" s="127"/>
      <c r="AL151" s="127"/>
      <c r="AM151" s="127"/>
      <c r="AN151" s="127"/>
      <c r="AO151" s="127"/>
      <c r="AP151" s="127"/>
      <c r="AQ151" s="127"/>
      <c r="AR151" s="127"/>
      <c r="AS151" s="127"/>
      <c r="AT151" s="127"/>
      <c r="AU151" s="205"/>
    </row>
    <row r="152" spans="24:47" x14ac:dyDescent="0.2">
      <c r="AE152" s="204"/>
      <c r="AF152" s="127"/>
      <c r="AG152" s="127"/>
      <c r="AH152" s="127"/>
      <c r="AI152" s="127"/>
      <c r="AJ152" s="127"/>
      <c r="AK152" s="127"/>
      <c r="AL152" s="127"/>
      <c r="AM152" s="127"/>
      <c r="AN152" s="127"/>
      <c r="AO152" s="127"/>
      <c r="AP152" s="127"/>
      <c r="AQ152" s="127"/>
      <c r="AR152" s="127"/>
      <c r="AS152" s="127"/>
      <c r="AT152" s="127"/>
      <c r="AU152" s="205"/>
    </row>
    <row r="153" spans="24:47" x14ac:dyDescent="0.2">
      <c r="AE153" s="204"/>
      <c r="AF153" s="127"/>
      <c r="AG153" s="127"/>
      <c r="AH153" s="127"/>
      <c r="AI153" s="127"/>
      <c r="AJ153" s="127"/>
      <c r="AK153" s="127"/>
      <c r="AL153" s="127"/>
      <c r="AM153" s="127"/>
      <c r="AN153" s="127"/>
      <c r="AO153" s="127"/>
      <c r="AP153" s="127"/>
      <c r="AQ153" s="127"/>
      <c r="AR153" s="127"/>
      <c r="AS153" s="127"/>
      <c r="AT153" s="127"/>
      <c r="AU153" s="205"/>
    </row>
    <row r="154" spans="24:47" x14ac:dyDescent="0.2">
      <c r="AE154" s="204"/>
      <c r="AF154" s="127"/>
      <c r="AG154" s="127"/>
      <c r="AH154" s="127"/>
      <c r="AI154" s="127"/>
      <c r="AJ154" s="127"/>
      <c r="AK154" s="127"/>
      <c r="AL154" s="127"/>
      <c r="AM154" s="127"/>
      <c r="AN154" s="127"/>
      <c r="AO154" s="127"/>
      <c r="AP154" s="127"/>
      <c r="AQ154" s="127"/>
      <c r="AR154" s="127"/>
      <c r="AS154" s="127"/>
      <c r="AT154" s="127"/>
      <c r="AU154" s="205"/>
    </row>
    <row r="155" spans="24:47" x14ac:dyDescent="0.2">
      <c r="AE155" s="204"/>
      <c r="AF155" s="127"/>
      <c r="AG155" s="127"/>
      <c r="AH155" s="127"/>
      <c r="AI155" s="127"/>
      <c r="AJ155" s="127"/>
      <c r="AK155" s="127"/>
      <c r="AL155" s="127"/>
      <c r="AM155" s="127"/>
      <c r="AN155" s="127"/>
      <c r="AO155" s="127"/>
      <c r="AP155" s="127"/>
      <c r="AQ155" s="127"/>
      <c r="AR155" s="127"/>
      <c r="AS155" s="127"/>
      <c r="AT155" s="127"/>
      <c r="AU155" s="205"/>
    </row>
    <row r="156" spans="24:47" x14ac:dyDescent="0.2">
      <c r="AE156" s="204"/>
      <c r="AF156" s="127"/>
      <c r="AG156" s="127"/>
      <c r="AH156" s="127"/>
      <c r="AI156" s="127"/>
      <c r="AJ156" s="127"/>
      <c r="AK156" s="127"/>
      <c r="AL156" s="127"/>
      <c r="AM156" s="127"/>
      <c r="AN156" s="127"/>
      <c r="AO156" s="127"/>
      <c r="AP156" s="127"/>
      <c r="AQ156" s="127"/>
      <c r="AR156" s="127"/>
      <c r="AS156" s="127"/>
      <c r="AT156" s="127"/>
      <c r="AU156" s="205"/>
    </row>
    <row r="157" spans="24:47" x14ac:dyDescent="0.2">
      <c r="AE157" s="204"/>
      <c r="AF157" s="127"/>
      <c r="AG157" s="127"/>
      <c r="AH157" s="127"/>
      <c r="AI157" s="127"/>
      <c r="AJ157" s="127"/>
      <c r="AK157" s="127"/>
      <c r="AL157" s="127"/>
      <c r="AM157" s="127"/>
      <c r="AN157" s="127"/>
      <c r="AO157" s="127"/>
      <c r="AP157" s="127"/>
      <c r="AQ157" s="127"/>
      <c r="AR157" s="127"/>
      <c r="AS157" s="127"/>
      <c r="AT157" s="127"/>
      <c r="AU157" s="205"/>
    </row>
    <row r="158" spans="24:47" ht="15" customHeight="1" x14ac:dyDescent="0.2">
      <c r="X158" s="127"/>
      <c r="Y158" s="127"/>
      <c r="AE158" s="204"/>
      <c r="AF158" s="205"/>
      <c r="AG158" s="205"/>
      <c r="AH158" s="205"/>
      <c r="AI158" s="205"/>
      <c r="AJ158" s="205"/>
      <c r="AK158" s="205"/>
      <c r="AL158" s="205"/>
      <c r="AM158" s="205"/>
      <c r="AN158" s="205"/>
      <c r="AO158" s="205"/>
      <c r="AP158" s="205"/>
      <c r="AQ158" s="205"/>
      <c r="AR158" s="205"/>
      <c r="AS158" s="205"/>
      <c r="AT158" s="205"/>
      <c r="AU158" s="205"/>
    </row>
    <row r="159" spans="24:47" x14ac:dyDescent="0.2">
      <c r="AE159" s="204"/>
      <c r="AF159" s="127"/>
      <c r="AG159" s="127"/>
      <c r="AH159" s="127"/>
      <c r="AI159" s="127"/>
      <c r="AJ159" s="127"/>
      <c r="AK159" s="127"/>
      <c r="AL159" s="127"/>
      <c r="AM159" s="127"/>
      <c r="AN159" s="127"/>
      <c r="AO159" s="127"/>
      <c r="AP159" s="127"/>
      <c r="AQ159" s="127"/>
      <c r="AR159" s="127"/>
      <c r="AS159" s="127"/>
      <c r="AT159" s="127"/>
      <c r="AU159" s="205"/>
    </row>
    <row r="160" spans="24:47" x14ac:dyDescent="0.2">
      <c r="AE160" s="204"/>
      <c r="AF160" s="127"/>
      <c r="AG160" s="127"/>
      <c r="AH160" s="127"/>
      <c r="AI160" s="127"/>
      <c r="AJ160" s="127"/>
      <c r="AK160" s="127"/>
      <c r="AL160" s="127"/>
      <c r="AM160" s="127"/>
      <c r="AN160" s="127"/>
      <c r="AO160" s="127"/>
      <c r="AP160" s="127"/>
      <c r="AQ160" s="127"/>
      <c r="AR160" s="127"/>
      <c r="AS160" s="127"/>
      <c r="AT160" s="127"/>
      <c r="AU160" s="205"/>
    </row>
    <row r="161" spans="24:47" x14ac:dyDescent="0.2">
      <c r="AE161" s="204"/>
      <c r="AF161" s="127"/>
      <c r="AG161" s="127"/>
      <c r="AH161" s="127"/>
      <c r="AI161" s="127"/>
      <c r="AJ161" s="127"/>
      <c r="AK161" s="127"/>
      <c r="AL161" s="127"/>
      <c r="AM161" s="127"/>
      <c r="AN161" s="127"/>
      <c r="AO161" s="127"/>
      <c r="AP161" s="127"/>
      <c r="AQ161" s="127"/>
      <c r="AR161" s="127"/>
      <c r="AS161" s="127"/>
      <c r="AT161" s="127"/>
      <c r="AU161" s="205"/>
    </row>
    <row r="162" spans="24:47" x14ac:dyDescent="0.2">
      <c r="AE162" s="204"/>
      <c r="AF162" s="127"/>
      <c r="AG162" s="127"/>
      <c r="AH162" s="127"/>
      <c r="AI162" s="127"/>
      <c r="AJ162" s="127"/>
      <c r="AK162" s="127"/>
      <c r="AL162" s="127"/>
      <c r="AM162" s="127"/>
      <c r="AN162" s="127"/>
      <c r="AO162" s="127"/>
      <c r="AP162" s="127"/>
      <c r="AQ162" s="127"/>
      <c r="AR162" s="127"/>
      <c r="AS162" s="127"/>
      <c r="AT162" s="127"/>
      <c r="AU162" s="205"/>
    </row>
    <row r="163" spans="24:47" x14ac:dyDescent="0.2">
      <c r="AE163" s="204"/>
      <c r="AF163" s="127"/>
      <c r="AG163" s="127"/>
      <c r="AH163" s="127"/>
      <c r="AI163" s="127"/>
      <c r="AJ163" s="127"/>
      <c r="AK163" s="127"/>
      <c r="AL163" s="127"/>
      <c r="AM163" s="127"/>
      <c r="AN163" s="127"/>
      <c r="AO163" s="127"/>
      <c r="AP163" s="127"/>
      <c r="AQ163" s="127"/>
      <c r="AR163" s="127"/>
      <c r="AS163" s="127"/>
      <c r="AT163" s="127"/>
      <c r="AU163" s="205"/>
    </row>
    <row r="164" spans="24:47" x14ac:dyDescent="0.2">
      <c r="AE164" s="204"/>
      <c r="AF164" s="127"/>
      <c r="AG164" s="127"/>
      <c r="AH164" s="127"/>
      <c r="AI164" s="127"/>
      <c r="AJ164" s="127"/>
      <c r="AK164" s="127"/>
      <c r="AL164" s="127"/>
      <c r="AM164" s="127"/>
      <c r="AN164" s="127"/>
      <c r="AO164" s="127"/>
      <c r="AP164" s="127"/>
      <c r="AQ164" s="127"/>
      <c r="AR164" s="127"/>
      <c r="AS164" s="127"/>
      <c r="AT164" s="127"/>
      <c r="AU164" s="205"/>
    </row>
    <row r="165" spans="24:47" x14ac:dyDescent="0.2">
      <c r="AE165" s="204"/>
      <c r="AF165" s="127"/>
      <c r="AG165" s="127"/>
      <c r="AH165" s="127"/>
      <c r="AI165" s="127"/>
      <c r="AJ165" s="127"/>
      <c r="AK165" s="127"/>
      <c r="AL165" s="127"/>
      <c r="AM165" s="127"/>
      <c r="AN165" s="127"/>
      <c r="AO165" s="127"/>
      <c r="AP165" s="127"/>
      <c r="AQ165" s="127"/>
      <c r="AR165" s="127"/>
      <c r="AS165" s="127"/>
      <c r="AT165" s="127"/>
      <c r="AU165" s="205"/>
    </row>
    <row r="166" spans="24:47" x14ac:dyDescent="0.2">
      <c r="AE166" s="204"/>
      <c r="AF166" s="127"/>
      <c r="AG166" s="127"/>
      <c r="AH166" s="127"/>
      <c r="AI166" s="127"/>
      <c r="AJ166" s="127"/>
      <c r="AK166" s="127"/>
      <c r="AL166" s="127"/>
      <c r="AM166" s="127"/>
      <c r="AN166" s="127"/>
      <c r="AO166" s="127"/>
      <c r="AP166" s="127"/>
      <c r="AQ166" s="127"/>
      <c r="AR166" s="127"/>
      <c r="AS166" s="127"/>
      <c r="AT166" s="127"/>
    </row>
    <row r="167" spans="24:47" x14ac:dyDescent="0.2">
      <c r="AE167" s="204"/>
      <c r="AF167" s="127"/>
      <c r="AG167" s="127"/>
      <c r="AH167" s="127"/>
      <c r="AI167" s="127"/>
      <c r="AJ167" s="127"/>
      <c r="AK167" s="127"/>
      <c r="AL167" s="127"/>
      <c r="AM167" s="127"/>
      <c r="AN167" s="127"/>
      <c r="AO167" s="127"/>
      <c r="AP167" s="127"/>
      <c r="AQ167" s="127"/>
      <c r="AR167" s="127"/>
      <c r="AS167" s="127"/>
      <c r="AT167" s="127"/>
    </row>
    <row r="168" spans="24:47" x14ac:dyDescent="0.2">
      <c r="AE168" s="204"/>
      <c r="AF168" s="127"/>
      <c r="AG168" s="127"/>
      <c r="AH168" s="127"/>
      <c r="AI168" s="127"/>
      <c r="AJ168" s="127"/>
      <c r="AK168" s="127"/>
      <c r="AL168" s="127"/>
      <c r="AM168" s="127"/>
      <c r="AN168" s="127"/>
      <c r="AO168" s="127"/>
      <c r="AP168" s="127"/>
      <c r="AQ168" s="127"/>
      <c r="AR168" s="127"/>
      <c r="AS168" s="127"/>
      <c r="AT168" s="127"/>
    </row>
    <row r="169" spans="24:47" x14ac:dyDescent="0.2">
      <c r="AE169" s="204"/>
      <c r="AF169" s="127"/>
      <c r="AG169" s="127"/>
      <c r="AH169" s="127"/>
      <c r="AI169" s="127"/>
      <c r="AJ169" s="127"/>
      <c r="AK169" s="127"/>
      <c r="AL169" s="127"/>
      <c r="AM169" s="127"/>
      <c r="AN169" s="127"/>
      <c r="AO169" s="127"/>
      <c r="AP169" s="127"/>
      <c r="AQ169" s="127"/>
      <c r="AR169" s="127"/>
      <c r="AS169" s="127"/>
      <c r="AT169" s="127"/>
    </row>
    <row r="170" spans="24:47" x14ac:dyDescent="0.2">
      <c r="AE170" s="204"/>
      <c r="AF170" s="127"/>
      <c r="AG170" s="127"/>
      <c r="AH170" s="127"/>
      <c r="AI170" s="127"/>
      <c r="AJ170" s="127"/>
      <c r="AK170" s="127"/>
      <c r="AL170" s="127"/>
      <c r="AM170" s="127"/>
      <c r="AN170" s="127"/>
      <c r="AO170" s="127"/>
      <c r="AP170" s="127"/>
      <c r="AQ170" s="127"/>
      <c r="AR170" s="127"/>
      <c r="AS170" s="127"/>
      <c r="AT170" s="127"/>
    </row>
    <row r="171" spans="24:47" x14ac:dyDescent="0.2">
      <c r="AE171" s="204"/>
      <c r="AF171" s="127"/>
      <c r="AG171" s="127"/>
      <c r="AH171" s="127"/>
      <c r="AI171" s="127"/>
      <c r="AJ171" s="127"/>
      <c r="AK171" s="127"/>
      <c r="AL171" s="127"/>
      <c r="AM171" s="127"/>
      <c r="AN171" s="127"/>
      <c r="AO171" s="127"/>
      <c r="AP171" s="127"/>
      <c r="AQ171" s="127"/>
      <c r="AR171" s="127"/>
      <c r="AS171" s="127"/>
      <c r="AT171" s="127"/>
    </row>
    <row r="172" spans="24:47" x14ac:dyDescent="0.2">
      <c r="AE172" s="204"/>
      <c r="AG172" s="127"/>
      <c r="AH172" s="127"/>
      <c r="AI172" s="127"/>
      <c r="AJ172" s="127"/>
      <c r="AK172" s="127"/>
      <c r="AL172" s="127"/>
      <c r="AM172" s="127"/>
      <c r="AN172" s="127"/>
    </row>
    <row r="173" spans="24:47" ht="15" customHeight="1" x14ac:dyDescent="0.2">
      <c r="X173" s="127"/>
      <c r="Y173" s="127"/>
      <c r="AE173" s="204"/>
      <c r="AF173" s="127"/>
      <c r="AG173" s="127"/>
      <c r="AH173" s="127"/>
      <c r="AI173" s="127"/>
      <c r="AJ173" s="127"/>
      <c r="AK173" s="127"/>
      <c r="AL173" s="127"/>
      <c r="AM173" s="127"/>
      <c r="AN173" s="127"/>
      <c r="AO173" s="127"/>
      <c r="AP173" s="127"/>
      <c r="AQ173" s="127"/>
      <c r="AR173" s="127"/>
      <c r="AS173" s="127"/>
      <c r="AT173" s="127"/>
    </row>
    <row r="174" spans="24:47" x14ac:dyDescent="0.2">
      <c r="AE174" s="204"/>
      <c r="AF174" s="127"/>
      <c r="AG174" s="127"/>
      <c r="AH174" s="127"/>
      <c r="AI174" s="127"/>
      <c r="AJ174" s="127"/>
      <c r="AK174" s="127"/>
      <c r="AL174" s="127"/>
      <c r="AM174" s="127"/>
      <c r="AN174" s="127"/>
      <c r="AO174" s="127"/>
      <c r="AP174" s="127"/>
      <c r="AQ174" s="127"/>
      <c r="AR174" s="127"/>
      <c r="AS174" s="127"/>
      <c r="AT174" s="127"/>
    </row>
    <row r="175" spans="24:47" x14ac:dyDescent="0.2">
      <c r="AE175" s="204"/>
      <c r="AF175" s="127"/>
      <c r="AG175" s="127"/>
      <c r="AH175" s="127"/>
      <c r="AI175" s="127"/>
      <c r="AJ175" s="127"/>
      <c r="AK175" s="127"/>
      <c r="AL175" s="127"/>
      <c r="AM175" s="127"/>
      <c r="AN175" s="127"/>
      <c r="AO175" s="127"/>
      <c r="AP175" s="127"/>
      <c r="AQ175" s="127"/>
      <c r="AR175" s="127"/>
      <c r="AS175" s="127"/>
      <c r="AT175" s="127"/>
    </row>
    <row r="176" spans="24:47" x14ac:dyDescent="0.2">
      <c r="AE176" s="204"/>
      <c r="AF176" s="127"/>
      <c r="AG176" s="127"/>
      <c r="AH176" s="127"/>
      <c r="AI176" s="127"/>
      <c r="AJ176" s="127"/>
      <c r="AK176" s="127"/>
      <c r="AL176" s="127"/>
      <c r="AM176" s="127"/>
      <c r="AN176" s="127"/>
      <c r="AO176" s="127"/>
      <c r="AP176" s="127"/>
      <c r="AQ176" s="127"/>
      <c r="AR176" s="127"/>
      <c r="AS176" s="127"/>
      <c r="AT176" s="127"/>
    </row>
    <row r="177" spans="31:46" x14ac:dyDescent="0.2">
      <c r="AE177" s="204"/>
      <c r="AF177" s="127"/>
      <c r="AG177" s="127"/>
      <c r="AH177" s="127"/>
      <c r="AI177" s="127"/>
      <c r="AJ177" s="127"/>
      <c r="AK177" s="127"/>
      <c r="AL177" s="127"/>
      <c r="AM177" s="127"/>
      <c r="AN177" s="127"/>
      <c r="AO177" s="127"/>
      <c r="AP177" s="127"/>
      <c r="AQ177" s="127"/>
      <c r="AR177" s="127"/>
      <c r="AS177" s="127"/>
      <c r="AT177" s="127"/>
    </row>
    <row r="178" spans="31:46" x14ac:dyDescent="0.2">
      <c r="AE178" s="204"/>
      <c r="AF178" s="127"/>
      <c r="AG178" s="127"/>
      <c r="AH178" s="127"/>
      <c r="AI178" s="127"/>
      <c r="AJ178" s="127"/>
      <c r="AK178" s="127"/>
      <c r="AL178" s="127"/>
      <c r="AM178" s="127"/>
      <c r="AN178" s="127"/>
      <c r="AO178" s="127"/>
      <c r="AP178" s="127"/>
      <c r="AQ178" s="127"/>
      <c r="AR178" s="127"/>
      <c r="AS178" s="127"/>
      <c r="AT178" s="127"/>
    </row>
    <row r="179" spans="31:46" x14ac:dyDescent="0.2">
      <c r="AE179" s="204"/>
      <c r="AF179" s="127"/>
      <c r="AG179" s="127"/>
      <c r="AH179" s="127"/>
      <c r="AI179" s="127"/>
      <c r="AJ179" s="127"/>
      <c r="AK179" s="127"/>
      <c r="AL179" s="127"/>
      <c r="AM179" s="127"/>
      <c r="AN179" s="127"/>
      <c r="AO179" s="127"/>
      <c r="AP179" s="127"/>
      <c r="AQ179" s="127"/>
      <c r="AR179" s="127"/>
      <c r="AS179" s="127"/>
      <c r="AT179" s="127"/>
    </row>
    <row r="180" spans="31:46" x14ac:dyDescent="0.2">
      <c r="AE180" s="204"/>
      <c r="AF180" s="127"/>
      <c r="AG180" s="127"/>
      <c r="AH180" s="127"/>
      <c r="AI180" s="127"/>
      <c r="AJ180" s="127"/>
      <c r="AK180" s="127"/>
      <c r="AL180" s="127"/>
      <c r="AM180" s="127"/>
      <c r="AN180" s="127"/>
      <c r="AO180" s="127"/>
      <c r="AP180" s="127"/>
      <c r="AQ180" s="127"/>
      <c r="AR180" s="127"/>
      <c r="AS180" s="127"/>
      <c r="AT180" s="127"/>
    </row>
    <row r="181" spans="31:46" x14ac:dyDescent="0.2">
      <c r="AE181" s="204"/>
      <c r="AF181" s="127"/>
      <c r="AG181" s="127"/>
      <c r="AH181" s="127"/>
      <c r="AI181" s="127"/>
      <c r="AJ181" s="127"/>
      <c r="AK181" s="127"/>
      <c r="AL181" s="127"/>
      <c r="AM181" s="127"/>
      <c r="AN181" s="127"/>
      <c r="AO181" s="127"/>
      <c r="AP181" s="127"/>
      <c r="AQ181" s="127"/>
      <c r="AR181" s="127"/>
      <c r="AS181" s="127"/>
      <c r="AT181" s="127"/>
    </row>
    <row r="182" spans="31:46" x14ac:dyDescent="0.2">
      <c r="AE182" s="204"/>
      <c r="AF182" s="127"/>
      <c r="AG182" s="127"/>
      <c r="AH182" s="127"/>
      <c r="AI182" s="127"/>
      <c r="AJ182" s="127"/>
      <c r="AK182" s="127"/>
      <c r="AL182" s="127"/>
      <c r="AM182" s="127"/>
      <c r="AN182" s="127"/>
      <c r="AO182" s="127"/>
      <c r="AP182" s="127"/>
      <c r="AQ182" s="127"/>
      <c r="AR182" s="127"/>
      <c r="AS182" s="127"/>
      <c r="AT182" s="127"/>
    </row>
    <row r="183" spans="31:46" x14ac:dyDescent="0.2">
      <c r="AE183" s="204"/>
      <c r="AF183" s="127"/>
      <c r="AG183" s="127"/>
      <c r="AH183" s="127"/>
      <c r="AI183" s="127"/>
      <c r="AJ183" s="127"/>
      <c r="AK183" s="127"/>
      <c r="AL183" s="127"/>
      <c r="AM183" s="127"/>
      <c r="AN183" s="127"/>
      <c r="AO183" s="127"/>
      <c r="AP183" s="127"/>
      <c r="AQ183" s="127"/>
      <c r="AR183" s="127"/>
      <c r="AS183" s="127"/>
      <c r="AT183" s="127"/>
    </row>
    <row r="184" spans="31:46" x14ac:dyDescent="0.2">
      <c r="AE184" s="204"/>
      <c r="AF184" s="127"/>
      <c r="AG184" s="127"/>
      <c r="AH184" s="127"/>
      <c r="AI184" s="127"/>
      <c r="AJ184" s="127"/>
      <c r="AK184" s="127"/>
      <c r="AL184" s="127"/>
      <c r="AM184" s="127"/>
      <c r="AN184" s="127"/>
      <c r="AO184" s="127"/>
      <c r="AP184" s="127"/>
      <c r="AQ184" s="127"/>
      <c r="AR184" s="127"/>
      <c r="AS184" s="127"/>
      <c r="AT184" s="127"/>
    </row>
    <row r="185" spans="31:46" x14ac:dyDescent="0.2">
      <c r="AE185" s="204"/>
      <c r="AF185" s="127"/>
      <c r="AG185" s="127"/>
      <c r="AH185" s="127"/>
      <c r="AI185" s="127"/>
      <c r="AJ185" s="127"/>
      <c r="AK185" s="127"/>
      <c r="AL185" s="127"/>
      <c r="AM185" s="127"/>
      <c r="AN185" s="127"/>
      <c r="AO185" s="127"/>
      <c r="AP185" s="127"/>
      <c r="AQ185" s="127"/>
      <c r="AR185" s="127"/>
      <c r="AS185" s="127"/>
      <c r="AT185" s="127"/>
    </row>
    <row r="186" spans="31:46" x14ac:dyDescent="0.2">
      <c r="AE186" s="204"/>
      <c r="AG186" s="127"/>
      <c r="AH186" s="127"/>
      <c r="AI186" s="127"/>
      <c r="AJ186" s="127"/>
      <c r="AK186" s="127"/>
      <c r="AL186" s="127"/>
      <c r="AM186" s="127"/>
      <c r="AN186" s="127"/>
    </row>
    <row r="187" spans="31:46" x14ac:dyDescent="0.2">
      <c r="AE187" s="204"/>
      <c r="AF187" s="127"/>
      <c r="AG187" s="127"/>
      <c r="AH187" s="127"/>
      <c r="AI187" s="127"/>
      <c r="AJ187" s="127"/>
      <c r="AK187" s="127"/>
      <c r="AL187" s="127"/>
      <c r="AM187" s="127"/>
      <c r="AN187" s="127"/>
      <c r="AO187" s="127"/>
      <c r="AP187" s="127"/>
      <c r="AQ187" s="127"/>
      <c r="AR187" s="127"/>
      <c r="AS187" s="127"/>
      <c r="AT187" s="127"/>
    </row>
    <row r="188" spans="31:46" x14ac:dyDescent="0.2">
      <c r="AE188" s="204"/>
      <c r="AF188" s="127"/>
      <c r="AG188" s="127"/>
      <c r="AH188" s="127"/>
      <c r="AI188" s="127"/>
      <c r="AJ188" s="127"/>
      <c r="AK188" s="127"/>
      <c r="AL188" s="127"/>
      <c r="AM188" s="127"/>
      <c r="AN188" s="127"/>
      <c r="AO188" s="127"/>
      <c r="AP188" s="127"/>
      <c r="AQ188" s="127"/>
      <c r="AR188" s="127"/>
      <c r="AS188" s="127"/>
      <c r="AT188" s="127"/>
    </row>
    <row r="189" spans="31:46" x14ac:dyDescent="0.2">
      <c r="AE189" s="204"/>
      <c r="AF189" s="127"/>
      <c r="AG189" s="127"/>
      <c r="AH189" s="127"/>
      <c r="AI189" s="127"/>
      <c r="AJ189" s="127"/>
      <c r="AK189" s="127"/>
      <c r="AL189" s="127"/>
      <c r="AM189" s="127"/>
      <c r="AN189" s="127"/>
      <c r="AO189" s="127"/>
      <c r="AP189" s="127"/>
      <c r="AQ189" s="127"/>
      <c r="AR189" s="127"/>
      <c r="AS189" s="127"/>
      <c r="AT189" s="127"/>
    </row>
    <row r="190" spans="31:46" x14ac:dyDescent="0.2">
      <c r="AE190" s="204"/>
      <c r="AF190" s="127"/>
      <c r="AG190" s="127"/>
      <c r="AH190" s="127"/>
      <c r="AI190" s="127"/>
      <c r="AJ190" s="127"/>
      <c r="AK190" s="127"/>
      <c r="AL190" s="127"/>
      <c r="AM190" s="127"/>
      <c r="AN190" s="127"/>
      <c r="AO190" s="127"/>
      <c r="AP190" s="127"/>
      <c r="AQ190" s="127"/>
      <c r="AR190" s="127"/>
      <c r="AS190" s="127"/>
      <c r="AT190" s="127"/>
    </row>
    <row r="191" spans="31:46" x14ac:dyDescent="0.2">
      <c r="AE191" s="204"/>
      <c r="AF191" s="127"/>
      <c r="AG191" s="127"/>
      <c r="AH191" s="127"/>
      <c r="AI191" s="127"/>
      <c r="AJ191" s="127"/>
      <c r="AK191" s="127"/>
      <c r="AL191" s="127"/>
      <c r="AM191" s="127"/>
      <c r="AN191" s="127"/>
      <c r="AO191" s="127"/>
      <c r="AP191" s="127"/>
      <c r="AQ191" s="127"/>
      <c r="AR191" s="127"/>
      <c r="AS191" s="127"/>
      <c r="AT191" s="127"/>
    </row>
    <row r="192" spans="31:46" x14ac:dyDescent="0.2">
      <c r="AE192" s="204"/>
      <c r="AF192" s="127"/>
      <c r="AG192" s="127"/>
      <c r="AH192" s="127"/>
      <c r="AI192" s="127"/>
      <c r="AJ192" s="127"/>
      <c r="AK192" s="127"/>
      <c r="AL192" s="127"/>
      <c r="AM192" s="127"/>
      <c r="AN192" s="127"/>
      <c r="AO192" s="127"/>
      <c r="AP192" s="127"/>
      <c r="AQ192" s="127"/>
      <c r="AR192" s="127"/>
      <c r="AS192" s="127"/>
      <c r="AT192" s="127"/>
    </row>
    <row r="193" spans="31:46" x14ac:dyDescent="0.2">
      <c r="AE193" s="204"/>
      <c r="AF193" s="127"/>
      <c r="AG193" s="127"/>
      <c r="AH193" s="127"/>
      <c r="AI193" s="127"/>
      <c r="AJ193" s="127"/>
      <c r="AK193" s="127"/>
      <c r="AL193" s="127"/>
      <c r="AM193" s="127"/>
      <c r="AN193" s="127"/>
      <c r="AO193" s="127"/>
      <c r="AP193" s="127"/>
      <c r="AQ193" s="127"/>
      <c r="AR193" s="127"/>
      <c r="AS193" s="127"/>
      <c r="AT193" s="127"/>
    </row>
    <row r="194" spans="31:46" x14ac:dyDescent="0.2">
      <c r="AE194" s="204"/>
      <c r="AF194" s="127"/>
      <c r="AG194" s="127"/>
      <c r="AH194" s="127"/>
      <c r="AI194" s="127"/>
      <c r="AJ194" s="127"/>
      <c r="AK194" s="127"/>
      <c r="AL194" s="127"/>
      <c r="AM194" s="127"/>
      <c r="AN194" s="127"/>
      <c r="AO194" s="127"/>
      <c r="AP194" s="127"/>
      <c r="AQ194" s="127"/>
      <c r="AR194" s="127"/>
      <c r="AS194" s="127"/>
      <c r="AT194" s="127"/>
    </row>
    <row r="195" spans="31:46" x14ac:dyDescent="0.2">
      <c r="AE195" s="204"/>
      <c r="AF195" s="127"/>
      <c r="AG195" s="127"/>
      <c r="AH195" s="127"/>
      <c r="AI195" s="127"/>
      <c r="AJ195" s="127"/>
      <c r="AK195" s="127"/>
      <c r="AL195" s="127"/>
      <c r="AM195" s="127"/>
      <c r="AN195" s="127"/>
      <c r="AO195" s="127"/>
      <c r="AP195" s="127"/>
      <c r="AQ195" s="127"/>
      <c r="AR195" s="127"/>
      <c r="AS195" s="127"/>
      <c r="AT195" s="127"/>
    </row>
    <row r="196" spans="31:46" x14ac:dyDescent="0.2">
      <c r="AE196" s="204"/>
      <c r="AF196" s="127"/>
      <c r="AG196" s="127"/>
      <c r="AH196" s="127"/>
      <c r="AI196" s="127"/>
      <c r="AJ196" s="127"/>
      <c r="AK196" s="127"/>
      <c r="AL196" s="127"/>
      <c r="AM196" s="127"/>
      <c r="AN196" s="127"/>
      <c r="AO196" s="127"/>
      <c r="AP196" s="127"/>
      <c r="AQ196" s="127"/>
      <c r="AR196" s="127"/>
      <c r="AS196" s="127"/>
      <c r="AT196" s="127"/>
    </row>
    <row r="197" spans="31:46" x14ac:dyDescent="0.2">
      <c r="AE197" s="204"/>
      <c r="AF197" s="127"/>
      <c r="AG197" s="127"/>
      <c r="AH197" s="127"/>
      <c r="AI197" s="127"/>
      <c r="AJ197" s="127"/>
      <c r="AK197" s="127"/>
      <c r="AL197" s="127"/>
      <c r="AM197" s="127"/>
      <c r="AN197" s="127"/>
      <c r="AO197" s="127"/>
      <c r="AP197" s="127"/>
      <c r="AQ197" s="127"/>
      <c r="AR197" s="127"/>
      <c r="AS197" s="127"/>
      <c r="AT197" s="127"/>
    </row>
    <row r="198" spans="31:46" x14ac:dyDescent="0.2">
      <c r="AE198" s="204"/>
      <c r="AF198" s="127"/>
      <c r="AG198" s="127"/>
      <c r="AH198" s="127"/>
      <c r="AI198" s="127"/>
      <c r="AJ198" s="127"/>
      <c r="AK198" s="127"/>
      <c r="AL198" s="127"/>
      <c r="AM198" s="127"/>
      <c r="AN198" s="127"/>
      <c r="AO198" s="127"/>
      <c r="AP198" s="127"/>
      <c r="AQ198" s="127"/>
      <c r="AR198" s="127"/>
      <c r="AS198" s="127"/>
      <c r="AT198" s="127"/>
    </row>
    <row r="199" spans="31:46" x14ac:dyDescent="0.2">
      <c r="AE199" s="204"/>
      <c r="AF199" s="127"/>
      <c r="AG199" s="127"/>
      <c r="AH199" s="127"/>
      <c r="AI199" s="127"/>
      <c r="AJ199" s="127"/>
      <c r="AK199" s="127"/>
      <c r="AL199" s="127"/>
      <c r="AM199" s="127"/>
      <c r="AN199" s="127"/>
      <c r="AO199" s="127"/>
      <c r="AP199" s="127"/>
      <c r="AQ199" s="127"/>
      <c r="AR199" s="127"/>
      <c r="AS199" s="127"/>
      <c r="AT199" s="127"/>
    </row>
    <row r="200" spans="31:46" x14ac:dyDescent="0.2">
      <c r="AE200" s="204"/>
    </row>
    <row r="201" spans="31:46" x14ac:dyDescent="0.2">
      <c r="AE201" s="204"/>
      <c r="AF201" s="127"/>
      <c r="AG201" s="127"/>
      <c r="AH201" s="127"/>
      <c r="AI201" s="127"/>
      <c r="AJ201" s="127"/>
      <c r="AK201" s="127"/>
      <c r="AL201" s="127"/>
      <c r="AM201" s="127"/>
      <c r="AN201" s="127"/>
      <c r="AO201" s="127"/>
      <c r="AP201" s="127"/>
      <c r="AQ201" s="127"/>
      <c r="AR201" s="127"/>
      <c r="AS201" s="127"/>
      <c r="AT201" s="127"/>
    </row>
    <row r="202" spans="31:46" x14ac:dyDescent="0.2">
      <c r="AE202" s="204"/>
      <c r="AF202" s="127"/>
      <c r="AG202" s="127"/>
      <c r="AH202" s="127"/>
      <c r="AI202" s="127"/>
      <c r="AJ202" s="127"/>
      <c r="AK202" s="127"/>
      <c r="AL202" s="127"/>
      <c r="AM202" s="127"/>
      <c r="AN202" s="127"/>
      <c r="AO202" s="127"/>
      <c r="AP202" s="127"/>
      <c r="AQ202" s="127"/>
      <c r="AR202" s="127"/>
      <c r="AS202" s="127"/>
      <c r="AT202" s="127"/>
    </row>
    <row r="203" spans="31:46" x14ac:dyDescent="0.2">
      <c r="AE203" s="204"/>
      <c r="AF203" s="127"/>
      <c r="AG203" s="127"/>
      <c r="AH203" s="127"/>
      <c r="AI203" s="127"/>
      <c r="AJ203" s="127"/>
      <c r="AK203" s="127"/>
      <c r="AL203" s="127"/>
      <c r="AM203" s="127"/>
      <c r="AN203" s="127"/>
      <c r="AO203" s="127"/>
      <c r="AP203" s="127"/>
      <c r="AQ203" s="127"/>
      <c r="AR203" s="127"/>
      <c r="AS203" s="127"/>
      <c r="AT203" s="127"/>
    </row>
    <row r="204" spans="31:46" x14ac:dyDescent="0.2">
      <c r="AE204" s="204"/>
      <c r="AF204" s="127"/>
      <c r="AG204" s="127"/>
      <c r="AH204" s="127"/>
      <c r="AI204" s="127"/>
      <c r="AJ204" s="127"/>
      <c r="AK204" s="127"/>
      <c r="AL204" s="127"/>
      <c r="AM204" s="127"/>
      <c r="AN204" s="127"/>
      <c r="AO204" s="127"/>
      <c r="AP204" s="127"/>
      <c r="AQ204" s="127"/>
      <c r="AR204" s="127"/>
      <c r="AS204" s="127"/>
      <c r="AT204" s="127"/>
    </row>
    <row r="205" spans="31:46" x14ac:dyDescent="0.2">
      <c r="AE205" s="204"/>
      <c r="AF205" s="127"/>
      <c r="AG205" s="127"/>
      <c r="AH205" s="127"/>
      <c r="AI205" s="127"/>
      <c r="AJ205" s="127"/>
      <c r="AK205" s="127"/>
      <c r="AL205" s="127"/>
      <c r="AM205" s="127"/>
      <c r="AN205" s="127"/>
      <c r="AO205" s="127"/>
      <c r="AP205" s="127"/>
      <c r="AQ205" s="127"/>
      <c r="AR205" s="127"/>
      <c r="AS205" s="127"/>
      <c r="AT205" s="127"/>
    </row>
    <row r="206" spans="31:46" x14ac:dyDescent="0.2">
      <c r="AE206" s="204"/>
      <c r="AF206" s="127"/>
      <c r="AG206" s="127"/>
      <c r="AH206" s="127"/>
      <c r="AI206" s="127"/>
      <c r="AJ206" s="127"/>
      <c r="AK206" s="127"/>
      <c r="AL206" s="127"/>
      <c r="AM206" s="127"/>
      <c r="AN206" s="127"/>
      <c r="AO206" s="127"/>
      <c r="AP206" s="127"/>
      <c r="AQ206" s="127"/>
      <c r="AR206" s="127"/>
      <c r="AS206" s="127"/>
      <c r="AT206" s="127"/>
    </row>
    <row r="207" spans="31:46" x14ac:dyDescent="0.2">
      <c r="AE207" s="204"/>
      <c r="AF207" s="127"/>
      <c r="AG207" s="127"/>
      <c r="AH207" s="127"/>
      <c r="AI207" s="127"/>
      <c r="AJ207" s="127"/>
      <c r="AK207" s="127"/>
      <c r="AL207" s="127"/>
      <c r="AM207" s="127"/>
      <c r="AN207" s="127"/>
      <c r="AO207" s="127"/>
      <c r="AP207" s="127"/>
      <c r="AQ207" s="127"/>
      <c r="AR207" s="127"/>
      <c r="AS207" s="127"/>
      <c r="AT207" s="127"/>
    </row>
    <row r="208" spans="31:46" x14ac:dyDescent="0.2">
      <c r="AE208" s="204"/>
      <c r="AF208" s="127"/>
      <c r="AG208" s="127"/>
      <c r="AH208" s="127"/>
      <c r="AI208" s="127"/>
      <c r="AJ208" s="127"/>
      <c r="AK208" s="127"/>
      <c r="AL208" s="127"/>
      <c r="AM208" s="127"/>
      <c r="AN208" s="127"/>
      <c r="AO208" s="127"/>
      <c r="AP208" s="127"/>
      <c r="AQ208" s="127"/>
      <c r="AR208" s="127"/>
      <c r="AS208" s="127"/>
      <c r="AT208" s="127"/>
    </row>
    <row r="209" spans="31:46" x14ac:dyDescent="0.2">
      <c r="AE209" s="204"/>
      <c r="AF209" s="127"/>
      <c r="AG209" s="127"/>
      <c r="AH209" s="127"/>
      <c r="AI209" s="127"/>
      <c r="AJ209" s="127"/>
      <c r="AK209" s="127"/>
      <c r="AL209" s="127"/>
      <c r="AM209" s="127"/>
      <c r="AN209" s="127"/>
      <c r="AO209" s="127"/>
      <c r="AP209" s="127"/>
      <c r="AQ209" s="127"/>
      <c r="AR209" s="127"/>
      <c r="AS209" s="127"/>
      <c r="AT209" s="127"/>
    </row>
    <row r="210" spans="31:46" x14ac:dyDescent="0.2">
      <c r="AE210" s="204"/>
      <c r="AF210" s="127"/>
      <c r="AG210" s="127"/>
      <c r="AH210" s="127"/>
      <c r="AI210" s="127"/>
      <c r="AJ210" s="127"/>
      <c r="AK210" s="127"/>
      <c r="AL210" s="127"/>
      <c r="AM210" s="127"/>
      <c r="AN210" s="127"/>
      <c r="AO210" s="127"/>
      <c r="AP210" s="127"/>
      <c r="AQ210" s="127"/>
      <c r="AR210" s="127"/>
      <c r="AS210" s="127"/>
      <c r="AT210" s="127"/>
    </row>
    <row r="211" spans="31:46" x14ac:dyDescent="0.2">
      <c r="AE211" s="204"/>
      <c r="AF211" s="127"/>
      <c r="AG211" s="127"/>
      <c r="AH211" s="127"/>
      <c r="AI211" s="127"/>
      <c r="AJ211" s="127"/>
      <c r="AK211" s="127"/>
      <c r="AL211" s="127"/>
      <c r="AM211" s="127"/>
      <c r="AN211" s="127"/>
      <c r="AO211" s="127"/>
      <c r="AP211" s="127"/>
      <c r="AQ211" s="127"/>
      <c r="AR211" s="127"/>
      <c r="AS211" s="127"/>
      <c r="AT211" s="127"/>
    </row>
    <row r="212" spans="31:46" x14ac:dyDescent="0.2">
      <c r="AE212" s="204"/>
      <c r="AF212" s="127"/>
      <c r="AG212" s="127"/>
      <c r="AH212" s="127"/>
      <c r="AI212" s="127"/>
      <c r="AJ212" s="127"/>
      <c r="AK212" s="127"/>
      <c r="AL212" s="127"/>
      <c r="AM212" s="127"/>
      <c r="AN212" s="127"/>
      <c r="AO212" s="127"/>
      <c r="AP212" s="127"/>
      <c r="AQ212" s="127"/>
      <c r="AR212" s="127"/>
      <c r="AS212" s="127"/>
      <c r="AT212" s="127"/>
    </row>
    <row r="213" spans="31:46" x14ac:dyDescent="0.2">
      <c r="AE213" s="204"/>
      <c r="AF213" s="127"/>
      <c r="AG213" s="127"/>
      <c r="AH213" s="127"/>
      <c r="AI213" s="127"/>
      <c r="AJ213" s="127"/>
      <c r="AK213" s="127"/>
      <c r="AL213" s="127"/>
      <c r="AM213" s="127"/>
      <c r="AN213" s="127"/>
      <c r="AO213" s="127"/>
      <c r="AP213" s="127"/>
      <c r="AQ213" s="127"/>
      <c r="AR213" s="127"/>
      <c r="AS213" s="127"/>
      <c r="AT213" s="127"/>
    </row>
    <row r="215" spans="31:46" x14ac:dyDescent="0.2">
      <c r="AE215" s="204"/>
      <c r="AF215" s="127"/>
      <c r="AG215" s="127"/>
      <c r="AH215" s="127"/>
      <c r="AI215" s="127"/>
      <c r="AJ215" s="127"/>
      <c r="AK215" s="127"/>
      <c r="AL215" s="127"/>
      <c r="AM215" s="127"/>
      <c r="AN215" s="127"/>
      <c r="AO215" s="127"/>
      <c r="AP215" s="127"/>
      <c r="AQ215" s="127"/>
      <c r="AR215" s="127"/>
      <c r="AS215" s="127"/>
      <c r="AT215" s="127"/>
    </row>
    <row r="216" spans="31:46" x14ac:dyDescent="0.2">
      <c r="AF216" s="127"/>
      <c r="AG216" s="127"/>
      <c r="AH216" s="127"/>
      <c r="AI216" s="127"/>
      <c r="AJ216" s="127"/>
      <c r="AK216" s="127"/>
      <c r="AL216" s="127"/>
      <c r="AM216" s="127"/>
      <c r="AN216" s="127"/>
      <c r="AO216" s="127"/>
      <c r="AP216" s="127"/>
      <c r="AQ216" s="127"/>
      <c r="AR216" s="127"/>
      <c r="AS216" s="127"/>
      <c r="AT216" s="127"/>
    </row>
    <row r="217" spans="31:46" x14ac:dyDescent="0.2">
      <c r="AF217" s="127"/>
      <c r="AG217" s="127"/>
      <c r="AH217" s="127"/>
      <c r="AI217" s="127"/>
      <c r="AJ217" s="127"/>
      <c r="AK217" s="127"/>
      <c r="AL217" s="127"/>
      <c r="AM217" s="127"/>
      <c r="AN217" s="127"/>
      <c r="AO217" s="127"/>
      <c r="AP217" s="127"/>
      <c r="AQ217" s="127"/>
      <c r="AR217" s="127"/>
      <c r="AS217" s="127"/>
      <c r="AT217" s="127"/>
    </row>
    <row r="218" spans="31:46" x14ac:dyDescent="0.2">
      <c r="AF218" s="127"/>
      <c r="AG218" s="127"/>
      <c r="AH218" s="127"/>
      <c r="AI218" s="127"/>
      <c r="AJ218" s="127"/>
      <c r="AK218" s="127"/>
      <c r="AL218" s="127"/>
      <c r="AM218" s="127"/>
      <c r="AN218" s="127"/>
      <c r="AO218" s="127"/>
      <c r="AP218" s="127"/>
      <c r="AQ218" s="127"/>
      <c r="AR218" s="127"/>
      <c r="AS218" s="127"/>
      <c r="AT218" s="127"/>
    </row>
    <row r="219" spans="31:46" x14ac:dyDescent="0.2">
      <c r="AF219" s="127"/>
      <c r="AG219" s="127"/>
      <c r="AH219" s="127"/>
      <c r="AI219" s="127"/>
      <c r="AJ219" s="127"/>
      <c r="AK219" s="127"/>
      <c r="AL219" s="127"/>
      <c r="AM219" s="127"/>
      <c r="AN219" s="127"/>
      <c r="AO219" s="127"/>
      <c r="AP219" s="127"/>
      <c r="AQ219" s="127"/>
      <c r="AR219" s="127"/>
      <c r="AS219" s="127"/>
      <c r="AT219" s="127"/>
    </row>
    <row r="220" spans="31:46" x14ac:dyDescent="0.2">
      <c r="AF220" s="127"/>
      <c r="AG220" s="127"/>
      <c r="AH220" s="127"/>
      <c r="AI220" s="127"/>
      <c r="AJ220" s="127"/>
      <c r="AK220" s="127"/>
      <c r="AL220" s="127"/>
      <c r="AM220" s="127"/>
      <c r="AN220" s="127"/>
      <c r="AO220" s="127"/>
      <c r="AP220" s="127"/>
      <c r="AQ220" s="127"/>
      <c r="AR220" s="127"/>
      <c r="AS220" s="127"/>
      <c r="AT220" s="127"/>
    </row>
    <row r="221" spans="31:46" x14ac:dyDescent="0.2">
      <c r="AF221" s="127"/>
      <c r="AG221" s="127"/>
      <c r="AH221" s="127"/>
      <c r="AI221" s="127"/>
      <c r="AJ221" s="127"/>
      <c r="AK221" s="127"/>
      <c r="AL221" s="127"/>
      <c r="AM221" s="127"/>
      <c r="AN221" s="127"/>
      <c r="AO221" s="127"/>
      <c r="AP221" s="127"/>
      <c r="AQ221" s="127"/>
      <c r="AR221" s="127"/>
      <c r="AS221" s="127"/>
      <c r="AT221" s="127"/>
    </row>
    <row r="222" spans="31:46" x14ac:dyDescent="0.2">
      <c r="AF222" s="127"/>
      <c r="AG222" s="127"/>
      <c r="AH222" s="127"/>
      <c r="AI222" s="127"/>
      <c r="AJ222" s="127"/>
      <c r="AK222" s="127"/>
      <c r="AL222" s="127"/>
      <c r="AM222" s="127"/>
      <c r="AN222" s="127"/>
      <c r="AO222" s="127"/>
      <c r="AP222" s="127"/>
      <c r="AQ222" s="127"/>
      <c r="AR222" s="127"/>
      <c r="AS222" s="127"/>
      <c r="AT222" s="127"/>
    </row>
    <row r="223" spans="31:46" x14ac:dyDescent="0.2">
      <c r="AF223" s="127"/>
      <c r="AG223" s="127"/>
      <c r="AH223" s="127"/>
      <c r="AI223" s="127"/>
      <c r="AJ223" s="127"/>
      <c r="AK223" s="127"/>
      <c r="AL223" s="127"/>
      <c r="AM223" s="127"/>
      <c r="AN223" s="127"/>
      <c r="AO223" s="127"/>
      <c r="AP223" s="127"/>
      <c r="AQ223" s="127"/>
      <c r="AR223" s="127"/>
      <c r="AS223" s="127"/>
      <c r="AT223" s="127"/>
    </row>
    <row r="224" spans="31:46" x14ac:dyDescent="0.2">
      <c r="AF224" s="127"/>
      <c r="AG224" s="127"/>
      <c r="AH224" s="127"/>
      <c r="AI224" s="127"/>
      <c r="AJ224" s="127"/>
      <c r="AK224" s="127"/>
      <c r="AL224" s="127"/>
      <c r="AM224" s="127"/>
      <c r="AN224" s="127"/>
      <c r="AO224" s="127"/>
      <c r="AP224" s="127"/>
      <c r="AQ224" s="127"/>
      <c r="AR224" s="127"/>
      <c r="AS224" s="127"/>
      <c r="AT224" s="127"/>
    </row>
    <row r="225" spans="31:52" x14ac:dyDescent="0.2">
      <c r="AF225" s="127"/>
      <c r="AG225" s="127"/>
      <c r="AH225" s="127"/>
      <c r="AI225" s="127"/>
      <c r="AJ225" s="127"/>
      <c r="AK225" s="127"/>
      <c r="AL225" s="127"/>
      <c r="AM225" s="127"/>
      <c r="AN225" s="127"/>
      <c r="AO225" s="127"/>
      <c r="AP225" s="127"/>
      <c r="AQ225" s="127"/>
      <c r="AR225" s="127"/>
      <c r="AS225" s="127"/>
      <c r="AT225" s="127"/>
    </row>
    <row r="226" spans="31:52" x14ac:dyDescent="0.2">
      <c r="AF226" s="127"/>
      <c r="AG226" s="127"/>
      <c r="AH226" s="127"/>
      <c r="AI226" s="127"/>
      <c r="AJ226" s="127"/>
      <c r="AK226" s="127"/>
      <c r="AL226" s="127"/>
      <c r="AM226" s="127"/>
      <c r="AN226" s="127"/>
      <c r="AO226" s="127"/>
      <c r="AP226" s="127"/>
      <c r="AQ226" s="127"/>
      <c r="AR226" s="127"/>
      <c r="AS226" s="127"/>
      <c r="AT226" s="127"/>
    </row>
    <row r="227" spans="31:52" x14ac:dyDescent="0.2">
      <c r="AF227" s="127"/>
      <c r="AG227" s="127"/>
      <c r="AH227" s="127"/>
      <c r="AI227" s="127"/>
      <c r="AJ227" s="127"/>
      <c r="AK227" s="127"/>
      <c r="AL227" s="127"/>
      <c r="AM227" s="127"/>
      <c r="AN227" s="127"/>
      <c r="AO227" s="127"/>
      <c r="AP227" s="127"/>
      <c r="AQ227" s="127"/>
      <c r="AR227" s="127"/>
      <c r="AS227" s="127"/>
      <c r="AT227" s="127"/>
    </row>
    <row r="229" spans="31:52" x14ac:dyDescent="0.2">
      <c r="AE229" s="206"/>
      <c r="AF229" s="127"/>
      <c r="AG229" s="127"/>
      <c r="AH229" s="127"/>
      <c r="AI229" s="127"/>
      <c r="AJ229" s="127"/>
      <c r="AK229" s="127"/>
      <c r="AL229" s="127"/>
      <c r="AM229" s="127"/>
      <c r="AN229" s="127"/>
      <c r="AO229" s="127"/>
      <c r="AP229" s="127"/>
      <c r="AQ229" s="127"/>
      <c r="AR229" s="127"/>
      <c r="AS229" s="127"/>
      <c r="AT229" s="127"/>
      <c r="AU229" s="127"/>
      <c r="AV229" s="127"/>
      <c r="AW229" s="127"/>
      <c r="AX229" s="127"/>
      <c r="AY229" s="127"/>
      <c r="AZ229" s="127"/>
    </row>
    <row r="230" spans="31:52" x14ac:dyDescent="0.2">
      <c r="AF230" s="127"/>
      <c r="AG230" s="127"/>
      <c r="AH230" s="127"/>
      <c r="AI230" s="127"/>
      <c r="AJ230" s="127"/>
      <c r="AK230" s="127"/>
      <c r="AL230" s="127"/>
      <c r="AM230" s="127"/>
      <c r="AN230" s="127"/>
      <c r="AO230" s="127"/>
      <c r="AP230" s="127"/>
      <c r="AQ230" s="127"/>
      <c r="AR230" s="127"/>
      <c r="AS230" s="127"/>
      <c r="AT230" s="127"/>
      <c r="AU230" s="127"/>
      <c r="AV230" s="127"/>
      <c r="AW230" s="127"/>
      <c r="AX230" s="127"/>
      <c r="AY230" s="127"/>
      <c r="AZ230" s="127"/>
    </row>
    <row r="231" spans="31:52" x14ac:dyDescent="0.2">
      <c r="AF231" s="127"/>
      <c r="AG231" s="127"/>
      <c r="AH231" s="127"/>
      <c r="AI231" s="127"/>
      <c r="AJ231" s="127"/>
      <c r="AK231" s="127"/>
      <c r="AL231" s="127"/>
      <c r="AM231" s="127"/>
      <c r="AN231" s="127"/>
      <c r="AO231" s="127"/>
      <c r="AP231" s="127"/>
      <c r="AQ231" s="127"/>
      <c r="AR231" s="127"/>
      <c r="AS231" s="127"/>
      <c r="AT231" s="127"/>
      <c r="AU231" s="127"/>
      <c r="AV231" s="127"/>
      <c r="AW231" s="127"/>
      <c r="AX231" s="127"/>
      <c r="AY231" s="127"/>
      <c r="AZ231" s="127"/>
    </row>
    <row r="232" spans="31:52" x14ac:dyDescent="0.2">
      <c r="AF232" s="127"/>
      <c r="AG232" s="127"/>
      <c r="AH232" s="127"/>
      <c r="AI232" s="127"/>
      <c r="AJ232" s="127"/>
      <c r="AK232" s="127"/>
      <c r="AL232" s="127"/>
      <c r="AM232" s="127"/>
      <c r="AN232" s="127"/>
      <c r="AO232" s="127"/>
      <c r="AP232" s="127"/>
      <c r="AQ232" s="127"/>
      <c r="AR232" s="127"/>
      <c r="AS232" s="127"/>
      <c r="AT232" s="127"/>
      <c r="AU232" s="127"/>
      <c r="AV232" s="127"/>
      <c r="AW232" s="127"/>
      <c r="AX232" s="127"/>
      <c r="AY232" s="127"/>
      <c r="AZ232" s="127"/>
    </row>
    <row r="233" spans="31:52" x14ac:dyDescent="0.2">
      <c r="AF233" s="127"/>
      <c r="AG233" s="127"/>
      <c r="AH233" s="127"/>
      <c r="AI233" s="127"/>
      <c r="AJ233" s="127"/>
      <c r="AK233" s="127"/>
      <c r="AL233" s="127"/>
      <c r="AM233" s="127"/>
      <c r="AN233" s="127"/>
      <c r="AO233" s="127"/>
      <c r="AP233" s="127"/>
      <c r="AQ233" s="127"/>
      <c r="AR233" s="127"/>
      <c r="AS233" s="127"/>
      <c r="AT233" s="127"/>
      <c r="AU233" s="127"/>
      <c r="AV233" s="127"/>
      <c r="AW233" s="127"/>
      <c r="AX233" s="127"/>
      <c r="AY233" s="127"/>
      <c r="AZ233" s="127"/>
    </row>
    <row r="234" spans="31:52" x14ac:dyDescent="0.2">
      <c r="AF234" s="127"/>
      <c r="AG234" s="127"/>
      <c r="AH234" s="127"/>
      <c r="AI234" s="127"/>
      <c r="AJ234" s="127"/>
      <c r="AK234" s="127"/>
      <c r="AL234" s="127"/>
      <c r="AM234" s="127"/>
      <c r="AN234" s="127"/>
      <c r="AO234" s="127"/>
      <c r="AP234" s="127"/>
      <c r="AQ234" s="127"/>
      <c r="AR234" s="127"/>
      <c r="AS234" s="127"/>
      <c r="AT234" s="127"/>
      <c r="AU234" s="127"/>
      <c r="AV234" s="127"/>
      <c r="AW234" s="127"/>
      <c r="AX234" s="127"/>
      <c r="AY234" s="127"/>
      <c r="AZ234" s="127"/>
    </row>
    <row r="235" spans="31:52" x14ac:dyDescent="0.2">
      <c r="AF235" s="127"/>
      <c r="AG235" s="127"/>
      <c r="AH235" s="127"/>
      <c r="AI235" s="127"/>
      <c r="AJ235" s="127"/>
      <c r="AK235" s="127"/>
      <c r="AL235" s="127"/>
      <c r="AM235" s="127"/>
      <c r="AN235" s="127"/>
      <c r="AO235" s="127"/>
      <c r="AP235" s="127"/>
      <c r="AQ235" s="127"/>
      <c r="AR235" s="127"/>
      <c r="AS235" s="127"/>
      <c r="AT235" s="127"/>
      <c r="AU235" s="127"/>
      <c r="AV235" s="127"/>
      <c r="AW235" s="127"/>
      <c r="AX235" s="127"/>
      <c r="AY235" s="127"/>
      <c r="AZ235" s="127"/>
    </row>
    <row r="236" spans="31:52" x14ac:dyDescent="0.2">
      <c r="AF236" s="127"/>
      <c r="AG236" s="127"/>
      <c r="AH236" s="127"/>
      <c r="AI236" s="127"/>
      <c r="AJ236" s="127"/>
      <c r="AK236" s="127"/>
      <c r="AL236" s="127"/>
      <c r="AM236" s="127"/>
      <c r="AN236" s="127"/>
      <c r="AO236" s="127"/>
      <c r="AP236" s="127"/>
      <c r="AQ236" s="127"/>
      <c r="AR236" s="127"/>
      <c r="AS236" s="127"/>
      <c r="AT236" s="127"/>
      <c r="AU236" s="127"/>
      <c r="AV236" s="127"/>
      <c r="AW236" s="127"/>
      <c r="AX236" s="127"/>
      <c r="AY236" s="127"/>
      <c r="AZ236" s="127"/>
    </row>
    <row r="237" spans="31:52" x14ac:dyDescent="0.2">
      <c r="AF237" s="127"/>
      <c r="AG237" s="127"/>
      <c r="AH237" s="127"/>
      <c r="AI237" s="127"/>
      <c r="AJ237" s="127"/>
      <c r="AK237" s="127"/>
      <c r="AL237" s="127"/>
      <c r="AM237" s="127"/>
      <c r="AN237" s="127"/>
      <c r="AO237" s="127"/>
      <c r="AP237" s="127"/>
      <c r="AQ237" s="127"/>
      <c r="AR237" s="127"/>
      <c r="AS237" s="127"/>
      <c r="AT237" s="127"/>
      <c r="AU237" s="127"/>
      <c r="AV237" s="127"/>
      <c r="AW237" s="127"/>
      <c r="AX237" s="127"/>
      <c r="AY237" s="127"/>
      <c r="AZ237" s="127"/>
    </row>
    <row r="238" spans="31:52" x14ac:dyDescent="0.2">
      <c r="AF238" s="127"/>
      <c r="AG238" s="127"/>
      <c r="AH238" s="127"/>
      <c r="AI238" s="127"/>
      <c r="AJ238" s="127"/>
      <c r="AK238" s="127"/>
      <c r="AL238" s="127"/>
      <c r="AM238" s="127"/>
      <c r="AN238" s="127"/>
      <c r="AO238" s="127"/>
      <c r="AP238" s="127"/>
      <c r="AQ238" s="127"/>
      <c r="AR238" s="127"/>
      <c r="AS238" s="127"/>
      <c r="AT238" s="127"/>
      <c r="AU238" s="127"/>
      <c r="AV238" s="127"/>
      <c r="AW238" s="127"/>
      <c r="AX238" s="127"/>
      <c r="AY238" s="127"/>
      <c r="AZ238" s="127"/>
    </row>
    <row r="239" spans="31:52" x14ac:dyDescent="0.2">
      <c r="AF239" s="127"/>
      <c r="AG239" s="127"/>
      <c r="AH239" s="127"/>
      <c r="AI239" s="127"/>
      <c r="AJ239" s="127"/>
      <c r="AK239" s="127"/>
      <c r="AL239" s="127"/>
      <c r="AM239" s="127"/>
      <c r="AN239" s="127"/>
      <c r="AO239" s="127"/>
      <c r="AP239" s="127"/>
      <c r="AQ239" s="127"/>
      <c r="AR239" s="127"/>
      <c r="AS239" s="127"/>
      <c r="AT239" s="127"/>
      <c r="AU239" s="127"/>
      <c r="AV239" s="127"/>
      <c r="AW239" s="127"/>
      <c r="AX239" s="127"/>
      <c r="AY239" s="127"/>
      <c r="AZ239" s="127"/>
    </row>
    <row r="240" spans="31:52" x14ac:dyDescent="0.2">
      <c r="AF240" s="127"/>
      <c r="AG240" s="127"/>
      <c r="AH240" s="127"/>
      <c r="AI240" s="127"/>
      <c r="AJ240" s="127"/>
      <c r="AK240" s="127"/>
      <c r="AL240" s="127"/>
      <c r="AM240" s="127"/>
      <c r="AN240" s="127"/>
      <c r="AO240" s="127"/>
      <c r="AP240" s="127"/>
      <c r="AQ240" s="127"/>
      <c r="AR240" s="127"/>
      <c r="AS240" s="127"/>
      <c r="AT240" s="127"/>
      <c r="AU240" s="127"/>
      <c r="AV240" s="127"/>
      <c r="AW240" s="127"/>
      <c r="AX240" s="127"/>
      <c r="AY240" s="127"/>
      <c r="AZ240" s="127"/>
    </row>
    <row r="241" spans="31:52" x14ac:dyDescent="0.2">
      <c r="AF241" s="127"/>
      <c r="AG241" s="127"/>
      <c r="AH241" s="127"/>
      <c r="AI241" s="127"/>
      <c r="AJ241" s="127"/>
      <c r="AK241" s="127"/>
      <c r="AL241" s="127"/>
      <c r="AM241" s="127"/>
      <c r="AN241" s="127"/>
      <c r="AO241" s="127"/>
      <c r="AP241" s="127"/>
      <c r="AQ241" s="127"/>
      <c r="AR241" s="127"/>
      <c r="AS241" s="127"/>
      <c r="AT241" s="127"/>
      <c r="AU241" s="127"/>
      <c r="AV241" s="127"/>
      <c r="AW241" s="127"/>
      <c r="AX241" s="127"/>
      <c r="AY241" s="127"/>
      <c r="AZ241" s="127"/>
    </row>
    <row r="242" spans="31:52" x14ac:dyDescent="0.2">
      <c r="AF242" s="127"/>
      <c r="AG242" s="127"/>
      <c r="AH242" s="127"/>
      <c r="AI242" s="127"/>
      <c r="AJ242" s="127"/>
      <c r="AK242" s="127"/>
      <c r="AL242" s="127"/>
      <c r="AM242" s="127"/>
      <c r="AN242" s="127"/>
      <c r="AO242" s="127"/>
      <c r="AP242" s="127"/>
      <c r="AQ242" s="127"/>
      <c r="AR242" s="127"/>
      <c r="AS242" s="127"/>
      <c r="AT242" s="127"/>
      <c r="AU242" s="127"/>
      <c r="AV242" s="127"/>
      <c r="AW242" s="127"/>
      <c r="AX242" s="127"/>
      <c r="AY242" s="127"/>
      <c r="AZ242" s="127"/>
    </row>
    <row r="243" spans="31:52" x14ac:dyDescent="0.2">
      <c r="AF243" s="127"/>
      <c r="AG243" s="127"/>
      <c r="AH243" s="127"/>
      <c r="AI243" s="127"/>
      <c r="AJ243" s="127"/>
      <c r="AK243" s="127"/>
      <c r="AL243" s="127"/>
      <c r="AM243" s="127"/>
      <c r="AN243" s="127"/>
      <c r="AO243" s="127"/>
      <c r="AP243" s="127"/>
      <c r="AQ243" s="127"/>
      <c r="AR243" s="127"/>
      <c r="AS243" s="127"/>
      <c r="AT243" s="127"/>
      <c r="AU243" s="127"/>
      <c r="AV243" s="127"/>
      <c r="AW243" s="127"/>
      <c r="AX243" s="127"/>
      <c r="AY243" s="127"/>
      <c r="AZ243" s="127"/>
    </row>
    <row r="244" spans="31:52" x14ac:dyDescent="0.2">
      <c r="AF244" s="127"/>
      <c r="AG244" s="127"/>
      <c r="AH244" s="127"/>
      <c r="AI244" s="127"/>
      <c r="AJ244" s="127"/>
      <c r="AK244" s="127"/>
      <c r="AL244" s="127"/>
      <c r="AM244" s="127"/>
      <c r="AN244" s="127"/>
      <c r="AO244" s="127"/>
      <c r="AP244" s="127"/>
      <c r="AQ244" s="127"/>
      <c r="AR244" s="127"/>
      <c r="AS244" s="127"/>
      <c r="AT244" s="127"/>
      <c r="AU244" s="127"/>
      <c r="AV244" s="127"/>
      <c r="AW244" s="127"/>
      <c r="AX244" s="127"/>
      <c r="AY244" s="127"/>
      <c r="AZ244" s="127"/>
    </row>
    <row r="245" spans="31:52" x14ac:dyDescent="0.2">
      <c r="AF245" s="127"/>
      <c r="AG245" s="127"/>
      <c r="AH245" s="127"/>
      <c r="AI245" s="127"/>
      <c r="AJ245" s="127"/>
      <c r="AK245" s="127"/>
      <c r="AL245" s="127"/>
      <c r="AM245" s="127"/>
      <c r="AN245" s="127"/>
      <c r="AO245" s="127"/>
      <c r="AP245" s="127"/>
      <c r="AQ245" s="127"/>
      <c r="AR245" s="127"/>
      <c r="AS245" s="127"/>
      <c r="AT245" s="127"/>
      <c r="AU245" s="127"/>
      <c r="AV245" s="127"/>
      <c r="AW245" s="127"/>
      <c r="AX245" s="127"/>
      <c r="AY245" s="127"/>
      <c r="AZ245" s="127"/>
    </row>
    <row r="246" spans="31:52" x14ac:dyDescent="0.2">
      <c r="AF246" s="127"/>
      <c r="AG246" s="127"/>
      <c r="AH246" s="127"/>
      <c r="AI246" s="127"/>
      <c r="AJ246" s="127"/>
      <c r="AK246" s="127"/>
      <c r="AL246" s="127"/>
      <c r="AM246" s="127"/>
      <c r="AN246" s="127"/>
      <c r="AO246" s="127"/>
      <c r="AP246" s="127"/>
      <c r="AQ246" s="127"/>
      <c r="AR246" s="127"/>
      <c r="AS246" s="127"/>
      <c r="AT246" s="127"/>
      <c r="AU246" s="127"/>
      <c r="AV246" s="127"/>
      <c r="AW246" s="127"/>
      <c r="AX246" s="127"/>
      <c r="AY246" s="127"/>
      <c r="AZ246" s="127"/>
    </row>
    <row r="247" spans="31:52" x14ac:dyDescent="0.2">
      <c r="AF247" s="127"/>
      <c r="AG247" s="127"/>
      <c r="AH247" s="127"/>
      <c r="AI247" s="127"/>
      <c r="AJ247" s="127"/>
      <c r="AK247" s="127"/>
      <c r="AL247" s="127"/>
      <c r="AM247" s="127"/>
      <c r="AN247" s="127"/>
      <c r="AO247" s="127"/>
      <c r="AP247" s="127"/>
      <c r="AQ247" s="127"/>
      <c r="AR247" s="127"/>
      <c r="AS247" s="127"/>
      <c r="AT247" s="127"/>
      <c r="AU247" s="127"/>
      <c r="AV247" s="127"/>
      <c r="AW247" s="127"/>
      <c r="AX247" s="127"/>
      <c r="AY247" s="127"/>
      <c r="AZ247" s="127"/>
    </row>
    <row r="248" spans="31:52" x14ac:dyDescent="0.2">
      <c r="AF248" s="127"/>
      <c r="AG248" s="127"/>
      <c r="AH248" s="127"/>
      <c r="AI248" s="127"/>
      <c r="AJ248" s="127"/>
      <c r="AK248" s="127"/>
      <c r="AL248" s="127"/>
      <c r="AM248" s="127"/>
      <c r="AN248" s="127"/>
      <c r="AO248" s="127"/>
      <c r="AP248" s="127"/>
      <c r="AQ248" s="127"/>
      <c r="AR248" s="127"/>
      <c r="AS248" s="127"/>
      <c r="AT248" s="127"/>
      <c r="AU248" s="127"/>
      <c r="AV248" s="127"/>
      <c r="AW248" s="127"/>
      <c r="AX248" s="127"/>
      <c r="AY248" s="127"/>
      <c r="AZ248" s="127"/>
    </row>
    <row r="249" spans="31:52" x14ac:dyDescent="0.2">
      <c r="AF249" s="127"/>
      <c r="AG249" s="127"/>
      <c r="AH249" s="127"/>
      <c r="AI249" s="127"/>
      <c r="AJ249" s="127"/>
      <c r="AK249" s="127"/>
      <c r="AL249" s="127"/>
      <c r="AM249" s="127"/>
      <c r="AN249" s="127"/>
      <c r="AO249" s="127"/>
      <c r="AP249" s="127"/>
      <c r="AQ249" s="127"/>
      <c r="AR249" s="127"/>
      <c r="AS249" s="127"/>
      <c r="AT249" s="127"/>
      <c r="AU249" s="127"/>
      <c r="AV249" s="127"/>
      <c r="AW249" s="127"/>
      <c r="AX249" s="127"/>
      <c r="AY249" s="127"/>
      <c r="AZ249" s="127"/>
    </row>
    <row r="250" spans="31:52" x14ac:dyDescent="0.2">
      <c r="AF250" s="127"/>
      <c r="AG250" s="127"/>
      <c r="AH250" s="127"/>
      <c r="AI250" s="127"/>
      <c r="AJ250" s="127"/>
      <c r="AK250" s="127"/>
      <c r="AL250" s="127"/>
      <c r="AM250" s="127"/>
      <c r="AN250" s="127"/>
      <c r="AO250" s="127"/>
      <c r="AP250" s="127"/>
      <c r="AQ250" s="127"/>
      <c r="AR250" s="127"/>
      <c r="AS250" s="127"/>
      <c r="AT250" s="127"/>
      <c r="AU250" s="127"/>
      <c r="AV250" s="127"/>
      <c r="AW250" s="127"/>
      <c r="AX250" s="127"/>
      <c r="AY250" s="127"/>
      <c r="AZ250" s="127"/>
    </row>
    <row r="251" spans="31:52" x14ac:dyDescent="0.2">
      <c r="AF251" s="127"/>
      <c r="AG251" s="127"/>
      <c r="AH251" s="127"/>
      <c r="AI251" s="127"/>
      <c r="AJ251" s="127"/>
      <c r="AK251" s="127"/>
      <c r="AL251" s="127"/>
      <c r="AM251" s="127"/>
      <c r="AN251" s="127"/>
      <c r="AO251" s="127"/>
      <c r="AP251" s="127"/>
      <c r="AQ251" s="127"/>
      <c r="AR251" s="127"/>
      <c r="AS251" s="127"/>
      <c r="AT251" s="127"/>
      <c r="AU251" s="127"/>
      <c r="AV251" s="127"/>
      <c r="AW251" s="127"/>
      <c r="AX251" s="127"/>
      <c r="AY251" s="127"/>
      <c r="AZ251" s="127"/>
    </row>
    <row r="252" spans="31:52" x14ac:dyDescent="0.2">
      <c r="AF252" s="127"/>
      <c r="AG252" s="127"/>
      <c r="AH252" s="127"/>
      <c r="AI252" s="127"/>
      <c r="AJ252" s="127"/>
      <c r="AK252" s="127"/>
      <c r="AL252" s="127"/>
      <c r="AM252" s="127"/>
      <c r="AN252" s="127"/>
      <c r="AO252" s="127"/>
      <c r="AP252" s="127"/>
      <c r="AQ252" s="127"/>
      <c r="AR252" s="127"/>
      <c r="AS252" s="127"/>
      <c r="AT252" s="127"/>
      <c r="AU252" s="127"/>
      <c r="AV252" s="127"/>
      <c r="AW252" s="127"/>
      <c r="AX252" s="127"/>
      <c r="AY252" s="127"/>
      <c r="AZ252" s="127"/>
    </row>
    <row r="253" spans="31:52" x14ac:dyDescent="0.2">
      <c r="AF253" s="127"/>
      <c r="AG253" s="127"/>
      <c r="AH253" s="127"/>
      <c r="AI253" s="127"/>
      <c r="AJ253" s="127"/>
      <c r="AK253" s="127"/>
      <c r="AL253" s="127"/>
      <c r="AM253" s="127"/>
      <c r="AN253" s="127"/>
      <c r="AO253" s="127"/>
      <c r="AP253" s="127"/>
      <c r="AQ253" s="127"/>
      <c r="AR253" s="127"/>
      <c r="AS253" s="127"/>
      <c r="AT253" s="127"/>
      <c r="AU253" s="127"/>
      <c r="AV253" s="127"/>
      <c r="AW253" s="127"/>
      <c r="AX253" s="127"/>
      <c r="AY253" s="127"/>
      <c r="AZ253" s="127"/>
    </row>
    <row r="255" spans="31:52" x14ac:dyDescent="0.2">
      <c r="AE255" s="207"/>
      <c r="AF255" s="127"/>
      <c r="AG255" s="127"/>
      <c r="AH255" s="127"/>
      <c r="AI255" s="127"/>
      <c r="AJ255" s="127"/>
      <c r="AK255" s="127"/>
      <c r="AL255" s="127"/>
      <c r="AM255" s="127"/>
      <c r="AN255" s="127"/>
      <c r="AO255" s="127"/>
      <c r="AP255" s="127"/>
      <c r="AQ255" s="127"/>
      <c r="AR255" s="127"/>
      <c r="AS255" s="127"/>
      <c r="AT255" s="127"/>
      <c r="AU255" s="127"/>
      <c r="AV255" s="127"/>
      <c r="AW255" s="127"/>
      <c r="AX255" s="127"/>
      <c r="AY255" s="127"/>
      <c r="AZ255" s="127"/>
    </row>
    <row r="256" spans="31:52" x14ac:dyDescent="0.2">
      <c r="AF256" s="127"/>
      <c r="AG256" s="127"/>
      <c r="AH256" s="127"/>
      <c r="AI256" s="127"/>
      <c r="AJ256" s="127"/>
      <c r="AK256" s="127"/>
      <c r="AL256" s="127"/>
      <c r="AM256" s="127"/>
      <c r="AN256" s="127"/>
      <c r="AO256" s="127"/>
      <c r="AP256" s="127"/>
      <c r="AQ256" s="127"/>
      <c r="AR256" s="127"/>
      <c r="AS256" s="127"/>
      <c r="AT256" s="127"/>
      <c r="AU256" s="127"/>
      <c r="AV256" s="127"/>
      <c r="AW256" s="127"/>
      <c r="AX256" s="127"/>
      <c r="AY256" s="127"/>
      <c r="AZ256" s="127"/>
    </row>
    <row r="257" spans="32:52" x14ac:dyDescent="0.2">
      <c r="AF257" s="127"/>
      <c r="AG257" s="127"/>
      <c r="AH257" s="127"/>
      <c r="AI257" s="127"/>
      <c r="AJ257" s="127"/>
      <c r="AK257" s="127"/>
      <c r="AL257" s="127"/>
      <c r="AM257" s="127"/>
      <c r="AN257" s="127"/>
      <c r="AO257" s="127"/>
      <c r="AP257" s="127"/>
      <c r="AQ257" s="127"/>
      <c r="AR257" s="127"/>
      <c r="AS257" s="127"/>
      <c r="AT257" s="127"/>
      <c r="AU257" s="127"/>
      <c r="AV257" s="127"/>
      <c r="AW257" s="127"/>
      <c r="AX257" s="127"/>
      <c r="AY257" s="127"/>
      <c r="AZ257" s="127"/>
    </row>
    <row r="258" spans="32:52" x14ac:dyDescent="0.2">
      <c r="AF258" s="127"/>
      <c r="AG258" s="127"/>
      <c r="AH258" s="127"/>
      <c r="AI258" s="127"/>
      <c r="AJ258" s="127"/>
      <c r="AK258" s="127"/>
      <c r="AL258" s="127"/>
      <c r="AM258" s="127"/>
      <c r="AN258" s="127"/>
      <c r="AO258" s="127"/>
      <c r="AP258" s="127"/>
      <c r="AQ258" s="127"/>
      <c r="AR258" s="127"/>
      <c r="AS258" s="127"/>
      <c r="AT258" s="127"/>
      <c r="AU258" s="127"/>
      <c r="AV258" s="127"/>
      <c r="AW258" s="127"/>
      <c r="AX258" s="127"/>
      <c r="AY258" s="127"/>
      <c r="AZ258" s="127"/>
    </row>
    <row r="259" spans="32:52" x14ac:dyDescent="0.2">
      <c r="AF259" s="127"/>
      <c r="AG259" s="127"/>
      <c r="AH259" s="127"/>
      <c r="AI259" s="127"/>
      <c r="AJ259" s="127"/>
      <c r="AK259" s="127"/>
      <c r="AL259" s="127"/>
      <c r="AM259" s="127"/>
      <c r="AN259" s="127"/>
      <c r="AO259" s="127"/>
      <c r="AP259" s="127"/>
      <c r="AQ259" s="127"/>
      <c r="AR259" s="127"/>
      <c r="AS259" s="127"/>
      <c r="AT259" s="127"/>
      <c r="AU259" s="127"/>
      <c r="AV259" s="127"/>
      <c r="AW259" s="127"/>
      <c r="AX259" s="127"/>
      <c r="AY259" s="127"/>
      <c r="AZ259" s="127"/>
    </row>
    <row r="260" spans="32:52" x14ac:dyDescent="0.2">
      <c r="AF260" s="127"/>
      <c r="AG260" s="127"/>
      <c r="AH260" s="127"/>
      <c r="AI260" s="127"/>
      <c r="AJ260" s="127"/>
      <c r="AK260" s="127"/>
      <c r="AL260" s="127"/>
      <c r="AM260" s="127"/>
      <c r="AN260" s="127"/>
      <c r="AO260" s="127"/>
      <c r="AP260" s="127"/>
      <c r="AQ260" s="127"/>
      <c r="AR260" s="127"/>
      <c r="AS260" s="127"/>
      <c r="AT260" s="127"/>
      <c r="AU260" s="127"/>
      <c r="AV260" s="127"/>
      <c r="AW260" s="127"/>
      <c r="AX260" s="127"/>
      <c r="AY260" s="127"/>
      <c r="AZ260" s="127"/>
    </row>
    <row r="261" spans="32:52" x14ac:dyDescent="0.2">
      <c r="AF261" s="127"/>
      <c r="AG261" s="127"/>
      <c r="AH261" s="127"/>
      <c r="AI261" s="127"/>
      <c r="AJ261" s="127"/>
      <c r="AK261" s="127"/>
      <c r="AL261" s="127"/>
      <c r="AM261" s="127"/>
      <c r="AN261" s="127"/>
      <c r="AO261" s="127"/>
      <c r="AP261" s="127"/>
      <c r="AQ261" s="127"/>
      <c r="AR261" s="127"/>
      <c r="AS261" s="127"/>
      <c r="AT261" s="127"/>
      <c r="AU261" s="127"/>
      <c r="AV261" s="127"/>
      <c r="AW261" s="127"/>
      <c r="AX261" s="127"/>
      <c r="AY261" s="127"/>
      <c r="AZ261" s="127"/>
    </row>
    <row r="262" spans="32:52" x14ac:dyDescent="0.2">
      <c r="AF262" s="127"/>
      <c r="AG262" s="127"/>
      <c r="AH262" s="127"/>
      <c r="AI262" s="127"/>
      <c r="AJ262" s="127"/>
      <c r="AK262" s="127"/>
      <c r="AL262" s="127"/>
      <c r="AM262" s="127"/>
      <c r="AN262" s="127"/>
      <c r="AO262" s="127"/>
      <c r="AP262" s="127"/>
      <c r="AQ262" s="127"/>
      <c r="AR262" s="127"/>
      <c r="AS262" s="127"/>
      <c r="AT262" s="127"/>
      <c r="AU262" s="127"/>
      <c r="AV262" s="127"/>
      <c r="AW262" s="127"/>
      <c r="AX262" s="127"/>
      <c r="AY262" s="127"/>
      <c r="AZ262" s="127"/>
    </row>
    <row r="263" spans="32:52" x14ac:dyDescent="0.2">
      <c r="AF263" s="127"/>
      <c r="AG263" s="127"/>
      <c r="AH263" s="127"/>
      <c r="AI263" s="127"/>
      <c r="AJ263" s="127"/>
      <c r="AK263" s="127"/>
      <c r="AL263" s="127"/>
      <c r="AM263" s="127"/>
      <c r="AN263" s="127"/>
      <c r="AO263" s="127"/>
      <c r="AP263" s="127"/>
      <c r="AQ263" s="127"/>
      <c r="AR263" s="127"/>
      <c r="AS263" s="127"/>
      <c r="AT263" s="127"/>
      <c r="AU263" s="127"/>
      <c r="AV263" s="127"/>
      <c r="AW263" s="127"/>
      <c r="AX263" s="127"/>
      <c r="AY263" s="127"/>
      <c r="AZ263" s="127"/>
    </row>
    <row r="264" spans="32:52" x14ac:dyDescent="0.2">
      <c r="AF264" s="127"/>
      <c r="AG264" s="127"/>
      <c r="AH264" s="127"/>
      <c r="AI264" s="127"/>
      <c r="AJ264" s="127"/>
      <c r="AK264" s="127"/>
      <c r="AL264" s="127"/>
      <c r="AM264" s="127"/>
      <c r="AN264" s="127"/>
      <c r="AO264" s="127"/>
      <c r="AP264" s="127"/>
      <c r="AQ264" s="127"/>
      <c r="AR264" s="127"/>
      <c r="AS264" s="127"/>
      <c r="AT264" s="127"/>
      <c r="AU264" s="127"/>
      <c r="AV264" s="127"/>
      <c r="AW264" s="127"/>
      <c r="AX264" s="127"/>
      <c r="AY264" s="127"/>
      <c r="AZ264" s="127"/>
    </row>
    <row r="265" spans="32:52" x14ac:dyDescent="0.2">
      <c r="AF265" s="127"/>
      <c r="AG265" s="127"/>
      <c r="AH265" s="127"/>
      <c r="AI265" s="127"/>
      <c r="AJ265" s="127"/>
      <c r="AK265" s="127"/>
      <c r="AL265" s="127"/>
      <c r="AM265" s="127"/>
      <c r="AN265" s="127"/>
      <c r="AO265" s="127"/>
      <c r="AP265" s="127"/>
      <c r="AQ265" s="127"/>
      <c r="AR265" s="127"/>
      <c r="AS265" s="127"/>
      <c r="AT265" s="127"/>
      <c r="AU265" s="127"/>
      <c r="AV265" s="127"/>
      <c r="AW265" s="127"/>
      <c r="AX265" s="127"/>
      <c r="AY265" s="127"/>
      <c r="AZ265" s="127"/>
    </row>
    <row r="266" spans="32:52" x14ac:dyDescent="0.2">
      <c r="AF266" s="127"/>
      <c r="AG266" s="127"/>
      <c r="AH266" s="127"/>
      <c r="AI266" s="127"/>
      <c r="AJ266" s="127"/>
      <c r="AK266" s="127"/>
      <c r="AL266" s="127"/>
      <c r="AM266" s="127"/>
      <c r="AN266" s="127"/>
      <c r="AO266" s="127"/>
      <c r="AP266" s="127"/>
      <c r="AQ266" s="127"/>
      <c r="AR266" s="127"/>
      <c r="AS266" s="127"/>
      <c r="AT266" s="127"/>
      <c r="AU266" s="127"/>
      <c r="AV266" s="127"/>
      <c r="AW266" s="127"/>
      <c r="AX266" s="127"/>
      <c r="AY266" s="127"/>
      <c r="AZ266" s="127"/>
    </row>
    <row r="267" spans="32:52" x14ac:dyDescent="0.2">
      <c r="AF267" s="127"/>
      <c r="AG267" s="127"/>
      <c r="AH267" s="127"/>
      <c r="AI267" s="127"/>
      <c r="AJ267" s="127"/>
      <c r="AK267" s="127"/>
      <c r="AL267" s="127"/>
      <c r="AM267" s="127"/>
      <c r="AN267" s="127"/>
      <c r="AO267" s="127"/>
      <c r="AP267" s="127"/>
      <c r="AQ267" s="127"/>
      <c r="AR267" s="127"/>
      <c r="AS267" s="127"/>
      <c r="AT267" s="127"/>
      <c r="AU267" s="127"/>
      <c r="AV267" s="127"/>
      <c r="AW267" s="127"/>
      <c r="AX267" s="127"/>
      <c r="AY267" s="127"/>
      <c r="AZ267" s="127"/>
    </row>
    <row r="268" spans="32:52" x14ac:dyDescent="0.2">
      <c r="AF268" s="127"/>
      <c r="AG268" s="127"/>
      <c r="AH268" s="127"/>
      <c r="AI268" s="127"/>
      <c r="AJ268" s="127"/>
      <c r="AK268" s="127"/>
      <c r="AL268" s="127"/>
      <c r="AM268" s="127"/>
      <c r="AN268" s="127"/>
      <c r="AO268" s="127"/>
      <c r="AP268" s="127"/>
      <c r="AQ268" s="127"/>
      <c r="AR268" s="127"/>
      <c r="AS268" s="127"/>
      <c r="AT268" s="127"/>
      <c r="AU268" s="127"/>
      <c r="AV268" s="127"/>
      <c r="AW268" s="127"/>
      <c r="AX268" s="127"/>
      <c r="AY268" s="127"/>
      <c r="AZ268" s="127"/>
    </row>
    <row r="269" spans="32:52" x14ac:dyDescent="0.2">
      <c r="AF269" s="127"/>
      <c r="AG269" s="127"/>
      <c r="AH269" s="127"/>
      <c r="AI269" s="127"/>
      <c r="AJ269" s="127"/>
      <c r="AK269" s="127"/>
      <c r="AL269" s="127"/>
      <c r="AM269" s="127"/>
      <c r="AN269" s="127"/>
      <c r="AO269" s="127"/>
      <c r="AP269" s="127"/>
      <c r="AQ269" s="127"/>
      <c r="AR269" s="127"/>
      <c r="AS269" s="127"/>
      <c r="AT269" s="127"/>
      <c r="AU269" s="127"/>
      <c r="AV269" s="127"/>
      <c r="AW269" s="127"/>
      <c r="AX269" s="127"/>
      <c r="AY269" s="127"/>
      <c r="AZ269" s="127"/>
    </row>
    <row r="270" spans="32:52" x14ac:dyDescent="0.2">
      <c r="AF270" s="127"/>
      <c r="AG270" s="127"/>
      <c r="AH270" s="127"/>
      <c r="AI270" s="127"/>
      <c r="AJ270" s="127"/>
      <c r="AK270" s="127"/>
      <c r="AL270" s="127"/>
      <c r="AM270" s="127"/>
      <c r="AN270" s="127"/>
      <c r="AO270" s="127"/>
      <c r="AP270" s="127"/>
      <c r="AQ270" s="127"/>
      <c r="AR270" s="127"/>
      <c r="AS270" s="127"/>
      <c r="AT270" s="127"/>
      <c r="AU270" s="127"/>
      <c r="AV270" s="127"/>
      <c r="AW270" s="127"/>
      <c r="AX270" s="127"/>
      <c r="AY270" s="127"/>
      <c r="AZ270" s="127"/>
    </row>
    <row r="271" spans="32:52" x14ac:dyDescent="0.2">
      <c r="AF271" s="127"/>
      <c r="AG271" s="127"/>
      <c r="AH271" s="127"/>
      <c r="AI271" s="127"/>
      <c r="AJ271" s="127"/>
      <c r="AK271" s="127"/>
      <c r="AL271" s="127"/>
      <c r="AM271" s="127"/>
      <c r="AN271" s="127"/>
      <c r="AO271" s="127"/>
      <c r="AP271" s="127"/>
      <c r="AQ271" s="127"/>
      <c r="AR271" s="127"/>
      <c r="AS271" s="127"/>
      <c r="AT271" s="127"/>
      <c r="AU271" s="127"/>
      <c r="AV271" s="127"/>
      <c r="AW271" s="127"/>
      <c r="AX271" s="127"/>
      <c r="AY271" s="127"/>
      <c r="AZ271" s="127"/>
    </row>
    <row r="272" spans="32:52" x14ac:dyDescent="0.2">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row>
    <row r="273" spans="31:52" x14ac:dyDescent="0.2">
      <c r="AF273" s="127"/>
      <c r="AG273" s="127"/>
      <c r="AH273" s="127"/>
      <c r="AI273" s="127"/>
      <c r="AJ273" s="127"/>
      <c r="AK273" s="127"/>
      <c r="AL273" s="127"/>
      <c r="AM273" s="127"/>
      <c r="AN273" s="127"/>
      <c r="AO273" s="127"/>
      <c r="AP273" s="127"/>
      <c r="AQ273" s="127"/>
      <c r="AR273" s="127"/>
      <c r="AS273" s="127"/>
      <c r="AT273" s="127"/>
      <c r="AU273" s="127"/>
      <c r="AV273" s="127"/>
      <c r="AW273" s="127"/>
      <c r="AX273" s="127"/>
      <c r="AY273" s="127"/>
      <c r="AZ273" s="127"/>
    </row>
    <row r="274" spans="31:52" x14ac:dyDescent="0.2">
      <c r="AF274" s="127"/>
      <c r="AG274" s="127"/>
      <c r="AH274" s="127"/>
      <c r="AI274" s="127"/>
      <c r="AJ274" s="127"/>
      <c r="AK274" s="127"/>
      <c r="AL274" s="127"/>
      <c r="AM274" s="127"/>
      <c r="AN274" s="127"/>
      <c r="AO274" s="127"/>
      <c r="AP274" s="127"/>
      <c r="AQ274" s="127"/>
      <c r="AR274" s="127"/>
      <c r="AS274" s="127"/>
      <c r="AT274" s="127"/>
      <c r="AU274" s="127"/>
      <c r="AV274" s="127"/>
      <c r="AW274" s="127"/>
      <c r="AX274" s="127"/>
      <c r="AY274" s="127"/>
      <c r="AZ274" s="127"/>
    </row>
    <row r="275" spans="31:52" x14ac:dyDescent="0.2">
      <c r="AF275" s="127"/>
      <c r="AG275" s="127"/>
      <c r="AH275" s="127"/>
      <c r="AI275" s="127"/>
      <c r="AJ275" s="127"/>
      <c r="AK275" s="127"/>
      <c r="AL275" s="127"/>
      <c r="AM275" s="127"/>
      <c r="AN275" s="127"/>
      <c r="AO275" s="127"/>
      <c r="AP275" s="127"/>
      <c r="AQ275" s="127"/>
      <c r="AR275" s="127"/>
      <c r="AS275" s="127"/>
      <c r="AT275" s="127"/>
      <c r="AU275" s="127"/>
      <c r="AV275" s="127"/>
      <c r="AW275" s="127"/>
      <c r="AX275" s="127"/>
      <c r="AY275" s="127"/>
      <c r="AZ275" s="127"/>
    </row>
    <row r="276" spans="31:52" x14ac:dyDescent="0.2">
      <c r="AF276" s="127"/>
      <c r="AG276" s="127"/>
      <c r="AH276" s="127"/>
      <c r="AI276" s="127"/>
      <c r="AJ276" s="127"/>
      <c r="AK276" s="127"/>
      <c r="AL276" s="127"/>
      <c r="AM276" s="127"/>
      <c r="AN276" s="127"/>
      <c r="AO276" s="127"/>
      <c r="AP276" s="127"/>
      <c r="AQ276" s="127"/>
      <c r="AR276" s="127"/>
      <c r="AS276" s="127"/>
      <c r="AT276" s="127"/>
      <c r="AU276" s="127"/>
      <c r="AV276" s="127"/>
      <c r="AW276" s="127"/>
      <c r="AX276" s="127"/>
      <c r="AY276" s="127"/>
      <c r="AZ276" s="127"/>
    </row>
    <row r="277" spans="31:52" x14ac:dyDescent="0.2">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row>
    <row r="278" spans="31:52" x14ac:dyDescent="0.2">
      <c r="AF278" s="127"/>
      <c r="AG278" s="127"/>
      <c r="AH278" s="127"/>
      <c r="AI278" s="127"/>
      <c r="AJ278" s="127"/>
      <c r="AK278" s="127"/>
      <c r="AL278" s="127"/>
      <c r="AM278" s="127"/>
      <c r="AN278" s="127"/>
      <c r="AO278" s="127"/>
      <c r="AP278" s="127"/>
      <c r="AQ278" s="127"/>
      <c r="AR278" s="127"/>
      <c r="AS278" s="127"/>
      <c r="AT278" s="127"/>
      <c r="AU278" s="127"/>
      <c r="AV278" s="127"/>
      <c r="AW278" s="127"/>
      <c r="AX278" s="127"/>
      <c r="AY278" s="127"/>
      <c r="AZ278" s="127"/>
    </row>
    <row r="279" spans="31:52" x14ac:dyDescent="0.2">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row>
    <row r="281" spans="31:52" x14ac:dyDescent="0.2">
      <c r="AE281" s="207"/>
      <c r="AF281" s="127"/>
      <c r="AG281" s="127"/>
      <c r="AH281" s="127"/>
      <c r="AI281" s="127"/>
      <c r="AJ281" s="127"/>
      <c r="AK281" s="127"/>
      <c r="AL281" s="127"/>
      <c r="AM281" s="127"/>
      <c r="AN281" s="127"/>
      <c r="AO281" s="127"/>
      <c r="AP281" s="127"/>
      <c r="AQ281" s="127"/>
      <c r="AR281" s="127"/>
      <c r="AS281" s="127"/>
      <c r="AT281" s="127"/>
      <c r="AU281" s="127"/>
      <c r="AV281" s="127"/>
      <c r="AW281" s="127"/>
      <c r="AX281" s="127"/>
      <c r="AY281" s="127"/>
      <c r="AZ281" s="127"/>
    </row>
    <row r="282" spans="31:52" x14ac:dyDescent="0.2">
      <c r="AF282" s="127"/>
      <c r="AG282" s="127"/>
      <c r="AH282" s="127"/>
      <c r="AI282" s="127"/>
      <c r="AJ282" s="127"/>
      <c r="AK282" s="127"/>
      <c r="AL282" s="127"/>
      <c r="AM282" s="127"/>
      <c r="AN282" s="127"/>
      <c r="AO282" s="127"/>
      <c r="AP282" s="127"/>
      <c r="AQ282" s="127"/>
      <c r="AR282" s="127"/>
      <c r="AS282" s="127"/>
      <c r="AT282" s="127"/>
      <c r="AU282" s="127"/>
      <c r="AV282" s="127"/>
      <c r="AW282" s="127"/>
      <c r="AX282" s="127"/>
      <c r="AY282" s="127"/>
      <c r="AZ282" s="127"/>
    </row>
    <row r="283" spans="31:52" x14ac:dyDescent="0.2">
      <c r="AF283" s="127"/>
      <c r="AG283" s="127"/>
      <c r="AH283" s="127"/>
      <c r="AI283" s="127"/>
      <c r="AJ283" s="127"/>
      <c r="AK283" s="127"/>
      <c r="AL283" s="127"/>
      <c r="AM283" s="127"/>
      <c r="AN283" s="127"/>
      <c r="AO283" s="127"/>
      <c r="AP283" s="127"/>
      <c r="AQ283" s="127"/>
      <c r="AR283" s="127"/>
      <c r="AS283" s="127"/>
      <c r="AT283" s="127"/>
      <c r="AU283" s="127"/>
      <c r="AV283" s="127"/>
      <c r="AW283" s="127"/>
      <c r="AX283" s="127"/>
      <c r="AY283" s="127"/>
      <c r="AZ283" s="127"/>
    </row>
    <row r="284" spans="31:52" x14ac:dyDescent="0.2">
      <c r="AF284" s="127"/>
      <c r="AG284" s="127"/>
      <c r="AH284" s="127"/>
      <c r="AI284" s="127"/>
      <c r="AJ284" s="127"/>
      <c r="AK284" s="127"/>
      <c r="AL284" s="127"/>
      <c r="AM284" s="127"/>
      <c r="AN284" s="127"/>
      <c r="AO284" s="127"/>
      <c r="AP284" s="127"/>
      <c r="AQ284" s="127"/>
      <c r="AR284" s="127"/>
      <c r="AS284" s="127"/>
      <c r="AT284" s="127"/>
      <c r="AU284" s="127"/>
      <c r="AV284" s="127"/>
      <c r="AW284" s="127"/>
      <c r="AX284" s="127"/>
      <c r="AY284" s="127"/>
      <c r="AZ284" s="127"/>
    </row>
    <row r="285" spans="31:52" x14ac:dyDescent="0.2">
      <c r="AF285" s="127"/>
      <c r="AG285" s="127"/>
      <c r="AH285" s="127"/>
      <c r="AI285" s="127"/>
      <c r="AJ285" s="127"/>
      <c r="AK285" s="127"/>
      <c r="AL285" s="127"/>
      <c r="AM285" s="127"/>
      <c r="AN285" s="127"/>
      <c r="AO285" s="127"/>
      <c r="AP285" s="127"/>
      <c r="AQ285" s="127"/>
      <c r="AR285" s="127"/>
      <c r="AS285" s="127"/>
      <c r="AT285" s="127"/>
      <c r="AU285" s="127"/>
      <c r="AV285" s="127"/>
      <c r="AW285" s="127"/>
      <c r="AX285" s="127"/>
      <c r="AY285" s="127"/>
      <c r="AZ285" s="127"/>
    </row>
    <row r="286" spans="31:52" x14ac:dyDescent="0.2">
      <c r="AF286" s="127"/>
      <c r="AG286" s="127"/>
      <c r="AH286" s="127"/>
      <c r="AI286" s="127"/>
      <c r="AJ286" s="127"/>
      <c r="AK286" s="127"/>
      <c r="AL286" s="127"/>
      <c r="AM286" s="127"/>
      <c r="AN286" s="127"/>
      <c r="AO286" s="127"/>
      <c r="AP286" s="127"/>
      <c r="AQ286" s="127"/>
      <c r="AR286" s="127"/>
      <c r="AS286" s="127"/>
      <c r="AT286" s="127"/>
      <c r="AU286" s="127"/>
      <c r="AV286" s="127"/>
      <c r="AW286" s="127"/>
      <c r="AX286" s="127"/>
      <c r="AY286" s="127"/>
      <c r="AZ286" s="127"/>
    </row>
    <row r="287" spans="31:52" x14ac:dyDescent="0.2">
      <c r="AF287" s="127"/>
      <c r="AG287" s="127"/>
      <c r="AH287" s="127"/>
      <c r="AI287" s="127"/>
      <c r="AJ287" s="127"/>
      <c r="AK287" s="127"/>
      <c r="AL287" s="127"/>
      <c r="AM287" s="127"/>
      <c r="AN287" s="127"/>
      <c r="AO287" s="127"/>
      <c r="AP287" s="127"/>
      <c r="AQ287" s="127"/>
      <c r="AR287" s="127"/>
      <c r="AS287" s="127"/>
      <c r="AT287" s="127"/>
      <c r="AU287" s="127"/>
      <c r="AV287" s="127"/>
      <c r="AW287" s="127"/>
      <c r="AX287" s="127"/>
      <c r="AY287" s="127"/>
      <c r="AZ287" s="127"/>
    </row>
    <row r="288" spans="31:52" x14ac:dyDescent="0.2">
      <c r="AF288" s="127"/>
      <c r="AG288" s="127"/>
      <c r="AH288" s="127"/>
      <c r="AI288" s="127"/>
      <c r="AJ288" s="127"/>
      <c r="AK288" s="127"/>
      <c r="AL288" s="127"/>
      <c r="AM288" s="127"/>
      <c r="AN288" s="127"/>
      <c r="AO288" s="127"/>
      <c r="AP288" s="127"/>
      <c r="AQ288" s="127"/>
      <c r="AR288" s="127"/>
      <c r="AS288" s="127"/>
      <c r="AT288" s="127"/>
      <c r="AU288" s="127"/>
      <c r="AV288" s="127"/>
      <c r="AW288" s="127"/>
      <c r="AX288" s="127"/>
      <c r="AY288" s="127"/>
      <c r="AZ288" s="127"/>
    </row>
    <row r="289" spans="32:52" x14ac:dyDescent="0.2">
      <c r="AF289" s="127"/>
      <c r="AG289" s="127"/>
      <c r="AH289" s="127"/>
      <c r="AI289" s="127"/>
      <c r="AJ289" s="127"/>
      <c r="AK289" s="127"/>
      <c r="AL289" s="127"/>
      <c r="AM289" s="127"/>
      <c r="AN289" s="127"/>
      <c r="AO289" s="127"/>
      <c r="AP289" s="127"/>
      <c r="AQ289" s="127"/>
      <c r="AR289" s="127"/>
      <c r="AS289" s="127"/>
      <c r="AT289" s="127"/>
      <c r="AU289" s="127"/>
      <c r="AV289" s="127"/>
      <c r="AW289" s="127"/>
      <c r="AX289" s="127"/>
      <c r="AY289" s="127"/>
      <c r="AZ289" s="127"/>
    </row>
    <row r="290" spans="32:52" x14ac:dyDescent="0.2">
      <c r="AF290" s="127"/>
      <c r="AG290" s="127"/>
      <c r="AH290" s="127"/>
      <c r="AI290" s="127"/>
      <c r="AJ290" s="127"/>
      <c r="AK290" s="127"/>
      <c r="AL290" s="127"/>
      <c r="AM290" s="127"/>
      <c r="AN290" s="127"/>
      <c r="AO290" s="127"/>
      <c r="AP290" s="127"/>
      <c r="AQ290" s="127"/>
      <c r="AR290" s="127"/>
      <c r="AS290" s="127"/>
      <c r="AT290" s="127"/>
      <c r="AU290" s="127"/>
      <c r="AV290" s="127"/>
      <c r="AW290" s="127"/>
      <c r="AX290" s="127"/>
      <c r="AY290" s="127"/>
      <c r="AZ290" s="127"/>
    </row>
    <row r="291" spans="32:52" x14ac:dyDescent="0.2">
      <c r="AF291" s="127"/>
      <c r="AG291" s="127"/>
      <c r="AH291" s="127"/>
      <c r="AI291" s="127"/>
      <c r="AJ291" s="127"/>
      <c r="AK291" s="127"/>
      <c r="AL291" s="127"/>
      <c r="AM291" s="127"/>
      <c r="AN291" s="127"/>
      <c r="AO291" s="127"/>
      <c r="AP291" s="127"/>
      <c r="AQ291" s="127"/>
      <c r="AR291" s="127"/>
      <c r="AS291" s="127"/>
      <c r="AT291" s="127"/>
      <c r="AU291" s="127"/>
      <c r="AV291" s="127"/>
      <c r="AW291" s="127"/>
      <c r="AX291" s="127"/>
      <c r="AY291" s="127"/>
      <c r="AZ291" s="127"/>
    </row>
    <row r="292" spans="32:52" x14ac:dyDescent="0.2">
      <c r="AF292" s="127"/>
      <c r="AG292" s="127"/>
      <c r="AH292" s="127"/>
      <c r="AI292" s="127"/>
      <c r="AJ292" s="127"/>
      <c r="AK292" s="127"/>
      <c r="AL292" s="127"/>
      <c r="AM292" s="127"/>
      <c r="AN292" s="127"/>
      <c r="AO292" s="127"/>
      <c r="AP292" s="127"/>
      <c r="AQ292" s="127"/>
      <c r="AR292" s="127"/>
      <c r="AS292" s="127"/>
      <c r="AT292" s="127"/>
      <c r="AU292" s="127"/>
      <c r="AV292" s="127"/>
      <c r="AW292" s="127"/>
      <c r="AX292" s="127"/>
      <c r="AY292" s="127"/>
      <c r="AZ292" s="127"/>
    </row>
    <row r="293" spans="32:52" x14ac:dyDescent="0.2">
      <c r="AF293" s="127"/>
      <c r="AG293" s="127"/>
      <c r="AH293" s="127"/>
      <c r="AI293" s="127"/>
      <c r="AJ293" s="127"/>
      <c r="AK293" s="127"/>
      <c r="AL293" s="127"/>
      <c r="AM293" s="127"/>
      <c r="AN293" s="127"/>
      <c r="AO293" s="127"/>
      <c r="AP293" s="127"/>
      <c r="AQ293" s="127"/>
      <c r="AR293" s="127"/>
      <c r="AS293" s="127"/>
      <c r="AT293" s="127"/>
      <c r="AU293" s="127"/>
      <c r="AV293" s="127"/>
      <c r="AW293" s="127"/>
      <c r="AX293" s="127"/>
      <c r="AY293" s="127"/>
      <c r="AZ293" s="127"/>
    </row>
    <row r="294" spans="32:52" x14ac:dyDescent="0.2">
      <c r="AF294" s="127"/>
      <c r="AG294" s="127"/>
      <c r="AH294" s="127"/>
      <c r="AI294" s="127"/>
      <c r="AJ294" s="127"/>
      <c r="AK294" s="127"/>
      <c r="AL294" s="127"/>
      <c r="AM294" s="127"/>
      <c r="AN294" s="127"/>
      <c r="AO294" s="127"/>
      <c r="AP294" s="127"/>
      <c r="AQ294" s="127"/>
      <c r="AR294" s="127"/>
      <c r="AS294" s="127"/>
      <c r="AT294" s="127"/>
      <c r="AU294" s="127"/>
      <c r="AV294" s="127"/>
      <c r="AW294" s="127"/>
      <c r="AX294" s="127"/>
      <c r="AY294" s="127"/>
      <c r="AZ294" s="127"/>
    </row>
    <row r="295" spans="32:52" x14ac:dyDescent="0.2">
      <c r="AF295" s="127"/>
      <c r="AG295" s="127"/>
      <c r="AH295" s="127"/>
      <c r="AI295" s="127"/>
      <c r="AJ295" s="127"/>
      <c r="AK295" s="127"/>
      <c r="AL295" s="127"/>
      <c r="AM295" s="127"/>
      <c r="AN295" s="127"/>
      <c r="AO295" s="127"/>
      <c r="AP295" s="127"/>
      <c r="AQ295" s="127"/>
      <c r="AR295" s="127"/>
      <c r="AS295" s="127"/>
      <c r="AT295" s="127"/>
      <c r="AU295" s="127"/>
      <c r="AV295" s="127"/>
      <c r="AW295" s="127"/>
      <c r="AX295" s="127"/>
      <c r="AY295" s="127"/>
      <c r="AZ295" s="127"/>
    </row>
    <row r="296" spans="32:52" x14ac:dyDescent="0.2">
      <c r="AF296" s="127"/>
      <c r="AG296" s="127"/>
      <c r="AH296" s="127"/>
      <c r="AI296" s="127"/>
      <c r="AJ296" s="127"/>
      <c r="AK296" s="127"/>
      <c r="AL296" s="127"/>
      <c r="AM296" s="127"/>
      <c r="AN296" s="127"/>
      <c r="AO296" s="127"/>
      <c r="AP296" s="127"/>
      <c r="AQ296" s="127"/>
      <c r="AR296" s="127"/>
      <c r="AS296" s="127"/>
      <c r="AT296" s="127"/>
      <c r="AU296" s="127"/>
      <c r="AV296" s="127"/>
      <c r="AW296" s="127"/>
      <c r="AX296" s="127"/>
      <c r="AY296" s="127"/>
      <c r="AZ296" s="127"/>
    </row>
    <row r="297" spans="32:52" x14ac:dyDescent="0.2">
      <c r="AF297" s="127"/>
      <c r="AG297" s="127"/>
      <c r="AH297" s="127"/>
      <c r="AI297" s="127"/>
      <c r="AJ297" s="127"/>
      <c r="AK297" s="127"/>
      <c r="AL297" s="127"/>
      <c r="AM297" s="127"/>
      <c r="AN297" s="127"/>
      <c r="AO297" s="127"/>
      <c r="AP297" s="127"/>
      <c r="AQ297" s="127"/>
      <c r="AR297" s="127"/>
      <c r="AS297" s="127"/>
      <c r="AT297" s="127"/>
      <c r="AU297" s="127"/>
      <c r="AV297" s="127"/>
      <c r="AW297" s="127"/>
      <c r="AX297" s="127"/>
      <c r="AY297" s="127"/>
      <c r="AZ297" s="127"/>
    </row>
    <row r="298" spans="32:52" x14ac:dyDescent="0.2">
      <c r="AF298" s="127"/>
      <c r="AG298" s="127"/>
      <c r="AH298" s="127"/>
      <c r="AI298" s="127"/>
      <c r="AJ298" s="127"/>
      <c r="AK298" s="127"/>
      <c r="AL298" s="127"/>
      <c r="AM298" s="127"/>
      <c r="AN298" s="127"/>
      <c r="AO298" s="127"/>
      <c r="AP298" s="127"/>
      <c r="AQ298" s="127"/>
      <c r="AR298" s="127"/>
      <c r="AS298" s="127"/>
      <c r="AT298" s="127"/>
      <c r="AU298" s="127"/>
      <c r="AV298" s="127"/>
      <c r="AW298" s="127"/>
      <c r="AX298" s="127"/>
      <c r="AY298" s="127"/>
      <c r="AZ298" s="127"/>
    </row>
    <row r="299" spans="32:52" x14ac:dyDescent="0.2">
      <c r="AF299" s="127"/>
      <c r="AG299" s="127"/>
      <c r="AH299" s="127"/>
      <c r="AI299" s="127"/>
      <c r="AJ299" s="127"/>
      <c r="AK299" s="127"/>
      <c r="AL299" s="127"/>
      <c r="AM299" s="127"/>
      <c r="AN299" s="127"/>
      <c r="AO299" s="127"/>
      <c r="AP299" s="127"/>
      <c r="AQ299" s="127"/>
      <c r="AR299" s="127"/>
      <c r="AS299" s="127"/>
      <c r="AT299" s="127"/>
      <c r="AU299" s="127"/>
      <c r="AV299" s="127"/>
      <c r="AW299" s="127"/>
      <c r="AX299" s="127"/>
      <c r="AY299" s="127"/>
      <c r="AZ299" s="127"/>
    </row>
    <row r="300" spans="32:52" x14ac:dyDescent="0.2">
      <c r="AF300" s="127"/>
      <c r="AG300" s="127"/>
      <c r="AH300" s="127"/>
      <c r="AI300" s="127"/>
      <c r="AJ300" s="127"/>
      <c r="AK300" s="127"/>
      <c r="AL300" s="127"/>
      <c r="AM300" s="127"/>
      <c r="AN300" s="127"/>
      <c r="AO300" s="127"/>
      <c r="AP300" s="127"/>
      <c r="AQ300" s="127"/>
      <c r="AR300" s="127"/>
      <c r="AS300" s="127"/>
      <c r="AT300" s="127"/>
      <c r="AU300" s="127"/>
      <c r="AV300" s="127"/>
      <c r="AW300" s="127"/>
      <c r="AX300" s="127"/>
      <c r="AY300" s="127"/>
      <c r="AZ300" s="127"/>
    </row>
    <row r="301" spans="32:52" x14ac:dyDescent="0.2">
      <c r="AF301" s="127"/>
      <c r="AG301" s="127"/>
      <c r="AH301" s="127"/>
      <c r="AI301" s="127"/>
      <c r="AJ301" s="127"/>
      <c r="AK301" s="127"/>
      <c r="AL301" s="127"/>
      <c r="AM301" s="127"/>
      <c r="AN301" s="127"/>
      <c r="AO301" s="127"/>
      <c r="AP301" s="127"/>
      <c r="AQ301" s="127"/>
      <c r="AR301" s="127"/>
      <c r="AS301" s="127"/>
      <c r="AT301" s="127"/>
      <c r="AU301" s="127"/>
      <c r="AV301" s="127"/>
      <c r="AW301" s="127"/>
      <c r="AX301" s="127"/>
      <c r="AY301" s="127"/>
      <c r="AZ301" s="127"/>
    </row>
    <row r="302" spans="32:52" x14ac:dyDescent="0.2">
      <c r="AF302" s="127"/>
      <c r="AG302" s="127"/>
      <c r="AH302" s="127"/>
      <c r="AI302" s="127"/>
      <c r="AJ302" s="127"/>
      <c r="AK302" s="127"/>
      <c r="AL302" s="127"/>
      <c r="AM302" s="127"/>
      <c r="AN302" s="127"/>
      <c r="AO302" s="127"/>
      <c r="AP302" s="127"/>
      <c r="AQ302" s="127"/>
      <c r="AR302" s="127"/>
      <c r="AS302" s="127"/>
      <c r="AT302" s="127"/>
      <c r="AU302" s="127"/>
      <c r="AV302" s="127"/>
      <c r="AW302" s="127"/>
      <c r="AX302" s="127"/>
      <c r="AY302" s="127"/>
      <c r="AZ302" s="127"/>
    </row>
    <row r="303" spans="32:52" x14ac:dyDescent="0.2">
      <c r="AF303" s="127"/>
      <c r="AG303" s="127"/>
      <c r="AH303" s="127"/>
      <c r="AI303" s="127"/>
      <c r="AJ303" s="127"/>
      <c r="AK303" s="127"/>
      <c r="AL303" s="127"/>
      <c r="AM303" s="127"/>
      <c r="AN303" s="127"/>
      <c r="AO303" s="127"/>
      <c r="AP303" s="127"/>
      <c r="AQ303" s="127"/>
      <c r="AR303" s="127"/>
      <c r="AS303" s="127"/>
      <c r="AT303" s="127"/>
      <c r="AU303" s="127"/>
      <c r="AV303" s="127"/>
      <c r="AW303" s="127"/>
      <c r="AX303" s="127"/>
      <c r="AY303" s="127"/>
      <c r="AZ303" s="127"/>
    </row>
    <row r="304" spans="32:52" x14ac:dyDescent="0.2">
      <c r="AF304" s="127"/>
      <c r="AG304" s="127"/>
      <c r="AH304" s="127"/>
      <c r="AI304" s="127"/>
      <c r="AJ304" s="127"/>
      <c r="AK304" s="127"/>
      <c r="AL304" s="127"/>
      <c r="AM304" s="127"/>
      <c r="AN304" s="127"/>
      <c r="AO304" s="127"/>
      <c r="AP304" s="127"/>
      <c r="AQ304" s="127"/>
      <c r="AR304" s="127"/>
      <c r="AS304" s="127"/>
      <c r="AT304" s="127"/>
      <c r="AU304" s="127"/>
      <c r="AV304" s="127"/>
      <c r="AW304" s="127"/>
      <c r="AX304" s="127"/>
      <c r="AY304" s="127"/>
      <c r="AZ304" s="127"/>
    </row>
    <row r="305" spans="32:52" x14ac:dyDescent="0.2">
      <c r="AF305" s="127"/>
      <c r="AG305" s="127"/>
      <c r="AH305" s="127"/>
      <c r="AI305" s="127"/>
      <c r="AJ305" s="127"/>
      <c r="AK305" s="127"/>
      <c r="AL305" s="127"/>
      <c r="AM305" s="127"/>
      <c r="AN305" s="127"/>
      <c r="AO305" s="127"/>
      <c r="AP305" s="127"/>
      <c r="AQ305" s="127"/>
      <c r="AR305" s="127"/>
      <c r="AS305" s="127"/>
      <c r="AT305" s="127"/>
      <c r="AU305" s="127"/>
      <c r="AV305" s="127"/>
      <c r="AW305" s="127"/>
      <c r="AX305" s="127"/>
      <c r="AY305" s="127"/>
      <c r="AZ305" s="127"/>
    </row>
  </sheetData>
  <sheetProtection algorithmName="SHA-512" hashValue="7y/68K1VZcj6KiinkKX8WWlwjcdL0wPgj09VbLm09NZLlCjicRvsZZQMOKRsYFnbDO2wfncnrQxu4anVs++TlQ==" saltValue="jAXRw5zyKRcbRwRMXCgMqg==" spinCount="100000" sheet="1" objects="1" scenarios="1"/>
  <mergeCells count="218">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N14:O15"/>
    <mergeCell ref="R14:S15"/>
    <mergeCell ref="V14:W15"/>
    <mergeCell ref="Z14:AA15"/>
    <mergeCell ref="AD14:AE15"/>
    <mergeCell ref="AD16:AE17"/>
    <mergeCell ref="AH16:AI17"/>
    <mergeCell ref="AL16:AM17"/>
    <mergeCell ref="AP16:AQ17"/>
    <mergeCell ref="AX19:BA20"/>
    <mergeCell ref="G20:J20"/>
    <mergeCell ref="K20:N20"/>
    <mergeCell ref="O20:R20"/>
    <mergeCell ref="S20:V20"/>
    <mergeCell ref="W20:Z20"/>
    <mergeCell ref="AA20:AD20"/>
    <mergeCell ref="AE20:AH20"/>
    <mergeCell ref="AI20:AL20"/>
    <mergeCell ref="AM20:AP20"/>
    <mergeCell ref="H21:I21"/>
    <mergeCell ref="L21:M21"/>
    <mergeCell ref="N21:O21"/>
    <mergeCell ref="P21:Q21"/>
    <mergeCell ref="R21:S21"/>
    <mergeCell ref="T21:U21"/>
    <mergeCell ref="AH21:AI21"/>
    <mergeCell ref="AJ21:AK21"/>
    <mergeCell ref="AL21:AM21"/>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AX22:BA24"/>
    <mergeCell ref="E23:H23"/>
    <mergeCell ref="I23:L23"/>
    <mergeCell ref="M23:P23"/>
    <mergeCell ref="Q23:T23"/>
    <mergeCell ref="U23:X23"/>
    <mergeCell ref="Y23:AB23"/>
    <mergeCell ref="AC23:AF23"/>
    <mergeCell ref="AG23:AJ23"/>
    <mergeCell ref="AK23:AN23"/>
    <mergeCell ref="AO23:AR23"/>
    <mergeCell ref="E24:H24"/>
    <mergeCell ref="I24:L24"/>
    <mergeCell ref="M24:P24"/>
    <mergeCell ref="Q24:T24"/>
    <mergeCell ref="U24:X24"/>
    <mergeCell ref="Y24:AB24"/>
    <mergeCell ref="AC24:AF24"/>
    <mergeCell ref="AG24:AJ24"/>
    <mergeCell ref="AK24:AN24"/>
    <mergeCell ref="AO24:AR24"/>
    <mergeCell ref="E25:H25"/>
    <mergeCell ref="I25:L25"/>
    <mergeCell ref="M25:P25"/>
    <mergeCell ref="Q25:T25"/>
    <mergeCell ref="U25:X25"/>
    <mergeCell ref="Y25:AB25"/>
    <mergeCell ref="AC25:AF25"/>
    <mergeCell ref="AG25:AJ25"/>
    <mergeCell ref="AK25:AN25"/>
    <mergeCell ref="AO25:AR25"/>
    <mergeCell ref="AX25:AZ26"/>
    <mergeCell ref="AC26:AF26"/>
    <mergeCell ref="AG26:AJ26"/>
    <mergeCell ref="AK26:AN26"/>
    <mergeCell ref="AO26:AR26"/>
    <mergeCell ref="E28:H28"/>
    <mergeCell ref="I28:L28"/>
    <mergeCell ref="M28:P28"/>
    <mergeCell ref="Q28:T28"/>
    <mergeCell ref="U28:X28"/>
    <mergeCell ref="Y28:AB28"/>
    <mergeCell ref="E26:H26"/>
    <mergeCell ref="I26:L26"/>
    <mergeCell ref="M26:P26"/>
    <mergeCell ref="Q26:T26"/>
    <mergeCell ref="U26:X26"/>
    <mergeCell ref="Y26:AB26"/>
    <mergeCell ref="AX34:AY34"/>
    <mergeCell ref="AX35:AY35"/>
    <mergeCell ref="AX36:AY36"/>
    <mergeCell ref="AX37:AY37"/>
    <mergeCell ref="AF38:AL38"/>
    <mergeCell ref="AM38:AN38"/>
    <mergeCell ref="AX38:AY38"/>
    <mergeCell ref="AC28:AF28"/>
    <mergeCell ref="AG28:AJ28"/>
    <mergeCell ref="AK28:AN28"/>
    <mergeCell ref="AO28:AR28"/>
    <mergeCell ref="AW30:BA32"/>
    <mergeCell ref="AX33:AY33"/>
    <mergeCell ref="AL39:AS39"/>
    <mergeCell ref="AX39:AY39"/>
    <mergeCell ref="Z40:Z41"/>
    <mergeCell ref="AX40:AY40"/>
    <mergeCell ref="AX41:AY41"/>
    <mergeCell ref="Z42:Z45"/>
    <mergeCell ref="AX42:AY42"/>
    <mergeCell ref="AM43:AQ43"/>
    <mergeCell ref="AR43:AS43"/>
    <mergeCell ref="P44:S45"/>
    <mergeCell ref="AO44:AS44"/>
    <mergeCell ref="T45:U45"/>
    <mergeCell ref="AM45:AS45"/>
    <mergeCell ref="I46:K46"/>
    <mergeCell ref="Z46:Z54"/>
    <mergeCell ref="AM46:AS46"/>
    <mergeCell ref="I47:K47"/>
    <mergeCell ref="AM47:AS47"/>
    <mergeCell ref="I48:K48"/>
    <mergeCell ref="AF48:AL50"/>
    <mergeCell ref="AW48:AX48"/>
    <mergeCell ref="I49:K49"/>
    <mergeCell ref="AM49:AP49"/>
    <mergeCell ref="AE53:AG53"/>
    <mergeCell ref="AI53:AJ53"/>
    <mergeCell ref="AK53:AL53"/>
    <mergeCell ref="AM53:AN53"/>
    <mergeCell ref="AP53:AQ53"/>
    <mergeCell ref="F72:I72"/>
    <mergeCell ref="L72:O72"/>
    <mergeCell ref="X72:AA72"/>
    <mergeCell ref="AN78:AP78"/>
    <mergeCell ref="AN79:AP79"/>
    <mergeCell ref="AN80:AS80"/>
    <mergeCell ref="AE55:AN55"/>
    <mergeCell ref="AO55:AP55"/>
    <mergeCell ref="AI57:AS57"/>
    <mergeCell ref="Q59:AB60"/>
    <mergeCell ref="AE70:AL70"/>
    <mergeCell ref="AN70:AS70"/>
    <mergeCell ref="Z87:AB89"/>
    <mergeCell ref="AM87:AO87"/>
    <mergeCell ref="AM88:AR88"/>
    <mergeCell ref="AE90:AS92"/>
    <mergeCell ref="Z91:AB93"/>
    <mergeCell ref="H96:K96"/>
    <mergeCell ref="O96:R96"/>
    <mergeCell ref="AQ96:AR96"/>
    <mergeCell ref="AE84:AL84"/>
    <mergeCell ref="H85:K85"/>
    <mergeCell ref="O85:R85"/>
    <mergeCell ref="V85:Y85"/>
    <mergeCell ref="AE85:AL85"/>
    <mergeCell ref="AP86:AR86"/>
    <mergeCell ref="T110:Y110"/>
    <mergeCell ref="T112:Y112"/>
    <mergeCell ref="T114:U114"/>
    <mergeCell ref="E116:R118"/>
    <mergeCell ref="AW96:AX96"/>
    <mergeCell ref="V97:Y97"/>
    <mergeCell ref="C98:AO98"/>
    <mergeCell ref="T104:U104"/>
    <mergeCell ref="T106:U106"/>
    <mergeCell ref="T108:U108"/>
  </mergeCells>
  <conditionalFormatting sqref="AG45:AL45">
    <cfRule type="expression" dxfId="1327" priority="299">
      <formula>$AC$43="x"</formula>
    </cfRule>
  </conditionalFormatting>
  <conditionalFormatting sqref="AO44:AS44">
    <cfRule type="expression" dxfId="1326" priority="298">
      <formula>$AK$42="x"</formula>
    </cfRule>
  </conditionalFormatting>
  <conditionalFormatting sqref="AP7:AS7">
    <cfRule type="expression" dxfId="1325" priority="297">
      <formula>$AM$5&gt;0</formula>
    </cfRule>
  </conditionalFormatting>
  <conditionalFormatting sqref="E28:AR28">
    <cfRule type="expression" dxfId="1324" priority="284">
      <formula>AND($A$28&lt;&gt;"",F$10&lt;&gt;"")</formula>
    </cfRule>
  </conditionalFormatting>
  <conditionalFormatting sqref="F72:I72">
    <cfRule type="expression" dxfId="1323" priority="318">
      <formula>$F$72=""</formula>
    </cfRule>
  </conditionalFormatting>
  <conditionalFormatting sqref="H85:K85">
    <cfRule type="expression" dxfId="1322" priority="289">
      <formula>$H$85=""</formula>
    </cfRule>
  </conditionalFormatting>
  <conditionalFormatting sqref="O85:R85">
    <cfRule type="expression" dxfId="1321" priority="316">
      <formula>$O$85=""</formula>
    </cfRule>
  </conditionalFormatting>
  <conditionalFormatting sqref="V85:Y85">
    <cfRule type="expression" dxfId="1320" priority="288">
      <formula>$V$85=""</formula>
    </cfRule>
  </conditionalFormatting>
  <conditionalFormatting sqref="AM49:AP49">
    <cfRule type="expression" dxfId="1319" priority="186">
      <formula>$AM$49=""</formula>
    </cfRule>
  </conditionalFormatting>
  <conditionalFormatting sqref="AH54">
    <cfRule type="expression" dxfId="1318" priority="300">
      <formula>$AE$53=0</formula>
    </cfRule>
  </conditionalFormatting>
  <conditionalFormatting sqref="L72:O72">
    <cfRule type="expression" dxfId="1317" priority="291">
      <formula>$L$72=""</formula>
    </cfRule>
  </conditionalFormatting>
  <conditionalFormatting sqref="X72:AA72">
    <cfRule type="expression" dxfId="1316" priority="290">
      <formula>$X$72=""</formula>
    </cfRule>
  </conditionalFormatting>
  <conditionalFormatting sqref="AT5">
    <cfRule type="expression" dxfId="1315" priority="161">
      <formula>$AT$5=1</formula>
    </cfRule>
  </conditionalFormatting>
  <conditionalFormatting sqref="AM43:AQ43">
    <cfRule type="expression" dxfId="1314" priority="189">
      <formula>$AM$43=""</formula>
    </cfRule>
  </conditionalFormatting>
  <conditionalFormatting sqref="AR43:AS43">
    <cfRule type="expression" dxfId="1313" priority="160">
      <formula>$AR$43=""</formula>
    </cfRule>
  </conditionalFormatting>
  <conditionalFormatting sqref="AM45:AS45">
    <cfRule type="expression" dxfId="1312" priority="188">
      <formula>$AM$45=""</formula>
    </cfRule>
  </conditionalFormatting>
  <conditionalFormatting sqref="AE70:AL70">
    <cfRule type="expression" dxfId="1311" priority="170">
      <formula>$AE$70=""</formula>
    </cfRule>
  </conditionalFormatting>
  <conditionalFormatting sqref="AN70:AS70">
    <cfRule type="expression" dxfId="1310" priority="156">
      <formula>$AN$70=""</formula>
    </cfRule>
  </conditionalFormatting>
  <conditionalFormatting sqref="AO55:AP55">
    <cfRule type="expression" dxfId="1309" priority="53">
      <formula>$AT$52=1</formula>
    </cfRule>
    <cfRule type="expression" dxfId="1308" priority="154">
      <formula>$AO$55=""</formula>
    </cfRule>
  </conditionalFormatting>
  <conditionalFormatting sqref="AN80:AS80">
    <cfRule type="expression" dxfId="1307" priority="151">
      <formula>$AN$80=""</formula>
    </cfRule>
  </conditionalFormatting>
  <conditionalFormatting sqref="H96:K96">
    <cfRule type="expression" dxfId="1306" priority="302">
      <formula>$H$96=""</formula>
    </cfRule>
  </conditionalFormatting>
  <conditionalFormatting sqref="AM88:AR88">
    <cfRule type="expression" dxfId="1305" priority="144">
      <formula>$AM$88=""</formula>
    </cfRule>
  </conditionalFormatting>
  <conditionalFormatting sqref="Y5:AF5">
    <cfRule type="expression" dxfId="1304" priority="278">
      <formula>$Y$5=""</formula>
    </cfRule>
  </conditionalFormatting>
  <conditionalFormatting sqref="Y6:AF6">
    <cfRule type="expression" dxfId="1303" priority="141">
      <formula>$Y$6=""</formula>
    </cfRule>
  </conditionalFormatting>
  <conditionalFormatting sqref="Y7:AF7">
    <cfRule type="expression" dxfId="1302" priority="140">
      <formula>$Y$7=""</formula>
    </cfRule>
  </conditionalFormatting>
  <conditionalFormatting sqref="AJ5:AL5">
    <cfRule type="expression" dxfId="1301" priority="274">
      <formula>$AJ$5=""</formula>
    </cfRule>
  </conditionalFormatting>
  <conditionalFormatting sqref="AJ6:AL6">
    <cfRule type="expression" dxfId="1300" priority="138">
      <formula>$AJ$6=""</formula>
    </cfRule>
  </conditionalFormatting>
  <conditionalFormatting sqref="AJ7:AL7">
    <cfRule type="expression" dxfId="1299" priority="137">
      <formula>$AJ$7=""</formula>
    </cfRule>
  </conditionalFormatting>
  <conditionalFormatting sqref="I49:K49">
    <cfRule type="expression" dxfId="1298" priority="136">
      <formula>$I$49=""</formula>
    </cfRule>
  </conditionalFormatting>
  <conditionalFormatting sqref="T45:U45">
    <cfRule type="expression" dxfId="1297" priority="135">
      <formula>$T$45=""</formula>
    </cfRule>
  </conditionalFormatting>
  <conditionalFormatting sqref="Z42:Z45">
    <cfRule type="expression" dxfId="1296" priority="134">
      <formula>$Z$42=""</formula>
    </cfRule>
  </conditionalFormatting>
  <conditionalFormatting sqref="AX33:AY42">
    <cfRule type="expression" dxfId="1295" priority="132">
      <formula>AW33=""</formula>
    </cfRule>
  </conditionalFormatting>
  <conditionalFormatting sqref="A9:A11">
    <cfRule type="expression" dxfId="1294" priority="73">
      <formula>$C$11&lt;36</formula>
    </cfRule>
  </conditionalFormatting>
  <conditionalFormatting sqref="A28">
    <cfRule type="expression" dxfId="1293" priority="130">
      <formula>$E$28&gt;0</formula>
    </cfRule>
  </conditionalFormatting>
  <conditionalFormatting sqref="AX33:AY42">
    <cfRule type="expression" dxfId="1292" priority="133">
      <formula>AX33=""</formula>
    </cfRule>
  </conditionalFormatting>
  <conditionalFormatting sqref="R112:Y114">
    <cfRule type="expression" dxfId="1291" priority="80">
      <formula>$T$110=""</formula>
    </cfRule>
  </conditionalFormatting>
  <conditionalFormatting sqref="AE53:AG53">
    <cfRule type="expression" dxfId="1290" priority="54">
      <formula>$AT$52=1</formula>
    </cfRule>
    <cfRule type="expression" dxfId="1289" priority="107">
      <formula>$AE$53=0</formula>
    </cfRule>
  </conditionalFormatting>
  <conditionalFormatting sqref="AW48:AX48">
    <cfRule type="expression" dxfId="1288" priority="106">
      <formula>$AW$48=""</formula>
    </cfRule>
  </conditionalFormatting>
  <conditionalFormatting sqref="AE84:AL84">
    <cfRule type="expression" dxfId="1287" priority="98">
      <formula>$AE$84=""</formula>
    </cfRule>
  </conditionalFormatting>
  <conditionalFormatting sqref="AB102:AB120">
    <cfRule type="expression" dxfId="1286" priority="96">
      <formula>$T$104&lt;&gt;105</formula>
    </cfRule>
  </conditionalFormatting>
  <conditionalFormatting sqref="AB120:AG120">
    <cfRule type="expression" dxfId="1285" priority="95">
      <formula>$T$104&lt;&gt;105</formula>
    </cfRule>
  </conditionalFormatting>
  <conditionalFormatting sqref="AG102:AG120">
    <cfRule type="expression" dxfId="1284" priority="94">
      <formula>AND($T$104&lt;&gt;105,$T$104&lt;&gt;85)</formula>
    </cfRule>
  </conditionalFormatting>
  <conditionalFormatting sqref="AB102:AG102">
    <cfRule type="expression" dxfId="1283" priority="93">
      <formula>$T$104&lt;&gt;105</formula>
    </cfRule>
  </conditionalFormatting>
  <conditionalFormatting sqref="AH120:AM120">
    <cfRule type="expression" dxfId="1282" priority="92">
      <formula>$T$104&lt;&gt;85</formula>
    </cfRule>
  </conditionalFormatting>
  <conditionalFormatting sqref="AH102:AM102">
    <cfRule type="expression" dxfId="1281" priority="91">
      <formula>$T$104&lt;&gt;85</formula>
    </cfRule>
  </conditionalFormatting>
  <conditionalFormatting sqref="AN102:AN120">
    <cfRule type="expression" dxfId="1280" priority="90">
      <formula>AND($T$104&lt;&gt;85,$T$104&lt;&gt;110)</formula>
    </cfRule>
  </conditionalFormatting>
  <conditionalFormatting sqref="AN120:AT120">
    <cfRule type="expression" dxfId="1279" priority="89">
      <formula>$T$104&lt;&gt;110</formula>
    </cfRule>
  </conditionalFormatting>
  <conditionalFormatting sqref="AT102:AT120">
    <cfRule type="expression" dxfId="1278" priority="88">
      <formula>$T$104&lt;&gt;110</formula>
    </cfRule>
  </conditionalFormatting>
  <conditionalFormatting sqref="AN102:AT102">
    <cfRule type="expression" dxfId="1277" priority="87">
      <formula>$T$104&lt;&gt;110</formula>
    </cfRule>
  </conditionalFormatting>
  <conditionalFormatting sqref="T104:U104">
    <cfRule type="expression" dxfId="1276" priority="86">
      <formula>$T$104=""</formula>
    </cfRule>
  </conditionalFormatting>
  <conditionalFormatting sqref="T106:U106">
    <cfRule type="expression" dxfId="1275" priority="85">
      <formula>$T$106=""</formula>
    </cfRule>
  </conditionalFormatting>
  <conditionalFormatting sqref="T108:U108">
    <cfRule type="expression" dxfId="1274" priority="84">
      <formula>$T$108=""</formula>
    </cfRule>
  </conditionalFormatting>
  <conditionalFormatting sqref="T114:U114">
    <cfRule type="expression" dxfId="1273" priority="83">
      <formula>$T$114=""</formula>
    </cfRule>
  </conditionalFormatting>
  <conditionalFormatting sqref="T110:Y110">
    <cfRule type="expression" dxfId="1272" priority="81">
      <formula>$T$110=""</formula>
    </cfRule>
  </conditionalFormatting>
  <conditionalFormatting sqref="T112:Y112">
    <cfRule type="expression" dxfId="1271" priority="82">
      <formula>$T$112=""</formula>
    </cfRule>
  </conditionalFormatting>
  <conditionalFormatting sqref="AI57:AS57">
    <cfRule type="expression" dxfId="1270" priority="185">
      <formula>$AI$57=""</formula>
    </cfRule>
  </conditionalFormatting>
  <conditionalFormatting sqref="AX25:AZ26">
    <cfRule type="expression" dxfId="1269" priority="75">
      <formula>$AX$25=""</formula>
    </cfRule>
  </conditionalFormatting>
  <conditionalFormatting sqref="AM87:AO87">
    <cfRule type="expression" dxfId="1268" priority="71">
      <formula>$AM$87=""</formula>
    </cfRule>
  </conditionalFormatting>
  <conditionalFormatting sqref="AX76">
    <cfRule type="expression" dxfId="1267" priority="60">
      <formula>$AN$80=""</formula>
    </cfRule>
  </conditionalFormatting>
  <conditionalFormatting sqref="AX77">
    <cfRule type="expression" dxfId="1266" priority="59">
      <formula>$AN$80=""</formula>
    </cfRule>
  </conditionalFormatting>
  <conditionalFormatting sqref="AX78">
    <cfRule type="expression" dxfId="1265" priority="58">
      <formula>$AN$80=""</formula>
    </cfRule>
  </conditionalFormatting>
  <conditionalFormatting sqref="AX79">
    <cfRule type="expression" dxfId="1264" priority="57">
      <formula>$AN$80=""</formula>
    </cfRule>
  </conditionalFormatting>
  <conditionalFormatting sqref="AX80">
    <cfRule type="expression" dxfId="1263" priority="56">
      <formula>$AN$80=""</formula>
    </cfRule>
  </conditionalFormatting>
  <conditionalFormatting sqref="AT52">
    <cfRule type="expression" dxfId="1262" priority="55">
      <formula>$AT$52=1</formula>
    </cfRule>
  </conditionalFormatting>
  <conditionalFormatting sqref="M6:Q6">
    <cfRule type="expression" dxfId="1261" priority="42">
      <formula>$M$6=""</formula>
    </cfRule>
  </conditionalFormatting>
  <conditionalFormatting sqref="AN78:AP78">
    <cfRule type="expression" dxfId="1260" priority="153">
      <formula>$AN$78=""</formula>
    </cfRule>
  </conditionalFormatting>
  <conditionalFormatting sqref="AN79:AP79">
    <cfRule type="expression" dxfId="1259" priority="152">
      <formula>$AN$79=""</formula>
    </cfRule>
  </conditionalFormatting>
  <conditionalFormatting sqref="AM46:AS46">
    <cfRule type="expression" dxfId="1258" priority="157">
      <formula>$AM$46=""</formula>
    </cfRule>
  </conditionalFormatting>
  <conditionalFormatting sqref="AM47:AS47">
    <cfRule type="expression" dxfId="1257" priority="34">
      <formula>$AM$47=""</formula>
    </cfRule>
  </conditionalFormatting>
  <conditionalFormatting sqref="AB62">
    <cfRule type="expression" dxfId="1256" priority="20">
      <formula>$AB$62&gt;0</formula>
    </cfRule>
  </conditionalFormatting>
  <conditionalFormatting sqref="AB73">
    <cfRule type="expression" dxfId="1255" priority="19">
      <formula>$AB$73&gt;0</formula>
    </cfRule>
  </conditionalFormatting>
  <conditionalFormatting sqref="AQ96:AR96">
    <cfRule type="expression" dxfId="1254" priority="18">
      <formula>$AQ$96=""</formula>
    </cfRule>
  </conditionalFormatting>
  <conditionalFormatting sqref="BD2:BI10">
    <cfRule type="expression" dxfId="1253" priority="9">
      <formula>$AW$2=""</formula>
    </cfRule>
  </conditionalFormatting>
  <conditionalFormatting sqref="AZ9:BA9">
    <cfRule type="expression" dxfId="1252" priority="6">
      <formula>$AZ$9=""</formula>
    </cfRule>
  </conditionalFormatting>
  <conditionalFormatting sqref="AZ10:BA10">
    <cfRule type="expression" dxfId="1251" priority="5">
      <formula>$AZ$10=""</formula>
    </cfRule>
  </conditionalFormatting>
  <dataValidations count="7">
    <dataValidation type="whole" allowBlank="1" showInputMessage="1" showErrorMessage="1" sqref="J58:M59 I46:K49" xr:uid="{9E36810F-AA3F-417F-8C97-07C215B24FBC}">
      <formula1>0</formula1>
      <formula2>100000</formula2>
    </dataValidation>
    <dataValidation type="custom" operator="equal" allowBlank="1" showInputMessage="1" showErrorMessage="1" sqref="AA47:AA49 E33:E34 E40:E41 Q40:Q41 E6:E7 AN33 AN44" xr:uid="{4ACAC12D-5B96-42F4-911C-8571B510F042}">
      <formula1>E6="X"</formula1>
    </dataValidation>
    <dataValidation type="whole" allowBlank="1" showInputMessage="1" showErrorMessage="1" sqref="H21:I21 AJ21:AK21 L21:M21 P21:Q21 T21:U21 X21:Y21 AB21:AC21 AF21:AG21 AN21:AO21" xr:uid="{48388CCC-2363-45FD-AA65-57999C493D6E}">
      <formula1>0</formula1>
      <formula2>360</formula2>
    </dataValidation>
    <dataValidation type="whole" allowBlank="1" showInputMessage="1" showErrorMessage="1" sqref="E28:AR28 Z42:Z45" xr:uid="{C998E76D-3771-4BFF-AB33-6936166BD88B}">
      <formula1>0</formula1>
      <formula2>10000</formula2>
    </dataValidation>
    <dataValidation type="whole" allowBlank="1" showInputMessage="1" showErrorMessage="1" sqref="T45:U45" xr:uid="{08010EF5-5BE2-4402-82B8-EA5D2C082FFB}">
      <formula1>0</formula1>
      <formula2>3000</formula2>
    </dataValidation>
    <dataValidation type="date" operator="greaterThanOrEqual" allowBlank="1" showInputMessage="1" showErrorMessage="1" sqref="Y7:AF7" xr:uid="{0B6E4AA8-E76F-4B89-9FCF-447824AC1359}">
      <formula1>TODAY()-3</formula1>
    </dataValidation>
    <dataValidation type="whole" allowBlank="1" showInputMessage="1" showErrorMessage="1" sqref="AJ6:AL6" xr:uid="{5DA54E5E-1645-49D1-A6C1-771A79F06828}">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9217"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9218"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9219"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9220" r:id="rId7" name="Check Box 4">
              <controlPr locked="0"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9221" r:id="rId8" name="Check Box 5">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9222" r:id="rId9" name="Check Box 6">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9223" r:id="rId10" name="Check Box 7">
              <controlPr locked="0" defaultSize="0" autoFill="0" autoLine="0" autoPict="0">
                <anchor moveWithCells="1">
                  <from>
                    <xdr:col>29</xdr:col>
                    <xdr:colOff>219075</xdr:colOff>
                    <xdr:row>36</xdr:row>
                    <xdr:rowOff>0</xdr:rowOff>
                  </from>
                  <to>
                    <xdr:col>31</xdr:col>
                    <xdr:colOff>0</xdr:colOff>
                    <xdr:row>37</xdr:row>
                    <xdr:rowOff>9525</xdr:rowOff>
                  </to>
                </anchor>
              </controlPr>
            </control>
          </mc:Choice>
        </mc:AlternateContent>
        <mc:AlternateContent xmlns:mc="http://schemas.openxmlformats.org/markup-compatibility/2006">
          <mc:Choice Requires="x14">
            <control shapeId="9224" r:id="rId11" name="Check Box 8">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9225" r:id="rId12" name="Check Box 9">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9226" r:id="rId13" name="Check Box 10">
              <controlPr defaultSize="0" autoFill="0" autoLine="0" autoPict="0">
                <anchor moveWithCells="1">
                  <from>
                    <xdr:col>30</xdr:col>
                    <xdr:colOff>0</xdr:colOff>
                    <xdr:row>31</xdr:row>
                    <xdr:rowOff>180975</xdr:rowOff>
                  </from>
                  <to>
                    <xdr:col>31</xdr:col>
                    <xdr:colOff>0</xdr:colOff>
                    <xdr:row>33</xdr:row>
                    <xdr:rowOff>9525</xdr:rowOff>
                  </to>
                </anchor>
              </controlPr>
            </control>
          </mc:Choice>
        </mc:AlternateContent>
        <mc:AlternateContent xmlns:mc="http://schemas.openxmlformats.org/markup-compatibility/2006">
          <mc:Choice Requires="x14">
            <control shapeId="9227" r:id="rId14" name="Check Box 11">
              <controlPr locked="0" defaultSize="0" autoFill="0" autoLine="0" autoPict="0">
                <anchor moveWithCells="1">
                  <from>
                    <xdr:col>39</xdr:col>
                    <xdr:colOff>0</xdr:colOff>
                    <xdr:row>32</xdr:row>
                    <xdr:rowOff>0</xdr:rowOff>
                  </from>
                  <to>
                    <xdr:col>40</xdr:col>
                    <xdr:colOff>0</xdr:colOff>
                    <xdr:row>33</xdr:row>
                    <xdr:rowOff>0</xdr:rowOff>
                  </to>
                </anchor>
              </controlPr>
            </control>
          </mc:Choice>
        </mc:AlternateContent>
        <mc:AlternateContent xmlns:mc="http://schemas.openxmlformats.org/markup-compatibility/2006">
          <mc:Choice Requires="x14">
            <control shapeId="9228" r:id="rId15" name="Check Box 12">
              <controlPr locked="0" defaultSize="0" autoFill="0" autoLine="0" autoPict="0">
                <anchor moveWithCells="1">
                  <from>
                    <xdr:col>42</xdr:col>
                    <xdr:colOff>0</xdr:colOff>
                    <xdr:row>4</xdr:row>
                    <xdr:rowOff>0</xdr:rowOff>
                  </from>
                  <to>
                    <xdr:col>43</xdr:col>
                    <xdr:colOff>0</xdr:colOff>
                    <xdr:row>5</xdr:row>
                    <xdr:rowOff>9525</xdr:rowOff>
                  </to>
                </anchor>
              </controlPr>
            </control>
          </mc:Choice>
        </mc:AlternateContent>
        <mc:AlternateContent xmlns:mc="http://schemas.openxmlformats.org/markup-compatibility/2006">
          <mc:Choice Requires="x14">
            <control shapeId="9229" r:id="rId16" name="Check Box 13">
              <controlPr locked="0" defaultSize="0" autoFill="0" autoLine="0" autoPict="0">
                <anchor moveWithCells="1">
                  <from>
                    <xdr:col>42</xdr:col>
                    <xdr:colOff>0</xdr:colOff>
                    <xdr:row>5</xdr:row>
                    <xdr:rowOff>0</xdr:rowOff>
                  </from>
                  <to>
                    <xdr:col>43</xdr:col>
                    <xdr:colOff>0</xdr:colOff>
                    <xdr:row>6</xdr:row>
                    <xdr:rowOff>19050</xdr:rowOff>
                  </to>
                </anchor>
              </controlPr>
            </control>
          </mc:Choice>
        </mc:AlternateContent>
        <mc:AlternateContent xmlns:mc="http://schemas.openxmlformats.org/markup-compatibility/2006">
          <mc:Choice Requires="x14">
            <control shapeId="9230" r:id="rId17" name="Check Box 14">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9231" r:id="rId18" name="Check Box 15">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9232" r:id="rId19" name="Check Box 16">
              <controlPr locked="0" defaultSize="0" autoFill="0" autoLine="0" autoPict="0">
                <anchor moveWithCells="1">
                  <from>
                    <xdr:col>4</xdr:col>
                    <xdr:colOff>0</xdr:colOff>
                    <xdr:row>5</xdr:row>
                    <xdr:rowOff>0</xdr:rowOff>
                  </from>
                  <to>
                    <xdr:col>5</xdr:col>
                    <xdr:colOff>0</xdr:colOff>
                    <xdr:row>6</xdr:row>
                    <xdr:rowOff>19050</xdr:rowOff>
                  </to>
                </anchor>
              </controlPr>
            </control>
          </mc:Choice>
        </mc:AlternateContent>
        <mc:AlternateContent xmlns:mc="http://schemas.openxmlformats.org/markup-compatibility/2006">
          <mc:Choice Requires="x14">
            <control shapeId="9233" r:id="rId20" name="Check Box 17">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9234" r:id="rId21" name="Check Box 18">
              <controlPr locked="0" defaultSize="0" autoFill="0" autoLine="0" autoPict="0">
                <anchor moveWithCells="1">
                  <from>
                    <xdr:col>6</xdr:col>
                    <xdr:colOff>9525</xdr:colOff>
                    <xdr:row>43</xdr:row>
                    <xdr:rowOff>114300</xdr:rowOff>
                  </from>
                  <to>
                    <xdr:col>7</xdr:col>
                    <xdr:colOff>38100</xdr:colOff>
                    <xdr:row>44</xdr:row>
                    <xdr:rowOff>114300</xdr:rowOff>
                  </to>
                </anchor>
              </controlPr>
            </control>
          </mc:Choice>
        </mc:AlternateContent>
        <mc:AlternateContent xmlns:mc="http://schemas.openxmlformats.org/markup-compatibility/2006">
          <mc:Choice Requires="x14">
            <control shapeId="9235" r:id="rId22" name="Check Box 19">
              <controlPr locked="0" defaultSize="0" autoFill="0" autoLine="0" autoPict="0">
                <anchor moveWithCells="1">
                  <from>
                    <xdr:col>11</xdr:col>
                    <xdr:colOff>152400</xdr:colOff>
                    <xdr:row>43</xdr:row>
                    <xdr:rowOff>114300</xdr:rowOff>
                  </from>
                  <to>
                    <xdr:col>12</xdr:col>
                    <xdr:colOff>152400</xdr:colOff>
                    <xdr:row>44</xdr:row>
                    <xdr:rowOff>104775</xdr:rowOff>
                  </to>
                </anchor>
              </controlPr>
            </control>
          </mc:Choice>
        </mc:AlternateContent>
        <mc:AlternateContent xmlns:mc="http://schemas.openxmlformats.org/markup-compatibility/2006">
          <mc:Choice Requires="x14">
            <control shapeId="9236" r:id="rId23" name="Check Box 20">
              <controlPr locked="0" defaultSize="0" autoFill="0" autoLine="0" autoPict="0">
                <anchor moveWithCells="1">
                  <from>
                    <xdr:col>7</xdr:col>
                    <xdr:colOff>171450</xdr:colOff>
                    <xdr:row>52</xdr:row>
                    <xdr:rowOff>85725</xdr:rowOff>
                  </from>
                  <to>
                    <xdr:col>8</xdr:col>
                    <xdr:colOff>171450</xdr:colOff>
                    <xdr:row>53</xdr:row>
                    <xdr:rowOff>85725</xdr:rowOff>
                  </to>
                </anchor>
              </controlPr>
            </control>
          </mc:Choice>
        </mc:AlternateContent>
        <mc:AlternateContent xmlns:mc="http://schemas.openxmlformats.org/markup-compatibility/2006">
          <mc:Choice Requires="x14">
            <control shapeId="9237" r:id="rId24" name="Check Box 21">
              <controlPr locked="0" defaultSize="0" autoFill="0" autoLine="0" autoPict="0">
                <anchor moveWithCells="1">
                  <from>
                    <xdr:col>9</xdr:col>
                    <xdr:colOff>219075</xdr:colOff>
                    <xdr:row>52</xdr:row>
                    <xdr:rowOff>85725</xdr:rowOff>
                  </from>
                  <to>
                    <xdr:col>11</xdr:col>
                    <xdr:colOff>0</xdr:colOff>
                    <xdr:row>53</xdr:row>
                    <xdr:rowOff>85725</xdr:rowOff>
                  </to>
                </anchor>
              </controlPr>
            </control>
          </mc:Choice>
        </mc:AlternateContent>
        <mc:AlternateContent xmlns:mc="http://schemas.openxmlformats.org/markup-compatibility/2006">
          <mc:Choice Requires="x14">
            <control shapeId="9238" r:id="rId25" name="Check Box 22">
              <controlPr locked="0" defaultSize="0" autoFill="0" autoLine="0" autoPict="0">
                <anchor moveWithCells="1">
                  <from>
                    <xdr:col>30</xdr:col>
                    <xdr:colOff>0</xdr:colOff>
                    <xdr:row>54</xdr:row>
                    <xdr:rowOff>142875</xdr:rowOff>
                  </from>
                  <to>
                    <xdr:col>31</xdr:col>
                    <xdr:colOff>0</xdr:colOff>
                    <xdr:row>55</xdr:row>
                    <xdr:rowOff>142875</xdr:rowOff>
                  </to>
                </anchor>
              </controlPr>
            </control>
          </mc:Choice>
        </mc:AlternateContent>
        <mc:AlternateContent xmlns:mc="http://schemas.openxmlformats.org/markup-compatibility/2006">
          <mc:Choice Requires="x14">
            <control shapeId="9239" r:id="rId26" name="Check Box 23">
              <controlPr locked="0" defaultSize="0" autoFill="0" autoLine="0" autoPict="0">
                <anchor moveWithCells="1">
                  <from>
                    <xdr:col>37</xdr:col>
                    <xdr:colOff>219075</xdr:colOff>
                    <xdr:row>55</xdr:row>
                    <xdr:rowOff>0</xdr:rowOff>
                  </from>
                  <to>
                    <xdr:col>39</xdr:col>
                    <xdr:colOff>0</xdr:colOff>
                    <xdr:row>56</xdr:row>
                    <xdr:rowOff>0</xdr:rowOff>
                  </to>
                </anchor>
              </controlPr>
            </control>
          </mc:Choice>
        </mc:AlternateContent>
        <mc:AlternateContent xmlns:mc="http://schemas.openxmlformats.org/markup-compatibility/2006">
          <mc:Choice Requires="x14">
            <control shapeId="9240" r:id="rId27" name="Check Box 24">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9241" r:id="rId28" name="Check Box 25">
              <controlPr locked="0" defaultSize="0" autoFill="0" autoLine="0" autoPict="0">
                <anchor moveWithCells="1">
                  <from>
                    <xdr:col>33</xdr:col>
                    <xdr:colOff>180975</xdr:colOff>
                    <xdr:row>62</xdr:row>
                    <xdr:rowOff>0</xdr:rowOff>
                  </from>
                  <to>
                    <xdr:col>34</xdr:col>
                    <xdr:colOff>190500</xdr:colOff>
                    <xdr:row>63</xdr:row>
                    <xdr:rowOff>9525</xdr:rowOff>
                  </to>
                </anchor>
              </controlPr>
            </control>
          </mc:Choice>
        </mc:AlternateContent>
        <mc:AlternateContent xmlns:mc="http://schemas.openxmlformats.org/markup-compatibility/2006">
          <mc:Choice Requires="x14">
            <control shapeId="9242" r:id="rId29" name="Check Box 26">
              <controlPr locked="0" defaultSize="0" autoFill="0" autoLine="0" autoPict="0">
                <anchor moveWithCells="1">
                  <from>
                    <xdr:col>37</xdr:col>
                    <xdr:colOff>104775</xdr:colOff>
                    <xdr:row>62</xdr:row>
                    <xdr:rowOff>0</xdr:rowOff>
                  </from>
                  <to>
                    <xdr:col>38</xdr:col>
                    <xdr:colOff>104775</xdr:colOff>
                    <xdr:row>63</xdr:row>
                    <xdr:rowOff>19050</xdr:rowOff>
                  </to>
                </anchor>
              </controlPr>
            </control>
          </mc:Choice>
        </mc:AlternateContent>
        <mc:AlternateContent xmlns:mc="http://schemas.openxmlformats.org/markup-compatibility/2006">
          <mc:Choice Requires="x14">
            <control shapeId="9243" r:id="rId30" name="Check Box 27">
              <controlPr locked="0" defaultSize="0" autoFill="0" autoLine="0" autoPict="0">
                <anchor moveWithCells="1">
                  <from>
                    <xdr:col>41</xdr:col>
                    <xdr:colOff>57150</xdr:colOff>
                    <xdr:row>62</xdr:row>
                    <xdr:rowOff>0</xdr:rowOff>
                  </from>
                  <to>
                    <xdr:col>42</xdr:col>
                    <xdr:colOff>57150</xdr:colOff>
                    <xdr:row>63</xdr:row>
                    <xdr:rowOff>9525</xdr:rowOff>
                  </to>
                </anchor>
              </controlPr>
            </control>
          </mc:Choice>
        </mc:AlternateContent>
        <mc:AlternateContent xmlns:mc="http://schemas.openxmlformats.org/markup-compatibility/2006">
          <mc:Choice Requires="x14">
            <control shapeId="9244" r:id="rId31" name="Check Box 28">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9245" r:id="rId32" name="Check Box 29">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9246" r:id="rId33" name="Check Box 30">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9247" r:id="rId34" name="Check Box 31">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9248" r:id="rId35" name="Check Box 32">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9249" r:id="rId36" name="Check Box 33">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9250" r:id="rId37" name="Check Box 34">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9251" r:id="rId38" name="Check Box 35">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9252" r:id="rId39" name="Check Box 36">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9253" r:id="rId40" name="Check Box 37">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9254" r:id="rId41" name="Check Box 38">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9255" r:id="rId42" name="Check Box 39">
              <controlPr locked="0" defaultSize="0" autoFill="0" autoLine="0" autoPict="0">
                <anchor moveWithCells="1">
                  <from>
                    <xdr:col>20</xdr:col>
                    <xdr:colOff>0</xdr:colOff>
                    <xdr:row>89</xdr:row>
                    <xdr:rowOff>0</xdr:rowOff>
                  </from>
                  <to>
                    <xdr:col>21</xdr:col>
                    <xdr:colOff>0</xdr:colOff>
                    <xdr:row>90</xdr:row>
                    <xdr:rowOff>0</xdr:rowOff>
                  </to>
                </anchor>
              </controlPr>
            </control>
          </mc:Choice>
        </mc:AlternateContent>
        <mc:AlternateContent xmlns:mc="http://schemas.openxmlformats.org/markup-compatibility/2006">
          <mc:Choice Requires="x14">
            <control shapeId="9256" r:id="rId43" name="Check Box 40">
              <controlPr locked="0" defaultSize="0" autoFill="0" autoLine="0" autoPict="0">
                <anchor moveWithCells="1">
                  <from>
                    <xdr:col>19</xdr:col>
                    <xdr:colOff>219075</xdr:colOff>
                    <xdr:row>95</xdr:row>
                    <xdr:rowOff>0</xdr:rowOff>
                  </from>
                  <to>
                    <xdr:col>21</xdr:col>
                    <xdr:colOff>0</xdr:colOff>
                    <xdr:row>96</xdr:row>
                    <xdr:rowOff>0</xdr:rowOff>
                  </to>
                </anchor>
              </controlPr>
            </control>
          </mc:Choice>
        </mc:AlternateContent>
        <mc:AlternateContent xmlns:mc="http://schemas.openxmlformats.org/markup-compatibility/2006">
          <mc:Choice Requires="x14">
            <control shapeId="9257" r:id="rId44" name="Check Box 41">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9258" r:id="rId45" name="Check Box 42">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9259" r:id="rId46" name="Check Box 43">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9260" r:id="rId47" name="Check Box 44">
              <controlPr locked="0" defaultSize="0" autoFill="0" autoLine="0" autoPict="0">
                <anchor moveWithCells="1">
                  <from>
                    <xdr:col>13</xdr:col>
                    <xdr:colOff>104775</xdr:colOff>
                    <xdr:row>80</xdr:row>
                    <xdr:rowOff>152400</xdr:rowOff>
                  </from>
                  <to>
                    <xdr:col>14</xdr:col>
                    <xdr:colOff>104775</xdr:colOff>
                    <xdr:row>82</xdr:row>
                    <xdr:rowOff>0</xdr:rowOff>
                  </to>
                </anchor>
              </controlPr>
            </control>
          </mc:Choice>
        </mc:AlternateContent>
        <mc:AlternateContent xmlns:mc="http://schemas.openxmlformats.org/markup-compatibility/2006">
          <mc:Choice Requires="x14">
            <control shapeId="9261" r:id="rId48" name="Check Box 45">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9262" r:id="rId49" name="Check Box 46">
              <controlPr locked="0" defaultSize="0" autoFill="0" autoLine="0" autoPict="0">
                <anchor moveWithCells="1">
                  <from>
                    <xdr:col>23</xdr:col>
                    <xdr:colOff>0</xdr:colOff>
                    <xdr:row>55</xdr:row>
                    <xdr:rowOff>0</xdr:rowOff>
                  </from>
                  <to>
                    <xdr:col>24</xdr:col>
                    <xdr:colOff>0</xdr:colOff>
                    <xdr:row>56</xdr:row>
                    <xdr:rowOff>38100</xdr:rowOff>
                  </to>
                </anchor>
              </controlPr>
            </control>
          </mc:Choice>
        </mc:AlternateContent>
        <mc:AlternateContent xmlns:mc="http://schemas.openxmlformats.org/markup-compatibility/2006">
          <mc:Choice Requires="x14">
            <control shapeId="9263" r:id="rId50" name="Check Box 47">
              <controlPr locked="0" defaultSize="0" autoFill="0" autoLine="0" autoPict="0">
                <anchor moveWithCells="1">
                  <from>
                    <xdr:col>39</xdr:col>
                    <xdr:colOff>0</xdr:colOff>
                    <xdr:row>33</xdr:row>
                    <xdr:rowOff>0</xdr:rowOff>
                  </from>
                  <to>
                    <xdr:col>40</xdr:col>
                    <xdr:colOff>0</xdr:colOff>
                    <xdr:row>34</xdr:row>
                    <xdr:rowOff>0</xdr:rowOff>
                  </to>
                </anchor>
              </controlPr>
            </control>
          </mc:Choice>
        </mc:AlternateContent>
        <mc:AlternateContent xmlns:mc="http://schemas.openxmlformats.org/markup-compatibility/2006">
          <mc:Choice Requires="x14">
            <control shapeId="9264" r:id="rId51" name="Check Box 48">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9265" r:id="rId52" name="Check Box 49">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9266" r:id="rId53" name="Check Box 50">
              <controlPr locked="0" defaultSize="0" autoFill="0" autoLine="0" autoPict="0">
                <anchor moveWithCells="1">
                  <from>
                    <xdr:col>29</xdr:col>
                    <xdr:colOff>219075</xdr:colOff>
                    <xdr:row>56</xdr:row>
                    <xdr:rowOff>19050</xdr:rowOff>
                  </from>
                  <to>
                    <xdr:col>31</xdr:col>
                    <xdr:colOff>0</xdr:colOff>
                    <xdr:row>57</xdr:row>
                    <xdr:rowOff>38100</xdr:rowOff>
                  </to>
                </anchor>
              </controlPr>
            </control>
          </mc:Choice>
        </mc:AlternateContent>
        <mc:AlternateContent xmlns:mc="http://schemas.openxmlformats.org/markup-compatibility/2006">
          <mc:Choice Requires="x14">
            <control shapeId="9267" r:id="rId54" name="Check Box 51">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mc:AlternateContent xmlns:mc="http://schemas.openxmlformats.org/markup-compatibility/2006">
          <mc:Choice Requires="x14">
            <control shapeId="9268" r:id="rId55" name="Check Box 52">
              <controlPr locked="0" defaultSize="0" autoFill="0" autoLine="0" autoPict="0">
                <anchor moveWithCells="1">
                  <from>
                    <xdr:col>39</xdr:col>
                    <xdr:colOff>0</xdr:colOff>
                    <xdr:row>33</xdr:row>
                    <xdr:rowOff>152400</xdr:rowOff>
                  </from>
                  <to>
                    <xdr:col>40</xdr:col>
                    <xdr:colOff>0</xdr:colOff>
                    <xdr:row>35</xdr:row>
                    <xdr:rowOff>0</xdr:rowOff>
                  </to>
                </anchor>
              </controlPr>
            </control>
          </mc:Choice>
        </mc:AlternateContent>
        <mc:AlternateContent xmlns:mc="http://schemas.openxmlformats.org/markup-compatibility/2006">
          <mc:Choice Requires="x14">
            <control shapeId="9269" r:id="rId56" name="Check Box 53">
              <controlPr locked="0" defaultSize="0" autoFill="0" autoLine="0" autoPict="0">
                <anchor moveWithCells="1">
                  <from>
                    <xdr:col>39</xdr:col>
                    <xdr:colOff>0</xdr:colOff>
                    <xdr:row>34</xdr:row>
                    <xdr:rowOff>142875</xdr:rowOff>
                  </from>
                  <to>
                    <xdr:col>40</xdr:col>
                    <xdr:colOff>0</xdr:colOff>
                    <xdr:row>36</xdr:row>
                    <xdr:rowOff>0</xdr:rowOff>
                  </to>
                </anchor>
              </controlPr>
            </control>
          </mc:Choice>
        </mc:AlternateContent>
        <mc:AlternateContent xmlns:mc="http://schemas.openxmlformats.org/markup-compatibility/2006">
          <mc:Choice Requires="x14">
            <control shapeId="9270" r:id="rId57" name="Check Box 54">
              <controlPr locked="0" defaultSize="0" autoFill="0" autoLine="0" autoPict="0">
                <anchor moveWithCells="1">
                  <from>
                    <xdr:col>39</xdr:col>
                    <xdr:colOff>0</xdr:colOff>
                    <xdr:row>35</xdr:row>
                    <xdr:rowOff>142875</xdr:rowOff>
                  </from>
                  <to>
                    <xdr:col>40</xdr:col>
                    <xdr:colOff>0</xdr:colOff>
                    <xdr:row>37</xdr:row>
                    <xdr:rowOff>0</xdr:rowOff>
                  </to>
                </anchor>
              </controlPr>
            </control>
          </mc:Choice>
        </mc:AlternateContent>
        <mc:AlternateContent xmlns:mc="http://schemas.openxmlformats.org/markup-compatibility/2006">
          <mc:Choice Requires="x14">
            <control shapeId="9271" r:id="rId58" name="Check Box 55">
              <controlPr locked="0" defaultSize="0" autoFill="0" autoLine="0" autoPict="0">
                <anchor moveWithCells="1">
                  <from>
                    <xdr:col>30</xdr:col>
                    <xdr:colOff>0</xdr:colOff>
                    <xdr:row>38</xdr:row>
                    <xdr:rowOff>142875</xdr:rowOff>
                  </from>
                  <to>
                    <xdr:col>31</xdr:col>
                    <xdr:colOff>0</xdr:colOff>
                    <xdr:row>40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72" id="{BF9D983F-099A-4C6C-A6DD-A3EB7F3F40DA}">
            <xm:f>$A$9&lt;&gt;'Sprachen &amp; Rückgabewerte(2)'!$H$132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38" id="{EF264F19-399A-4E26-87BF-6824842771D1}">
            <xm:f>'Sprachen &amp; Rückgabewerte(2)'!$U$49=FALSE</xm:f>
            <x14:dxf>
              <border>
                <bottom style="thin">
                  <color rgb="FFFF0000"/>
                </bottom>
                <vertical/>
                <horizontal/>
              </border>
            </x14:dxf>
          </x14:cfRule>
          <x14:cfRule type="expression" priority="296" id="{B8D7950F-5C34-444D-8CA5-2CB6DAE085BF}">
            <xm:f>'Sprachen &amp; Rückgabewerte(2)'!$I$12=FALSE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295" id="{2F4F9D09-207B-4BB2-98F1-F1140A8731FC}">
            <xm:f>AND('Sprachen &amp; Rückgabewerte(2)'!$I$11=FALSE,'Sprachen &amp; Rückgabewerte(2)'!$I$12=FALSE)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94" id="{C639BDF1-C74E-4289-A1C4-BCB45CC2C91D}">
            <xm:f>AND('Sprachen &amp; Rückgabewerte(2)'!$I$10=FALSE,'Sprachen &amp; Rückgabewerte(2)'!$I$11=FALSE,'Sprachen &amp; Rückgabewerte(2)'!$I$12=FALSE)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43" id="{9E68712C-2C54-437D-85E0-1A6B2EF1FD0A}">
            <xm:f>AND($AP$86="",'Sprachen &amp; Rückgabewerte(2)'!$I$51=TRUE)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93" id="{3D18FF1E-77DA-43DB-83E1-92852617E1F9}">
            <xm:f>'Sprachen &amp; Rückgabewerte(2)'!$I$51=TRUE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92" id="{71B0FCFC-183C-405B-A8AD-C07909873806}">
            <xm:f>'Sprachen &amp; Rückgabewerte(2)'!$C$41=FALSE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28" id="{FBEADDC6-CEA0-4308-AE35-A65C974A6EC8}">
            <xm:f>'Sprachen &amp; Rückgabewerte(2)'!$C$42=FALSE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66" id="{35DB0306-2052-4379-9B3B-31FD6508C34A}">
            <xm:f>'Sprachen &amp; Rückgabewerte(2)'!$C$44=FALSE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64" id="{13BCAC6B-EB28-4597-BA64-1132AC28A253}">
            <xm:f>'Sprachen &amp; Rückgabewerte(2)'!$C$45=FALSE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310" id="{2AF72589-6D1F-4D0E-9E03-FF7AD591ACF5}">
            <xm:f>'Sprachen &amp; Rückgabewerte(2)'!$C$46=FALSE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87" id="{CA402E41-8A60-41CA-9F5A-6285F5EB2D4F}">
            <xm:f>'Sprachen &amp; Rückgabewerte(2)'!$C$47=FALSE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63" id="{4D25BC7F-D224-489F-90AD-3303EAC27591}">
            <xm:f>'Sprachen &amp; Rückgabewerte(2)'!$C$49=FALSE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85" id="{C41A34FC-7FEC-41E4-9810-DAE2F0A78B85}">
            <xm:f>G$20='Sprachen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86" id="{75148D73-7686-4CE6-B8DB-DE04F383FD41}">
            <xm:f>G$20='Sprachen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83" id="{F290618B-0764-4DE0-91D0-9B9F092A37E8}">
            <xm:f>'Sprachen &amp; Rückgabewerte(2)'!$L$41=0</xm:f>
            <x14:dxf>
              <border>
                <left style="thin">
                  <color rgb="FFFF0000"/>
                </left>
                <vertical/>
                <horizontal/>
              </border>
            </x14:dxf>
          </x14:cfRule>
          <xm:sqref>C5:C8</xm:sqref>
        </x14:conditionalFormatting>
        <x14:conditionalFormatting xmlns:xm="http://schemas.microsoft.com/office/excel/2006/main">
          <x14:cfRule type="expression" priority="282" id="{47B3AD4D-F145-4BD0-BDD1-7816C2581FB0}">
            <xm:f>'Sprachen &amp; Rückgabewerte(2)'!$L$41=0</xm:f>
            <x14:dxf>
              <border>
                <top style="thin">
                  <color rgb="FFFF0000"/>
                </top>
                <vertical/>
                <horizontal/>
              </border>
            </x14:dxf>
          </x14:cfRule>
          <xm:sqref>C5:R5</xm:sqref>
        </x14:conditionalFormatting>
        <x14:conditionalFormatting xmlns:xm="http://schemas.microsoft.com/office/excel/2006/main">
          <x14:cfRule type="expression" priority="281" id="{108E1185-BCC0-4EE8-82EF-3FD8750B9EEC}">
            <xm:f>'Sprachen &amp; Rückgabewerte(2)'!$L$41=0</xm:f>
            <x14:dxf>
              <border>
                <right style="thin">
                  <color rgb="FFFF0000"/>
                </right>
                <vertical/>
                <horizontal/>
              </border>
            </x14:dxf>
          </x14:cfRule>
          <xm:sqref>R5:R8</xm:sqref>
        </x14:conditionalFormatting>
        <x14:conditionalFormatting xmlns:xm="http://schemas.microsoft.com/office/excel/2006/main">
          <x14:cfRule type="expression" priority="280" id="{6BE7F5B4-DBC1-49AC-BD72-B0CE5AEFB41F}">
            <xm:f>'Sprachen &amp; Rückgabewerte(2)'!$L$41=0</xm:f>
            <x14:dxf>
              <border>
                <bottom style="thin">
                  <color rgb="FFFF0000"/>
                </bottom>
                <vertical/>
                <horizontal/>
              </border>
            </x14:dxf>
          </x14:cfRule>
          <xm:sqref>C8:R8</xm:sqref>
        </x14:conditionalFormatting>
        <x14:conditionalFormatting xmlns:xm="http://schemas.microsoft.com/office/excel/2006/main">
          <x14:cfRule type="expression" priority="279" id="{8EE5C189-5393-458A-BA0A-D257AE1CC38B}">
            <xm:f>'Sprachen &amp; Rückgabewerte(2)'!$L$42=0</xm:f>
            <x14:dxf>
              <border>
                <left style="thin">
                  <color rgb="FFFF0000"/>
                </left>
                <vertical/>
                <horizontal/>
              </border>
            </x14:dxf>
          </x14:cfRule>
          <xm:sqref>S5:S8</xm:sqref>
        </x14:conditionalFormatting>
        <x14:conditionalFormatting xmlns:xm="http://schemas.microsoft.com/office/excel/2006/main">
          <x14:cfRule type="expression" priority="142" id="{62FD4BB3-57DB-440D-8A8B-E46D74E1709E}">
            <xm:f>'Sprachen &amp; Rückgabewerte(2)'!$L$42=0</xm:f>
            <x14:dxf>
              <border>
                <top style="thin">
                  <color rgb="FFFF0000"/>
                </top>
                <vertical/>
                <horizontal/>
              </border>
            </x14:dxf>
          </x14:cfRule>
          <xm:sqref>S5:AG5</xm:sqref>
        </x14:conditionalFormatting>
        <x14:conditionalFormatting xmlns:xm="http://schemas.microsoft.com/office/excel/2006/main">
          <x14:cfRule type="expression" priority="277" id="{84DB7507-5FAF-4412-98C2-C86B5A2B6BAD}">
            <xm:f>'Sprachen &amp; Rückgabewerte(2)'!$L$42=0</xm:f>
            <x14:dxf>
              <border>
                <right style="thin">
                  <color rgb="FFFF0000"/>
                </right>
                <vertical/>
                <horizontal/>
              </border>
            </x14:dxf>
          </x14:cfRule>
          <xm:sqref>AG5:AG8</xm:sqref>
        </x14:conditionalFormatting>
        <x14:conditionalFormatting xmlns:xm="http://schemas.microsoft.com/office/excel/2006/main">
          <x14:cfRule type="expression" priority="276" id="{E3F59C6F-7AC9-4D57-8B61-6471C218F9E3}">
            <xm:f>'Sprachen &amp; Rückgabewerte(2)'!$L$42=0</xm:f>
            <x14:dxf>
              <border>
                <bottom style="thin">
                  <color rgb="FFFF0000"/>
                </bottom>
                <vertical/>
                <horizontal/>
              </border>
            </x14:dxf>
          </x14:cfRule>
          <xm:sqref>S8:AG8</xm:sqref>
        </x14:conditionalFormatting>
        <x14:conditionalFormatting xmlns:xm="http://schemas.microsoft.com/office/excel/2006/main">
          <x14:cfRule type="expression" priority="275" id="{D829CBDA-3EBC-4D42-B80D-7996F676CA83}">
            <xm:f>'Sprachen &amp; Rückgabewerte(2)'!$L$43=0</xm:f>
            <x14:dxf>
              <border>
                <left style="thin">
                  <color rgb="FFFF0000"/>
                </left>
                <vertical/>
                <horizontal/>
              </border>
            </x14:dxf>
          </x14:cfRule>
          <xm:sqref>AH5:AH8</xm:sqref>
        </x14:conditionalFormatting>
        <x14:conditionalFormatting xmlns:xm="http://schemas.microsoft.com/office/excel/2006/main">
          <x14:cfRule type="expression" priority="139" id="{862DBD04-44FB-479D-8B40-DD064BCD28F8}">
            <xm:f>'Sprachen &amp; Rückgabewerte(2)'!$L$43=0</xm:f>
            <x14:dxf>
              <border>
                <top style="thin">
                  <color rgb="FFFF0000"/>
                </top>
                <vertical/>
                <horizontal/>
              </border>
            </x14:dxf>
          </x14:cfRule>
          <xm:sqref>AH5:AM5</xm:sqref>
        </x14:conditionalFormatting>
        <x14:conditionalFormatting xmlns:xm="http://schemas.microsoft.com/office/excel/2006/main">
          <x14:cfRule type="expression" priority="273" id="{10C24B90-F7F4-437B-8966-898F630DB613}">
            <xm:f>'Sprachen &amp; Rückgabewerte(2)'!$L$43=0</xm:f>
            <x14:dxf>
              <border>
                <right style="thin">
                  <color rgb="FFFF0000"/>
                </right>
                <vertical/>
                <horizontal/>
              </border>
            </x14:dxf>
          </x14:cfRule>
          <xm:sqref>AM5:AM8</xm:sqref>
        </x14:conditionalFormatting>
        <x14:conditionalFormatting xmlns:xm="http://schemas.microsoft.com/office/excel/2006/main">
          <x14:cfRule type="expression" priority="272" id="{D36518C1-F60F-482C-8700-CF9B37AA1953}">
            <xm:f>'Sprachen &amp; Rückgabewerte(2)'!$L$43=0</xm:f>
            <x14:dxf>
              <border>
                <bottom style="thin">
                  <color rgb="FFFF0000"/>
                </bottom>
                <vertical/>
                <horizontal/>
              </border>
            </x14:dxf>
          </x14:cfRule>
          <xm:sqref>AH8:AM8</xm:sqref>
        </x14:conditionalFormatting>
        <x14:conditionalFormatting xmlns:xm="http://schemas.microsoft.com/office/excel/2006/main">
          <x14:cfRule type="expression" priority="271" id="{FB6AF4D2-E8E3-44CE-A7EB-66B6EED67199}">
            <xm:f>'Sprachen &amp; Rückgabewerte(2)'!$L$44=0</xm:f>
            <x14:dxf>
              <border>
                <left style="thin">
                  <color rgb="FFFF0000"/>
                </left>
                <vertical/>
                <horizontal/>
              </border>
            </x14:dxf>
          </x14:cfRule>
          <xm:sqref>AN5:AN8</xm:sqref>
        </x14:conditionalFormatting>
        <x14:conditionalFormatting xmlns:xm="http://schemas.microsoft.com/office/excel/2006/main">
          <x14:cfRule type="expression" priority="270" id="{2C259F0B-2F54-4B82-839C-D29A3FC77903}">
            <xm:f>'Sprachen &amp; Rückgabewerte(2)'!$L$44=0</xm:f>
            <x14:dxf>
              <border>
                <top style="thin">
                  <color rgb="FFFF0000"/>
                </top>
                <vertical/>
                <horizontal/>
              </border>
            </x14:dxf>
          </x14:cfRule>
          <xm:sqref>AN5:AT5</xm:sqref>
        </x14:conditionalFormatting>
        <x14:conditionalFormatting xmlns:xm="http://schemas.microsoft.com/office/excel/2006/main">
          <x14:cfRule type="expression" priority="269" id="{7A4EEEA5-7396-4864-9607-098B48A6D182}">
            <xm:f>'Sprachen &amp; Rückgabewerte(2)'!$L$44=0</xm:f>
            <x14:dxf>
              <border>
                <right style="thin">
                  <color rgb="FFFF0000"/>
                </right>
                <vertical/>
                <horizontal/>
              </border>
            </x14:dxf>
          </x14:cfRule>
          <xm:sqref>AT5:AT8</xm:sqref>
        </x14:conditionalFormatting>
        <x14:conditionalFormatting xmlns:xm="http://schemas.microsoft.com/office/excel/2006/main">
          <x14:cfRule type="expression" priority="268" id="{1C4C2E17-5EC7-437B-AFFA-ED4EEEE47366}">
            <xm:f>'Sprachen &amp; Rückgabewerte(2)'!$L$44=0</xm:f>
            <x14:dxf>
              <border>
                <bottom style="thin">
                  <color rgb="FFFF0000"/>
                </bottom>
                <vertical/>
                <horizontal/>
              </border>
            </x14:dxf>
          </x14:cfRule>
          <xm:sqref>AN8:AT8</xm:sqref>
        </x14:conditionalFormatting>
        <x14:conditionalFormatting xmlns:xm="http://schemas.microsoft.com/office/excel/2006/main">
          <x14:cfRule type="expression" priority="267" id="{A7D52214-5A57-4EDE-89E9-0E4F979EF2F4}">
            <xm:f>'Sprachen &amp; Rückgabewerte(2)'!$L$45=0</xm:f>
            <x14:dxf>
              <border>
                <left style="thin">
                  <color rgb="FFFF0000"/>
                </left>
                <vertical/>
                <horizontal/>
              </border>
            </x14:dxf>
          </x14:cfRule>
          <xm:sqref>C9:C30</xm:sqref>
        </x14:conditionalFormatting>
        <x14:conditionalFormatting xmlns:xm="http://schemas.microsoft.com/office/excel/2006/main">
          <x14:cfRule type="expression" priority="260" id="{4E7C32CD-4815-445D-AFE6-9870072589FA}">
            <xm:f>'Sprachen &amp; Rückgabewerte(2)'!$L$46=0</xm:f>
            <x14:dxf>
              <border>
                <bottom style="thin">
                  <color rgb="FFFF0000"/>
                </bottom>
                <vertical/>
                <horizontal/>
              </border>
            </x14:dxf>
          </x14:cfRule>
          <x14:cfRule type="expression" priority="266" id="{6B3A79CD-9D98-4317-B540-9EAFB3917741}">
            <xm:f>'Sprachen &amp; Rückgabewerte(2)'!$L$45=0</xm:f>
            <x14:dxf>
              <border>
                <bottom style="thin">
                  <color rgb="FFFF0000"/>
                </bottom>
                <vertical/>
                <horizontal/>
              </border>
            </x14:dxf>
          </x14:cfRule>
          <xm:sqref>C30:AT30</xm:sqref>
        </x14:conditionalFormatting>
        <x14:conditionalFormatting xmlns:xm="http://schemas.microsoft.com/office/excel/2006/main">
          <x14:cfRule type="expression" priority="265" id="{016C47AB-AD98-42CC-A111-719828088B8A}">
            <xm:f>'Sprachen &amp; Rückgabewerte(2)'!$L$45=0</xm:f>
            <x14:dxf>
              <border>
                <top style="thin">
                  <color rgb="FFFF0000"/>
                </top>
                <vertical/>
                <horizontal/>
              </border>
            </x14:dxf>
          </x14:cfRule>
          <xm:sqref>C9:AT9</xm:sqref>
        </x14:conditionalFormatting>
        <x14:conditionalFormatting xmlns:xm="http://schemas.microsoft.com/office/excel/2006/main">
          <x14:cfRule type="expression" priority="264" id="{42361474-AFF0-48AD-81E0-D63E2BCC3463}">
            <xm:f>'Sprachen &amp; Rückgabewerte(2)'!$L$45=0</xm:f>
            <x14:dxf>
              <border>
                <right style="thin">
                  <color rgb="FFFF0000"/>
                </right>
                <vertical/>
                <horizontal/>
              </border>
            </x14:dxf>
          </x14:cfRule>
          <xm:sqref>AT9:AT30</xm:sqref>
        </x14:conditionalFormatting>
        <x14:conditionalFormatting xmlns:xm="http://schemas.microsoft.com/office/excel/2006/main">
          <x14:cfRule type="expression" priority="263" id="{E858758D-7657-4493-A6CF-43B0B6884595}">
            <xm:f>'Sprachen &amp; Rückgabewerte(2)'!$L$46=0</xm:f>
            <x14:dxf>
              <border>
                <left style="thin">
                  <color rgb="FFFF0000"/>
                </left>
                <vertical/>
                <horizontal/>
              </border>
            </x14:dxf>
          </x14:cfRule>
          <xm:sqref>C27:C30</xm:sqref>
        </x14:conditionalFormatting>
        <x14:conditionalFormatting xmlns:xm="http://schemas.microsoft.com/office/excel/2006/main">
          <x14:cfRule type="expression" priority="262" id="{3D1B2471-8155-4F61-9282-29622A1BA238}">
            <xm:f>'Sprachen &amp; Rückgabewerte(2)'!$L$46=0</xm:f>
            <x14:dxf>
              <border>
                <top style="thin">
                  <color rgb="FFFF0000"/>
                </top>
                <vertical/>
                <horizontal/>
              </border>
            </x14:dxf>
          </x14:cfRule>
          <xm:sqref>C27:AT27</xm:sqref>
        </x14:conditionalFormatting>
        <x14:conditionalFormatting xmlns:xm="http://schemas.microsoft.com/office/excel/2006/main">
          <x14:cfRule type="expression" priority="261" id="{05DC2F84-056A-46B0-9A54-78D7E54C3E81}">
            <xm:f>'Sprachen &amp; Rückgabewerte(2)'!$L$46=0</xm:f>
            <x14:dxf>
              <border>
                <right style="thin">
                  <color rgb="FFFF0000"/>
                </right>
                <vertical/>
                <horizontal/>
              </border>
            </x14:dxf>
          </x14:cfRule>
          <xm:sqref>AT27:AT30</xm:sqref>
        </x14:conditionalFormatting>
        <x14:conditionalFormatting xmlns:xm="http://schemas.microsoft.com/office/excel/2006/main">
          <x14:cfRule type="expression" priority="259" id="{A9CF374B-6B4B-4BC0-BD15-B415117E1E33}">
            <xm:f>'Sprachen &amp; Rückgabewerte(2)'!$L$47=0</xm:f>
            <x14:dxf>
              <border>
                <left style="thin">
                  <color rgb="FFFF0000"/>
                </left>
                <vertical/>
                <horizontal/>
              </border>
            </x14:dxf>
          </x14:cfRule>
          <xm:sqref>C32:C35</xm:sqref>
        </x14:conditionalFormatting>
        <x14:conditionalFormatting xmlns:xm="http://schemas.microsoft.com/office/excel/2006/main">
          <x14:cfRule type="expression" priority="258" id="{A6BE638D-16E6-4B3B-9A7D-0F249C30EAFF}">
            <xm:f>'Sprachen &amp; Rückgabewerte(2)'!$L$47=0</xm:f>
            <x14:dxf>
              <border>
                <top style="thin">
                  <color rgb="FFFF0000"/>
                </top>
                <vertical/>
                <horizontal/>
              </border>
            </x14:dxf>
          </x14:cfRule>
          <xm:sqref>C32:AB32</xm:sqref>
        </x14:conditionalFormatting>
        <x14:conditionalFormatting xmlns:xm="http://schemas.microsoft.com/office/excel/2006/main">
          <x14:cfRule type="expression" priority="257" id="{FECE6080-345D-4944-B76F-E2915AF7C41D}">
            <xm:f>'Sprachen &amp; Rückgabewerte(2)'!$L$47=0</xm:f>
            <x14:dxf>
              <border>
                <right style="thin">
                  <color rgb="FFFF0000"/>
                </right>
                <vertical/>
                <horizontal/>
              </border>
            </x14:dxf>
          </x14:cfRule>
          <xm:sqref>AB32:AB35</xm:sqref>
        </x14:conditionalFormatting>
        <x14:conditionalFormatting xmlns:xm="http://schemas.microsoft.com/office/excel/2006/main">
          <x14:cfRule type="expression" priority="256" id="{DB138CA3-1116-4A7C-986D-CA7C51954850}">
            <xm:f>'Sprachen &amp; Rückgabewerte(2)'!$L$47=0</xm:f>
            <x14:dxf>
              <border>
                <bottom style="thin">
                  <color rgb="FFFF0000"/>
                </bottom>
                <vertical/>
                <horizontal/>
              </border>
            </x14:dxf>
          </x14:cfRule>
          <xm:sqref>C35:AB35</xm:sqref>
        </x14:conditionalFormatting>
        <x14:conditionalFormatting xmlns:xm="http://schemas.microsoft.com/office/excel/2006/main">
          <x14:cfRule type="expression" priority="255" id="{2F34D736-F33D-4C63-94D4-C9CD1BE18DC6}">
            <xm:f>'Sprachen &amp; Rückgabewerte(2)'!$M$49=0</xm:f>
            <x14:dxf>
              <border>
                <left style="thin">
                  <color rgb="FFFF0000"/>
                </left>
                <vertical/>
                <horizontal/>
              </border>
            </x14:dxf>
          </x14:cfRule>
          <xm:sqref>C36:C60</xm:sqref>
        </x14:conditionalFormatting>
        <x14:conditionalFormatting xmlns:xm="http://schemas.microsoft.com/office/excel/2006/main">
          <x14:cfRule type="expression" priority="254" id="{9A5D8CA3-F0C4-4B33-85AE-BC42D2B4360C}">
            <xm:f>'Sprachen &amp; Rückgabewerte(2)'!$M$49=0</xm:f>
            <x14:dxf>
              <border>
                <top style="thin">
                  <color rgb="FFFF0000"/>
                </top>
                <vertical/>
                <horizontal/>
              </border>
            </x14:dxf>
          </x14:cfRule>
          <xm:sqref>C36:O36</xm:sqref>
        </x14:conditionalFormatting>
        <x14:conditionalFormatting xmlns:xm="http://schemas.microsoft.com/office/excel/2006/main">
          <x14:cfRule type="expression" priority="253" id="{A34C74A1-D55E-4AD8-951D-B5C2F4B6158A}">
            <xm:f>'Sprachen &amp; Rückgabewerte(2)'!$M$49=0</xm:f>
            <x14:dxf>
              <border>
                <right style="thin">
                  <color rgb="FFFF0000"/>
                </right>
                <vertical/>
                <horizontal/>
              </border>
            </x14:dxf>
          </x14:cfRule>
          <xm:sqref>O36:O60</xm:sqref>
        </x14:conditionalFormatting>
        <x14:conditionalFormatting xmlns:xm="http://schemas.microsoft.com/office/excel/2006/main">
          <x14:cfRule type="expression" priority="252" id="{8DFCE1D7-E62C-4BC5-AF34-368DBE175FB3}">
            <xm:f>'Sprachen &amp; Rückgabewerte(2)'!$M$49=0</xm:f>
            <x14:dxf>
              <border>
                <bottom style="thin">
                  <color rgb="FFFF0000"/>
                </bottom>
                <vertical/>
                <horizontal/>
              </border>
            </x14:dxf>
          </x14:cfRule>
          <xm:sqref>C60:O60</xm:sqref>
        </x14:conditionalFormatting>
        <x14:conditionalFormatting xmlns:xm="http://schemas.microsoft.com/office/excel/2006/main">
          <x14:cfRule type="expression" priority="251" id="{E428ED8A-EAAC-4A25-B12A-6672E59CDACE}">
            <xm:f>'Sprachen &amp; Rückgabewerte(2)'!$L$50=0</xm:f>
            <x14:dxf>
              <border>
                <top style="thin">
                  <color rgb="FFFF0000"/>
                </top>
                <vertical/>
                <horizontal/>
              </border>
            </x14:dxf>
          </x14:cfRule>
          <xm:sqref>P36:AB36</xm:sqref>
        </x14:conditionalFormatting>
        <x14:conditionalFormatting xmlns:xm="http://schemas.microsoft.com/office/excel/2006/main">
          <x14:cfRule type="expression" priority="250" id="{B9FFA842-9056-433D-874B-E9BFC7693703}">
            <xm:f>'Sprachen &amp; Rückgabewerte(2)'!$L$50=0</xm:f>
            <x14:dxf>
              <border>
                <right style="thin">
                  <color rgb="FFFF0000"/>
                </right>
              </border>
            </x14:dxf>
          </x14:cfRule>
          <xm:sqref>AB36:AB58</xm:sqref>
        </x14:conditionalFormatting>
        <x14:conditionalFormatting xmlns:xm="http://schemas.microsoft.com/office/excel/2006/main">
          <x14:cfRule type="expression" priority="249" id="{ACD43545-179C-4E15-813D-B1C62B7A9475}">
            <xm:f>'Sprachen &amp; Rückgabewerte(2)'!$L$50=0</xm:f>
            <x14:dxf>
              <border>
                <bottom style="thin">
                  <color rgb="FFFF0000"/>
                </bottom>
                <vertical/>
                <horizontal/>
              </border>
            </x14:dxf>
          </x14:cfRule>
          <xm:sqref>P60</xm:sqref>
        </x14:conditionalFormatting>
        <x14:conditionalFormatting xmlns:xm="http://schemas.microsoft.com/office/excel/2006/main">
          <x14:cfRule type="expression" priority="248" id="{FEC50EB0-058D-4260-BF0E-906F5DA9D69A}">
            <xm:f>'Sprachen &amp; Rückgabewerte(2)'!$L$50=0</xm:f>
            <x14:dxf>
              <border>
                <left style="thin">
                  <color rgb="FFFF0000"/>
                </left>
                <vertical/>
                <horizontal/>
              </border>
            </x14:dxf>
          </x14:cfRule>
          <xm:sqref>P36:P43</xm:sqref>
        </x14:conditionalFormatting>
        <x14:conditionalFormatting xmlns:xm="http://schemas.microsoft.com/office/excel/2006/main">
          <x14:cfRule type="expression" priority="247" id="{7C5DCE92-03FC-4375-8F33-4DD34E2A265F}">
            <xm:f>'Sprachen &amp; Rückgabewerte(2)'!$L$50=0</xm:f>
            <x14:dxf>
              <border>
                <left style="thin">
                  <color rgb="FFFF0000"/>
                </left>
                <vertical/>
                <horizontal/>
              </border>
            </x14:dxf>
          </x14:cfRule>
          <xm:sqref>P44:S45</xm:sqref>
        </x14:conditionalFormatting>
        <x14:conditionalFormatting xmlns:xm="http://schemas.microsoft.com/office/excel/2006/main">
          <x14:cfRule type="expression" priority="246" id="{562D580B-3C19-437F-A061-29FC9DA44374}">
            <xm:f>'Sprachen &amp; Rückgabewerte(2)'!$L$50=0</xm:f>
            <x14:dxf>
              <border>
                <left style="thin">
                  <color rgb="FFFF0000"/>
                </left>
                <vertical/>
                <horizontal/>
              </border>
            </x14:dxf>
          </x14:cfRule>
          <xm:sqref>P46:P60</xm:sqref>
        </x14:conditionalFormatting>
        <x14:conditionalFormatting xmlns:xm="http://schemas.microsoft.com/office/excel/2006/main">
          <x14:cfRule type="expression" priority="245" id="{04D1B814-E6DD-45AB-819E-81295E57DEDD}">
            <xm:f>'Sprachen &amp; Rückgabewerte(2)'!$L$51=0</xm:f>
            <x14:dxf>
              <border>
                <top style="thin">
                  <color rgb="FFFF0000"/>
                </top>
                <vertical/>
                <horizontal/>
              </border>
            </x14:dxf>
          </x14:cfRule>
          <xm:sqref>AE32:AT32</xm:sqref>
        </x14:conditionalFormatting>
        <x14:conditionalFormatting xmlns:xm="http://schemas.microsoft.com/office/excel/2006/main">
          <x14:cfRule type="expression" priority="121" id="{6E8979C6-5A72-4AFC-BB32-D3DC2963841E}">
            <xm:f>AND($AY$43&lt;&gt;0,'Sprachen &amp; Rückgabewerte(2)'!$I$19=TRUE)</xm:f>
            <x14:dxf>
              <border>
                <right style="thin">
                  <color rgb="FFFF0000"/>
                </right>
                <vertical/>
                <horizontal/>
              </border>
            </x14:dxf>
          </x14:cfRule>
          <x14:cfRule type="expression" priority="244" id="{DDCA1E2E-BEE4-48FA-BD4F-113F4AB4A6BD}">
            <xm:f>'Sprachen &amp; Rückgabewerte(2)'!$L$51=0</xm:f>
            <x14:dxf>
              <border>
                <right style="thin">
                  <color rgb="FFFF0000"/>
                </right>
                <vertical/>
                <horizontal/>
              </border>
            </x14:dxf>
          </x14:cfRule>
          <xm:sqref>AT32:AT40</xm:sqref>
        </x14:conditionalFormatting>
        <x14:conditionalFormatting xmlns:xm="http://schemas.microsoft.com/office/excel/2006/main">
          <x14:cfRule type="expression" priority="243" id="{162DBB32-77F7-4CB9-95EA-2C3B398BA2B8}">
            <xm:f>'Sprachen &amp; Rückgabewerte(2)'!$L$51=0</xm:f>
            <x14:dxf>
              <border>
                <bottom style="thin">
                  <color rgb="FFFF0000"/>
                </bottom>
                <vertical/>
                <horizontal/>
              </border>
            </x14:dxf>
          </x14:cfRule>
          <xm:sqref>AE40:AT40</xm:sqref>
        </x14:conditionalFormatting>
        <x14:conditionalFormatting xmlns:xm="http://schemas.microsoft.com/office/excel/2006/main">
          <x14:cfRule type="expression" priority="242" id="{8AD9155C-039A-44B9-8E14-9CA37BD7BA55}">
            <xm:f>'Sprachen &amp; Rückgabewerte(2)'!$L$52=0</xm:f>
            <x14:dxf>
              <border>
                <top style="thin">
                  <color rgb="FFFF0000"/>
                </top>
                <vertical/>
                <horizontal/>
              </border>
            </x14:dxf>
          </x14:cfRule>
          <xm:sqref>AE42:AT42</xm:sqref>
        </x14:conditionalFormatting>
        <x14:conditionalFormatting xmlns:xm="http://schemas.microsoft.com/office/excel/2006/main">
          <x14:cfRule type="expression" priority="241" id="{28D9F2F8-591A-4DD7-88C4-26787221E9AF}">
            <xm:f>'Sprachen &amp; Rückgabewerte(2)'!$L$52=0</xm:f>
            <x14:dxf>
              <border>
                <right style="thin">
                  <color rgb="FFFF0000"/>
                </right>
                <vertical/>
                <horizontal/>
              </border>
            </x14:dxf>
          </x14:cfRule>
          <xm:sqref>AT42:AT50</xm:sqref>
        </x14:conditionalFormatting>
        <x14:conditionalFormatting xmlns:xm="http://schemas.microsoft.com/office/excel/2006/main">
          <x14:cfRule type="expression" priority="240" id="{10BC8CCC-E180-4D91-8B18-24F414CBC13E}">
            <xm:f>'Sprachen &amp; Rückgabewerte(2)'!$L$52=0</xm:f>
            <x14:dxf>
              <border>
                <bottom style="thin">
                  <color rgb="FFFF0000"/>
                </bottom>
                <vertical/>
                <horizontal/>
              </border>
            </x14:dxf>
          </x14:cfRule>
          <xm:sqref>AM50:AT50</xm:sqref>
        </x14:conditionalFormatting>
        <x14:conditionalFormatting xmlns:xm="http://schemas.microsoft.com/office/excel/2006/main">
          <x14:cfRule type="expression" priority="187" id="{44EF1237-DD09-4123-8FBA-9F1473219CDA}">
            <xm:f>OR('Sprachen &amp; Rückgabewerte(2)'!$I$36=TRUE,'Sprachen &amp; Rückgabewerte(2)'!$I$39=TRUE)</xm:f>
            <x14:dxf>
              <font>
                <color theme="1"/>
              </font>
            </x14:dxf>
          </x14:cfRule>
          <x14:cfRule type="expression" priority="239" id="{7D6E5E4D-B005-4B72-A7F2-718D217085CF}">
            <xm:f>'Sprachen &amp; Rückgabewerte(2)'!$L$52=0</xm:f>
            <x14:dxf>
              <border>
                <bottom style="thin">
                  <color rgb="FFFF0000"/>
                </bottom>
                <vertical/>
                <horizontal/>
              </border>
            </x14:dxf>
          </x14:cfRule>
          <xm:sqref>AF48:AL50</xm:sqref>
        </x14:conditionalFormatting>
        <x14:conditionalFormatting xmlns:xm="http://schemas.microsoft.com/office/excel/2006/main">
          <x14:cfRule type="expression" priority="238" id="{4A795568-6D84-447D-B0D7-4DB71D69657A}">
            <xm:f>'Sprachen &amp; Rückgabewerte(2)'!$L$52=0</xm:f>
            <x14:dxf>
              <border>
                <bottom style="thin">
                  <color rgb="FFFF0000"/>
                </bottom>
                <vertical/>
                <horizontal/>
              </border>
            </x14:dxf>
          </x14:cfRule>
          <xm:sqref>AE50</xm:sqref>
        </x14:conditionalFormatting>
        <x14:conditionalFormatting xmlns:xm="http://schemas.microsoft.com/office/excel/2006/main">
          <x14:cfRule type="expression" priority="237" id="{E888F683-AF00-463A-AF7F-E63DA0D95EEB}">
            <xm:f>'Sprachen &amp; Rückgabewerte(2)'!$L$53=0</xm:f>
            <x14:dxf>
              <border>
                <top style="thin">
                  <color rgb="FFFF0000"/>
                </top>
                <vertical/>
                <horizontal/>
              </border>
            </x14:dxf>
          </x14:cfRule>
          <xm:sqref>AE52:AT52</xm:sqref>
        </x14:conditionalFormatting>
        <x14:conditionalFormatting xmlns:xm="http://schemas.microsoft.com/office/excel/2006/main">
          <x14:cfRule type="expression" priority="236" id="{9B211B30-A16F-4F16-B042-A72F29F8BF84}">
            <xm:f>'Sprachen &amp; Rückgabewerte(2)'!$L$53=0</xm:f>
            <x14:dxf>
              <border>
                <right style="thin">
                  <color rgb="FFFF0000"/>
                </right>
                <vertical/>
                <horizontal/>
              </border>
            </x14:dxf>
          </x14:cfRule>
          <xm:sqref>AT52:AT58</xm:sqref>
        </x14:conditionalFormatting>
        <x14:conditionalFormatting xmlns:xm="http://schemas.microsoft.com/office/excel/2006/main">
          <x14:cfRule type="expression" priority="235" id="{CEBAA416-6DF4-4AEC-9A3B-4C4B9A20D934}">
            <xm:f>'Sprachen &amp; Rückgabewerte(2)'!$L$53=0</xm:f>
            <x14:dxf>
              <border>
                <bottom style="thin">
                  <color rgb="FFFF0000"/>
                </bottom>
                <vertical/>
                <horizontal/>
              </border>
            </x14:dxf>
          </x14:cfRule>
          <xm:sqref>AE58:AT58</xm:sqref>
        </x14:conditionalFormatting>
        <x14:conditionalFormatting xmlns:xm="http://schemas.microsoft.com/office/excel/2006/main">
          <x14:cfRule type="expression" priority="234" id="{A2E11440-CE71-4387-A897-99D38CF5A16A}">
            <xm:f>'Sprachen &amp; Rückgabewerte(2)'!$L$54=0</xm:f>
            <x14:dxf>
              <border>
                <top style="thin">
                  <color rgb="FFFF0000"/>
                </top>
                <vertical/>
                <horizontal/>
              </border>
            </x14:dxf>
          </x14:cfRule>
          <xm:sqref>AE60:AT60</xm:sqref>
        </x14:conditionalFormatting>
        <x14:conditionalFormatting xmlns:xm="http://schemas.microsoft.com/office/excel/2006/main">
          <x14:cfRule type="expression" priority="233" id="{23679435-8924-41B6-B994-D6CBA61CDD33}">
            <xm:f>'Sprachen &amp; Rückgabewerte(2)'!$L$54=0</xm:f>
            <x14:dxf>
              <border>
                <right style="thin">
                  <color rgb="FFFF0000"/>
                </right>
                <vertical/>
                <horizontal/>
              </border>
            </x14:dxf>
          </x14:cfRule>
          <xm:sqref>AT60:AT71</xm:sqref>
        </x14:conditionalFormatting>
        <x14:conditionalFormatting xmlns:xm="http://schemas.microsoft.com/office/excel/2006/main">
          <x14:cfRule type="expression" priority="232" id="{28825D9D-838B-4C14-8AF0-60E29DF0AD8D}">
            <xm:f>'Sprachen &amp; Rückgabewerte(2)'!$L$54=0</xm:f>
            <x14:dxf>
              <border>
                <bottom style="thin">
                  <color rgb="FFFF0000"/>
                </bottom>
                <vertical/>
                <horizontal/>
              </border>
            </x14:dxf>
          </x14:cfRule>
          <xm:sqref>AE71:AT71</xm:sqref>
        </x14:conditionalFormatting>
        <x14:conditionalFormatting xmlns:xm="http://schemas.microsoft.com/office/excel/2006/main">
          <x14:cfRule type="expression" priority="231" id="{A3B873F2-06A8-465E-B44D-A16A65BDD0B4}">
            <xm:f>'Sprachen &amp; Rückgabewerte(2)'!$L$55=0</xm:f>
            <x14:dxf>
              <border>
                <top style="thin">
                  <color rgb="FFFF0000"/>
                </top>
                <vertical/>
                <horizontal/>
              </border>
            </x14:dxf>
          </x14:cfRule>
          <xm:sqref>AE83:AT83</xm:sqref>
        </x14:conditionalFormatting>
        <x14:conditionalFormatting xmlns:xm="http://schemas.microsoft.com/office/excel/2006/main">
          <x14:cfRule type="expression" priority="230" id="{6A6289A5-D9D6-4593-9354-102674B2EF4C}">
            <xm:f>'Sprachen &amp; Rückgabewerte(2)'!$L$55=0</xm:f>
            <x14:dxf>
              <border>
                <right style="thin">
                  <color rgb="FFFF0000"/>
                </right>
                <vertical/>
                <horizontal/>
              </border>
            </x14:dxf>
          </x14:cfRule>
          <xm:sqref>AT83:AT93</xm:sqref>
        </x14:conditionalFormatting>
        <x14:conditionalFormatting xmlns:xm="http://schemas.microsoft.com/office/excel/2006/main">
          <x14:cfRule type="expression" priority="229" id="{3E693604-AB1E-4ABE-A671-D44B774A6A44}">
            <xm:f>'Sprachen &amp; Rückgabewerte(2)'!$L$55=0</xm:f>
            <x14:dxf>
              <border>
                <bottom style="thin">
                  <color rgb="FFFF0000"/>
                </bottom>
                <vertical/>
                <horizontal/>
              </border>
            </x14:dxf>
          </x14:cfRule>
          <xm:sqref>AE93:AT93</xm:sqref>
        </x14:conditionalFormatting>
        <x14:conditionalFormatting xmlns:xm="http://schemas.microsoft.com/office/excel/2006/main">
          <x14:cfRule type="expression" priority="227" id="{C09EB691-A27C-40BF-BD64-A393A8A4B55D}">
            <xm:f>'Sprachen &amp; Rückgabewerte(2)'!$M$59=0</xm:f>
            <x14:dxf>
              <border>
                <right style="thin">
                  <color rgb="FFFF0000"/>
                </right>
                <vertical/>
                <horizontal/>
              </border>
            </x14:dxf>
          </x14:cfRule>
          <xm:sqref>AB86</xm:sqref>
        </x14:conditionalFormatting>
        <x14:conditionalFormatting xmlns:xm="http://schemas.microsoft.com/office/excel/2006/main">
          <x14:cfRule type="expression" priority="226" id="{069C36A2-5625-4D1F-94E7-5BC379F7DC9B}">
            <xm:f>'Sprachen &amp; Rückgabewerte(2)'!$M$59=0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23" id="{3DA97CBF-5ADE-4E58-AA65-824CC539D873}">
            <xm:f>K$20='Sprachen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4" id="{36762381-28E7-4CB5-B1DF-5CB5126D3CC4}">
            <xm:f>K$20='Sprachen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21" id="{A53E16C0-F70D-42C7-996C-E579F30F3A71}">
            <xm:f>O$20='Sprachen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2" id="{457707DC-3322-4BE2-8F10-2B1830EF33B4}">
            <xm:f>O$20='Sprachen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219" id="{11EFB623-912A-4FDC-A475-C95F5723AFF8}">
            <xm:f>S$20='Sprachen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0" id="{7167A163-A79F-4B88-A029-E5FDE1ED49DD}">
            <xm:f>S$20='Sprachen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217" id="{F1734F7A-6C12-48FA-8B5A-2E8F1BA7A137}">
            <xm:f>W$20='Sprachen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8" id="{F11429F2-B783-4536-9632-5ED03A770D2E}">
            <xm:f>W$20='Sprachen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215" id="{365806F4-5FB3-4222-8DB6-B165ED7A8B22}">
            <xm:f>AA$20='Sprachen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6" id="{FA32B7EF-CCE2-4A10-BA1B-7A273DBEB70A}">
            <xm:f>AA$20='Sprachen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213" id="{76400F9C-BF36-4056-9517-1B23902D1A2C}">
            <xm:f>AE$20='Sprachen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4" id="{D98CFB6A-A300-4AFD-AE1E-E645D82EE2AE}">
            <xm:f>AE$20='Sprachen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211" id="{866986D4-F020-4E32-BE7D-83067914D7C0}">
            <xm:f>AI$20='Sprachen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2" id="{F7686C5C-BD25-4776-80CE-6FB8B60DD347}">
            <xm:f>AI$20='Sprachen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209" id="{144554FD-EE3B-422D-B092-BA2E3D973507}">
            <xm:f>AM$20='Sprachen &amp; Rückgabewerte(2)'!$H$107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0" id="{2E91F97D-6524-498F-BB8B-74DBD401A137}">
            <xm:f>AM$20='Sprachen &amp; Rückgabewerte(2)'!$H$106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208" id="{1400C543-EF23-4B50-93A1-83AF78F558E5}">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207" id="{F8B2A856-ECD9-4056-B44E-912B8FF831B3}">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206" id="{CAF7E26F-B4AF-46CB-B96A-D3635CCD3B78}">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205" id="{8DDA6D33-6936-49C2-8EAB-62607843138C}">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204" id="{5BA8886D-2DB6-4645-A13D-682FC7A139B8}">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203" id="{6793D80C-18AA-4ADA-B28B-5FABCC87558E}">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202" id="{7D8C66C8-0C4B-45BF-85B2-D2098E67CCB0}">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201" id="{72402119-347C-4BDF-9833-E722B0511C94}">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200" id="{31464327-E5D6-4EB8-964A-1775D2B5B3DE}">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99" id="{5172AF79-0772-4ED1-9AD9-542FD7EB2C70}">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98" id="{6E4F226D-3368-4209-AD4F-970C8FDB949D}">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97" id="{EB6F54C7-F2D7-4328-B471-30D67A7BCB41}">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96" id="{1E72351F-39A1-4BC4-BE58-7BAB820709C4}">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95" id="{8D5147E6-A1A3-4E78-8EB1-AFA8D83C06DE}">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94" id="{ABDB4E17-A985-4084-B215-1FE0D31856A0}">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93" id="{57451A5C-414D-4B45-8060-EA7E3E60AF14}">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92" id="{BA4B76ED-A62D-4B74-921C-53F81C3D8930}">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146" id="{A7327111-4982-47DC-BC8E-2C8FBE8387CD}">
            <xm:f>AND($AL$39="",'Sprachen &amp; Rückgabewerte(2)'!$I$22=TRUE)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90" id="{08587A37-F42F-4E47-8C17-89BF3194EF84}">
            <xm:f>'Sprachen &amp; Rückgabewerte(2)'!$I$22=FALSE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59" id="{F00DD7D6-1AF5-4BAE-B83B-4E4123FC9FDE}">
            <xm:f>'Sprachen &amp; Rückgabewerte(2)'!$I$36=FALSE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5" id="{E284E971-4692-4DC2-8980-C1B245B69A8B}">
            <xm:f>'Sprachen &amp; Rückgabewerte(2)'!$I$39=FALSE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58" id="{8AE601B0-CF26-4E65-AF4B-3CAED5B01001}">
            <xm:f>AND('Sprachen &amp; Rückgabewerte(2)'!$I$36=FALSE,'Sprachen &amp; Rückgabewerte(2)'!$I$39=FALSE)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76" id="{30AE78C4-367B-443F-8E6E-71A4F000DFD5}">
            <xm:f>'Sprachen &amp; Rückgabewerte(2)'!$I$45=FALSE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84" id="{4CA00E96-8458-4425-ADD7-B865D82091D3}">
            <xm:f>'Sprachen &amp; Rückgabewerte(2)'!$L$67=TRUE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83" id="{0CF6989C-AA87-4D46-B51B-76CC750A7908}">
            <xm:f>'Sprachen &amp; Rückgabewerte(2)'!$L$68=TRUE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119" id="{22791D6F-E3CA-40E3-BECC-2FBC1D66B597}">
            <xm:f>AND($AY$43&lt;&gt;0,'Sprachen &amp; Rückgabewerte(2)'!$I$19=TRUE)</xm:f>
            <x14:dxf>
              <border>
                <left style="thin">
                  <color rgb="FFFF0000"/>
                </left>
                <bottom/>
                <vertical/>
                <horizontal/>
              </border>
            </x14:dxf>
          </x14:cfRule>
          <x14:cfRule type="expression" priority="182" id="{E54A0976-3D44-4A93-8C3F-EB820231A56F}">
            <xm:f>'Sprachen &amp; Rückgabewerte(2)'!$L$51=0</xm:f>
            <x14:dxf>
              <border>
                <left style="thin">
                  <color rgb="FFFF0000"/>
                </left>
                <vertical/>
                <horizontal/>
              </border>
            </x14:dxf>
          </x14:cfRule>
          <xm:sqref>AD32:AD40</xm:sqref>
        </x14:conditionalFormatting>
        <x14:conditionalFormatting xmlns:xm="http://schemas.microsoft.com/office/excel/2006/main">
          <x14:cfRule type="expression" priority="118" id="{F4ADD3F5-B27E-4149-A5C7-9C3EC0F396AF}">
            <xm:f>AND($AY$43&lt;&gt;0,'Sprachen &amp; Rückgabewerte(2)'!$I$19=TRUE)</xm:f>
            <x14:dxf>
              <border>
                <bottom style="thin">
                  <color rgb="FFFF0000"/>
                </bottom>
                <vertical/>
                <horizontal/>
              </border>
            </x14:dxf>
          </x14:cfRule>
          <x14:cfRule type="expression" priority="181" id="{19B49E5F-C619-43B5-836E-233A6CC51D1E}">
            <xm:f>'Sprachen &amp; Rückgabewerte(2)'!$L$51=0</xm:f>
            <x14:dxf>
              <border>
                <bottom style="thin">
                  <color rgb="FFFF0000"/>
                </bottom>
                <vertical/>
                <horizontal/>
              </border>
            </x14:dxf>
          </x14:cfRule>
          <xm:sqref>AD40</xm:sqref>
        </x14:conditionalFormatting>
        <x14:conditionalFormatting xmlns:xm="http://schemas.microsoft.com/office/excel/2006/main">
          <x14:cfRule type="expression" priority="180" id="{F892F4A0-0B48-429B-B62B-F10FED6F465B}">
            <xm:f>'Sprachen &amp; Rückgabewerte(2)'!$L$51=0</xm:f>
            <x14:dxf>
              <border>
                <top style="thin">
                  <color rgb="FFFF0000"/>
                </top>
                <vertical/>
                <horizontal/>
              </border>
            </x14:dxf>
          </x14:cfRule>
          <xm:sqref>AD32</xm:sqref>
        </x14:conditionalFormatting>
        <x14:conditionalFormatting xmlns:xm="http://schemas.microsoft.com/office/excel/2006/main">
          <x14:cfRule type="expression" priority="179" id="{07CC7C22-E780-48D2-BA93-44A1C111E31B}">
            <xm:f>'Sprachen &amp; Rückgabewerte(2)'!$L$52=0</xm:f>
            <x14:dxf>
              <border>
                <left style="thin">
                  <color rgb="FFFF0000"/>
                </left>
                <vertical/>
                <horizontal/>
              </border>
            </x14:dxf>
          </x14:cfRule>
          <xm:sqref>AD42:AD50</xm:sqref>
        </x14:conditionalFormatting>
        <x14:conditionalFormatting xmlns:xm="http://schemas.microsoft.com/office/excel/2006/main">
          <x14:cfRule type="expression" priority="178" id="{07EC7A22-0B66-4FCC-BAA7-E34BAEAD3C80}">
            <xm:f>'Sprachen &amp; Rückgabewerte(2)'!$L$52=0</xm:f>
            <x14:dxf>
              <border>
                <top style="thin">
                  <color rgb="FFFF0000"/>
                </top>
                <vertical/>
                <horizontal/>
              </border>
            </x14:dxf>
          </x14:cfRule>
          <xm:sqref>AD42</xm:sqref>
        </x14:conditionalFormatting>
        <x14:conditionalFormatting xmlns:xm="http://schemas.microsoft.com/office/excel/2006/main">
          <x14:cfRule type="expression" priority="177" id="{C3A3CA80-045E-4A4D-B466-C63BDAEEA191}">
            <xm:f>'Sprachen &amp; Rückgabewerte(2)'!$L$52=0</xm:f>
            <x14:dxf>
              <border>
                <bottom style="thin">
                  <color rgb="FFFF0000"/>
                </bottom>
                <vertical/>
                <horizontal/>
              </border>
            </x14:dxf>
          </x14:cfRule>
          <xm:sqref>AD50</xm:sqref>
        </x14:conditionalFormatting>
        <x14:conditionalFormatting xmlns:xm="http://schemas.microsoft.com/office/excel/2006/main">
          <x14:cfRule type="expression" priority="176" id="{C8BD79B2-4D87-4F40-9591-BEF89A0CF86C}">
            <xm:f>'Sprachen &amp; Rückgabewerte(2)'!$L$53=0</xm:f>
            <x14:dxf>
              <border>
                <left style="thin">
                  <color rgb="FFFF0000"/>
                </left>
                <vertical/>
                <horizontal/>
              </border>
            </x14:dxf>
          </x14:cfRule>
          <xm:sqref>AD52:AD58</xm:sqref>
        </x14:conditionalFormatting>
        <x14:conditionalFormatting xmlns:xm="http://schemas.microsoft.com/office/excel/2006/main">
          <x14:cfRule type="expression" priority="175" id="{54470AB8-4500-4E06-BA68-44A91C448BD4}">
            <xm:f>'Sprachen &amp; Rückgabewerte(2)'!$L$53=0</xm:f>
            <x14:dxf>
              <border>
                <top style="thin">
                  <color rgb="FFFF0000"/>
                </top>
                <vertical/>
                <horizontal/>
              </border>
            </x14:dxf>
          </x14:cfRule>
          <xm:sqref>AD52</xm:sqref>
        </x14:conditionalFormatting>
        <x14:conditionalFormatting xmlns:xm="http://schemas.microsoft.com/office/excel/2006/main">
          <x14:cfRule type="expression" priority="174" id="{4C3DE926-944E-46C7-8153-543EF0DD0FD3}">
            <xm:f>'Sprachen &amp; Rückgabewerte(2)'!$L$53=0</xm:f>
            <x14:dxf>
              <border>
                <bottom style="thin">
                  <color rgb="FFFF0000"/>
                </bottom>
                <vertical/>
                <horizontal/>
              </border>
            </x14:dxf>
          </x14:cfRule>
          <xm:sqref>AD58</xm:sqref>
        </x14:conditionalFormatting>
        <x14:conditionalFormatting xmlns:xm="http://schemas.microsoft.com/office/excel/2006/main">
          <x14:cfRule type="expression" priority="173" id="{61D9FF29-006C-4F7C-8B1F-9F4F8900170A}">
            <xm:f>'Sprachen &amp; Rückgabewerte(2)'!$L$54=0</xm:f>
            <x14:dxf>
              <border>
                <left style="thin">
                  <color rgb="FFFF0000"/>
                </left>
                <vertical/>
                <horizontal/>
              </border>
            </x14:dxf>
          </x14:cfRule>
          <xm:sqref>AD60:AD71</xm:sqref>
        </x14:conditionalFormatting>
        <x14:conditionalFormatting xmlns:xm="http://schemas.microsoft.com/office/excel/2006/main">
          <x14:cfRule type="expression" priority="172" id="{EA43284A-44DA-4D28-9E5D-ED38A5C44C67}">
            <xm:f>'Sprachen &amp; Rückgabewerte(2)'!$L$54=0</xm:f>
            <x14:dxf>
              <border>
                <top style="thin">
                  <color rgb="FFFF0000"/>
                </top>
                <vertical/>
                <horizontal/>
              </border>
            </x14:dxf>
          </x14:cfRule>
          <xm:sqref>AD60</xm:sqref>
        </x14:conditionalFormatting>
        <x14:conditionalFormatting xmlns:xm="http://schemas.microsoft.com/office/excel/2006/main">
          <x14:cfRule type="expression" priority="171" id="{CEEF607E-2BA9-4447-AA27-F6EE59EE017A}">
            <xm:f>'Sprachen &amp; Rückgabewerte(2)'!$L$54=0</xm:f>
            <x14:dxf>
              <border>
                <bottom style="thin">
                  <color rgb="FFFF0000"/>
                </bottom>
                <vertical/>
                <horizontal/>
              </border>
            </x14:dxf>
          </x14:cfRule>
          <xm:sqref>AD71</xm:sqref>
        </x14:conditionalFormatting>
        <x14:conditionalFormatting xmlns:xm="http://schemas.microsoft.com/office/excel/2006/main">
          <x14:cfRule type="expression" priority="155" id="{C919E2EF-467E-408B-9244-812EACC29598}">
            <xm:f>'Sprachen &amp; Rückgabewerte(2)'!$C$64=0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69" id="{9A8AA073-7A3A-41F3-984C-CD07423DDC9F}">
            <xm:f>'Sprachen &amp; Rückgabewerte(2)'!$L$55=0</xm:f>
            <x14:dxf>
              <border>
                <left style="thin">
                  <color rgb="FFFF0000"/>
                </left>
                <vertical/>
                <horizontal/>
              </border>
            </x14:dxf>
          </x14:cfRule>
          <xm:sqref>AD83:AD93</xm:sqref>
        </x14:conditionalFormatting>
        <x14:conditionalFormatting xmlns:xm="http://schemas.microsoft.com/office/excel/2006/main">
          <x14:cfRule type="expression" priority="168" id="{EE6D8E9E-57DD-4E26-B743-F86C2925E70E}">
            <xm:f>'Sprachen &amp; Rückgabewerte(2)'!$L$55=0</xm:f>
            <x14:dxf>
              <border>
                <top style="thin">
                  <color rgb="FFFF0000"/>
                </top>
                <vertical/>
                <horizontal/>
              </border>
            </x14:dxf>
          </x14:cfRule>
          <xm:sqref>AD83</xm:sqref>
        </x14:conditionalFormatting>
        <x14:conditionalFormatting xmlns:xm="http://schemas.microsoft.com/office/excel/2006/main">
          <x14:cfRule type="expression" priority="167" id="{641F7326-46F2-4FBC-8581-084EA92B4FBF}">
            <xm:f>'Sprachen &amp; Rückgabewerte(2)'!$L$55=0</xm:f>
            <x14:dxf>
              <border>
                <bottom style="thin">
                  <color rgb="FFFF0000"/>
                </bottom>
                <vertical/>
                <horizontal/>
              </border>
            </x14:dxf>
          </x14:cfRule>
          <xm:sqref>AD93</xm:sqref>
        </x14:conditionalFormatting>
        <x14:conditionalFormatting xmlns:xm="http://schemas.microsoft.com/office/excel/2006/main">
          <x14:cfRule type="expression" priority="145" id="{DBBC70B4-966C-4C7A-8D5B-F047AA6ECC26}">
            <xm:f>AND($AE$85="",$AE$84='Sprachen &amp; Rückgabewerte(2)'!$H$89)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2" id="{054B101B-C7E0-4CFF-90FD-28E895A24855}">
            <xm:f>$AE$84='Sprachen &amp; Rückgabewerte(2)'!$H$89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301" id="{5E72E6A6-C7B7-49A3-A721-F980283FFF0E}">
            <xm:f>'Sprachen &amp; Rückgabewerte(2)'!$C$48=FALSE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303" id="{C2C550A1-5833-44F0-BF19-A90FDE32F566}">
            <xm:f>'Sprachen &amp; Rückgabewerte(2)'!$M$62=3</xm:f>
            <x14:dxf>
              <border>
                <left style="thin">
                  <color rgb="FFFF0000"/>
                </left>
                <vertical/>
                <horizontal/>
              </border>
            </x14:dxf>
          </x14:cfRule>
          <x14:cfRule type="expression" priority="304" id="{43BA9EA6-3836-4813-8A14-B989B2CAC676}">
            <xm:f>'Sprachen &amp; Rückgabewerte(2)'!$M$62=2</xm:f>
            <x14:dxf>
              <border>
                <left style="thin">
                  <color rgb="FFFF0000"/>
                </left>
                <vertical/>
                <horizontal/>
              </border>
            </x14:dxf>
          </x14:cfRule>
          <xm:sqref>C73:C97</xm:sqref>
        </x14:conditionalFormatting>
        <x14:conditionalFormatting xmlns:xm="http://schemas.microsoft.com/office/excel/2006/main">
          <x14:cfRule type="expression" priority="305" id="{37A9BCDB-5FF7-45A0-A09C-52E13128AC7A}">
            <xm:f>'Sprachen &amp; Rückgabewerte(2)'!$M$62=2</xm:f>
            <x14:dxf>
              <border>
                <top style="thin">
                  <color rgb="FFFF0000"/>
                </top>
                <vertical/>
                <horizontal/>
              </border>
            </x14:dxf>
          </x14:cfRule>
          <x14:cfRule type="expression" priority="306" id="{BC34A859-6935-4BD7-BBCC-59358C511E0C}">
            <xm:f>'Sprachen &amp; Rückgabewerte(2)'!$M$62=3</xm:f>
            <x14:dxf>
              <border>
                <top style="thin">
                  <color rgb="FFFF0000"/>
                </top>
                <vertical/>
                <horizontal/>
              </border>
            </x14:dxf>
          </x14:cfRule>
          <xm:sqref>C73:AB73</xm:sqref>
        </x14:conditionalFormatting>
        <x14:conditionalFormatting xmlns:xm="http://schemas.microsoft.com/office/excel/2006/main">
          <x14:cfRule type="expression" priority="307" id="{AB4AC48B-C254-4C51-8F3E-5B754CF4CE58}">
            <xm:f>'Sprachen &amp; Rückgabewerte(2)'!$M$62=2</xm:f>
            <x14:dxf>
              <border>
                <right style="thin">
                  <color rgb="FFFF0000"/>
                </right>
                <vertical/>
                <horizontal/>
              </border>
            </x14:dxf>
          </x14:cfRule>
          <x14:cfRule type="expression" priority="308" id="{E958B109-F4E3-42F9-98AA-339766C413A3}">
            <xm:f>'Sprachen &amp; Rückgabewerte(2)'!$M$62=3</xm:f>
            <x14:dxf>
              <border>
                <right style="thin">
                  <color rgb="FFFF0000"/>
                </right>
                <vertical/>
                <horizontal/>
              </border>
            </x14:dxf>
          </x14:cfRule>
          <xm:sqref>AB73:AB85</xm:sqref>
        </x14:conditionalFormatting>
        <x14:conditionalFormatting xmlns:xm="http://schemas.microsoft.com/office/excel/2006/main">
          <x14:cfRule type="expression" priority="311" id="{28AFB545-2087-4CA2-BBB1-6F8B1FAF4728}">
            <xm:f>'Sprachen &amp; Rückgabewerte(2)'!$M$62=3</xm:f>
            <x14:dxf>
              <border>
                <bottom style="thin">
                  <color rgb="FFFF0000"/>
                </bottom>
                <vertical/>
                <horizontal/>
              </border>
            </x14:dxf>
          </x14:cfRule>
          <x14:cfRule type="expression" priority="312" id="{518334DB-E920-4D6A-B912-C53DB77AD35C}">
            <xm:f>'Sprachen &amp; Rückgabewerte(2)'!$M$62=2</xm:f>
            <x14:dxf>
              <border>
                <bottom style="thin">
                  <color rgb="FFFF0000"/>
                </bottom>
                <vertical/>
                <horizontal/>
              </border>
            </x14:dxf>
          </x14:cfRule>
          <xm:sqref>C97:K97</xm:sqref>
        </x14:conditionalFormatting>
        <x14:conditionalFormatting xmlns:xm="http://schemas.microsoft.com/office/excel/2006/main">
          <x14:cfRule type="expression" priority="313" id="{0EA4550F-D2EE-47AA-80E7-AE288CD877E4}">
            <xm:f>'Sprachen &amp; Rückgabewerte(2)'!$M$60=0</xm:f>
            <x14:dxf>
              <border>
                <left style="thin">
                  <color rgb="FFFF0000"/>
                </left>
                <vertical/>
                <horizontal/>
              </border>
            </x14:dxf>
          </x14:cfRule>
          <xm:sqref>M73:M85</xm:sqref>
        </x14:conditionalFormatting>
        <x14:conditionalFormatting xmlns:xm="http://schemas.microsoft.com/office/excel/2006/main">
          <x14:cfRule type="expression" priority="314" id="{90EE2645-9481-41D2-859D-F0AB4E4A2709}">
            <xm:f>'Sprachen &amp; Rückgabewerte(2)'!$M$60=0</xm:f>
            <x14:dxf>
              <border>
                <top style="thin">
                  <color rgb="FFFF0000"/>
                </top>
                <vertical/>
                <horizontal/>
              </border>
            </x14:dxf>
          </x14:cfRule>
          <xm:sqref>M73:S73</xm:sqref>
        </x14:conditionalFormatting>
        <x14:conditionalFormatting xmlns:xm="http://schemas.microsoft.com/office/excel/2006/main">
          <x14:cfRule type="expression" priority="315" id="{A496B751-21AF-4061-8397-6040FE26EB53}">
            <xm:f>'Sprachen &amp; Rückgabewerte(2)'!$M$60=0</xm:f>
            <x14:dxf>
              <border>
                <right style="thin">
                  <color rgb="FFFF0000"/>
                </right>
                <vertical/>
                <horizontal/>
              </border>
            </x14:dxf>
          </x14:cfRule>
          <xm:sqref>S73:S85</xm:sqref>
        </x14:conditionalFormatting>
        <x14:conditionalFormatting xmlns:xm="http://schemas.microsoft.com/office/excel/2006/main">
          <x14:cfRule type="expression" priority="309" id="{58C4FB12-B532-4E7A-9A2A-AE808B77F149}">
            <xm:f>'Sprachen &amp; Rückgabewerte(2)'!$M$60=0</xm:f>
            <x14:dxf>
              <border>
                <bottom style="thin">
                  <color rgb="FFFF0000"/>
                </bottom>
                <vertical/>
                <horizontal/>
              </border>
            </x14:dxf>
          </x14:cfRule>
          <xm:sqref>M85:S85</xm:sqref>
        </x14:conditionalFormatting>
        <x14:conditionalFormatting xmlns:xm="http://schemas.microsoft.com/office/excel/2006/main">
          <x14:cfRule type="expression" priority="317" id="{2E579CBC-D987-4155-87A0-E88583FFFD1C}">
            <xm:f>'Sprachen &amp; Rückgabewerte(2)'!$M$56=0</xm:f>
            <x14:dxf>
              <border>
                <left style="thin">
                  <color rgb="FFFF0000"/>
                </left>
                <vertical/>
                <horizontal/>
              </border>
            </x14:dxf>
          </x14:cfRule>
          <xm:sqref>C62:C72</xm:sqref>
        </x14:conditionalFormatting>
        <x14:conditionalFormatting xmlns:xm="http://schemas.microsoft.com/office/excel/2006/main">
          <x14:cfRule type="expression" priority="165" id="{78E2AD16-6D67-44C5-A50E-E834F66748BC}">
            <xm:f>'Sprachen &amp; Rückgabewerte(2)'!$M$56=0</xm:f>
            <x14:dxf>
              <border>
                <bottom style="thin">
                  <color rgb="FFFF0000"/>
                </bottom>
                <vertical/>
                <horizontal/>
              </border>
            </x14:dxf>
          </x14:cfRule>
          <xm:sqref>C72:AB72</xm:sqref>
        </x14:conditionalFormatting>
        <x14:conditionalFormatting xmlns:xm="http://schemas.microsoft.com/office/excel/2006/main">
          <x14:cfRule type="expression" priority="319" id="{ABE34A2F-2580-4564-A3C2-FA9FB7CB4A38}">
            <xm:f>'Sprachen &amp; Rückgabewerte(2)'!$M$56=0</xm:f>
            <x14:dxf>
              <border>
                <right style="thin">
                  <color rgb="FFFF0000"/>
                </right>
                <vertical/>
                <horizontal/>
              </border>
            </x14:dxf>
          </x14:cfRule>
          <xm:sqref>AB62:AB72</xm:sqref>
        </x14:conditionalFormatting>
        <x14:conditionalFormatting xmlns:xm="http://schemas.microsoft.com/office/excel/2006/main">
          <x14:cfRule type="expression" priority="320" id="{CDAF4220-1B42-46EB-AA5D-5A991E13A423}">
            <xm:f>'Sprachen &amp; Rückgabewerte(2)'!$M$56=0</xm:f>
            <x14:dxf>
              <border>
                <top style="thin">
                  <color rgb="FFFF0000"/>
                </top>
                <vertical/>
                <horizontal/>
              </border>
            </x14:dxf>
          </x14:cfRule>
          <xm:sqref>C62:AB62</xm:sqref>
        </x14:conditionalFormatting>
        <x14:conditionalFormatting xmlns:xm="http://schemas.microsoft.com/office/excel/2006/main">
          <x14:cfRule type="expression" priority="150" id="{09A521F0-E152-4D98-B765-EC446A351043}">
            <xm:f>'Sprachen &amp; Rückgabewerte(2)'!$M$66=FALSE</xm:f>
            <x14:dxf>
              <border>
                <left style="thin">
                  <color rgb="FFFF0000"/>
                </left>
                <vertical/>
                <horizontal/>
              </border>
            </x14:dxf>
          </x14:cfRule>
          <xm:sqref>AD73:AD81</xm:sqref>
        </x14:conditionalFormatting>
        <x14:conditionalFormatting xmlns:xm="http://schemas.microsoft.com/office/excel/2006/main">
          <x14:cfRule type="expression" priority="149" id="{727AE423-DAF3-4F1B-B00E-CC258452410B}">
            <xm:f>'Sprachen &amp; Rückgabewerte(2)'!$M$66=FALSE</xm:f>
            <x14:dxf>
              <border>
                <top style="thin">
                  <color rgb="FFFF0000"/>
                </top>
                <vertical/>
                <horizontal/>
              </border>
            </x14:dxf>
          </x14:cfRule>
          <xm:sqref>AD73:AT73</xm:sqref>
        </x14:conditionalFormatting>
        <x14:conditionalFormatting xmlns:xm="http://schemas.microsoft.com/office/excel/2006/main">
          <x14:cfRule type="expression" priority="148" id="{C471C84B-F010-4308-85DF-8F3857A703EA}">
            <xm:f>'Sprachen &amp; Rückgabewerte(2)'!$M$66=FALSE</xm:f>
            <x14:dxf>
              <border>
                <right style="thin">
                  <color rgb="FFFF0000"/>
                </right>
                <vertical/>
                <horizontal/>
              </border>
            </x14:dxf>
          </x14:cfRule>
          <xm:sqref>AT73:AT81</xm:sqref>
        </x14:conditionalFormatting>
        <x14:conditionalFormatting xmlns:xm="http://schemas.microsoft.com/office/excel/2006/main">
          <x14:cfRule type="expression" priority="147" id="{4DF313C8-DD54-4EE4-A8FE-2E5CC2C47F8E}">
            <xm:f>'Sprachen &amp; Rückgabewerte(2)'!$M$66=FALSE</xm:f>
            <x14:dxf>
              <border>
                <bottom style="thin">
                  <color rgb="FFFF0000"/>
                </bottom>
                <vertical/>
                <horizontal/>
              </border>
            </x14:dxf>
          </x14:cfRule>
          <xm:sqref>AD81:AT81</xm:sqref>
        </x14:conditionalFormatting>
        <x14:conditionalFormatting xmlns:xm="http://schemas.microsoft.com/office/excel/2006/main">
          <x14:cfRule type="expression" priority="124" id="{93C4DC76-B2D6-4461-8118-F754B457F6AD}">
            <xm:f>'Sprachen &amp; Rückgabewerte(2)'!$I$19=FALSE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31" id="{298D08E5-F80C-481D-B350-6D1DCF111D58}">
            <xm:f>'Sprachen &amp; Rückgabewerte(2)'!$I$13=FALSE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123" id="{8A04DEA0-48F3-4BA2-9528-60177B2D03AF}">
            <xm:f>AND($AY$43&lt;&gt;0,'Sprachen &amp; Rückgabewerte(2)'!$I$19=TRUE)</xm:f>
            <x14:dxf>
              <border>
                <top style="thin">
                  <color rgb="FFFF0000"/>
                </top>
                <vertical/>
                <horizontal/>
              </border>
            </x14:dxf>
          </x14:cfRule>
          <x14:cfRule type="expression" priority="128" id="{EDDAF953-7457-4E37-A050-43A501D75F3B}">
            <xm:f>'Sprachen &amp; Rückgabewerte(2)'!$I$19=FALSE</xm:f>
            <x14:dxf>
              <border>
                <top/>
                <vertical/>
                <horizontal/>
              </border>
            </x14:dxf>
          </x14:cfRule>
          <xm:sqref>AU32:AV32</xm:sqref>
        </x14:conditionalFormatting>
        <x14:conditionalFormatting xmlns:xm="http://schemas.microsoft.com/office/excel/2006/main">
          <x14:cfRule type="expression" priority="127" id="{A5343D38-A8FA-4E88-9483-86E1FE0EFCAA}">
            <xm:f>AND($AY$43&lt;&gt;0,'Sprachen &amp; Rückgabewerte(2)'!$I$19=TRUE)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26" id="{6902C3FD-6E56-49F4-A5EC-40318E7FA33A}">
            <xm:f>AND($AY$43&lt;&gt;0,'Sprachen &amp; Rückgabewerte(2)'!$I$19=TRUE)</xm:f>
            <x14:dxf>
              <border>
                <right style="thin">
                  <color rgb="FFFF0000"/>
                </right>
                <vertical/>
                <horizontal/>
              </border>
            </x14:dxf>
          </x14:cfRule>
          <xm:sqref>BA33:BA43</xm:sqref>
        </x14:conditionalFormatting>
        <x14:conditionalFormatting xmlns:xm="http://schemas.microsoft.com/office/excel/2006/main">
          <x14:cfRule type="expression" priority="125" id="{F10A3A16-BAAE-4294-8CB3-83FFC31111B1}">
            <xm:f>AND($AY$43&lt;&gt;0,'Sprachen &amp; Rückgabewerte(2)'!$I$19=TRUE)</xm:f>
            <x14:dxf>
              <border>
                <bottom style="thin">
                  <color rgb="FFFF0000"/>
                </bottom>
                <vertical/>
                <horizontal/>
              </border>
            </x14:dxf>
          </x14:cfRule>
          <xm:sqref>AW43:BA43</xm:sqref>
        </x14:conditionalFormatting>
        <x14:conditionalFormatting xmlns:xm="http://schemas.microsoft.com/office/excel/2006/main">
          <x14:cfRule type="expression" priority="129" id="{BBBED7C1-4690-406E-AE63-514679635FD8}">
            <xm:f>AND($AY$43&lt;&gt;0,'Sprachen &amp; Rückgabewerte(2)'!$I$19=TRUE)</xm:f>
            <x14:dxf>
              <border>
                <left style="thin">
                  <color rgb="FFFF0000"/>
                </left>
                <vertical/>
                <horizontal/>
              </border>
            </x14:dxf>
          </x14:cfRule>
          <xm:sqref>AW33:AW43</xm:sqref>
        </x14:conditionalFormatting>
        <x14:conditionalFormatting xmlns:xm="http://schemas.microsoft.com/office/excel/2006/main">
          <x14:cfRule type="expression" priority="122" id="{BE7F71B3-36E4-4AC2-98F6-5CB8E4EE249F}">
            <xm:f>AND($AY$43&lt;&gt;0,'Sprachen &amp; Rückgabewerte(2)'!$I$19=TRUE)</xm:f>
            <x14:dxf>
              <border>
                <top style="thin">
                  <color rgb="FFFF0000"/>
                </top>
                <vertical/>
                <horizontal/>
              </border>
            </x14:dxf>
          </x14:cfRule>
          <xm:sqref>AD32:AT32</xm:sqref>
        </x14:conditionalFormatting>
        <x14:conditionalFormatting xmlns:xm="http://schemas.microsoft.com/office/excel/2006/main">
          <x14:cfRule type="expression" priority="120" id="{6FFFDF8A-39B8-4AC1-9F05-C039253EA5E8}">
            <xm:f>AND($AY$43&lt;&gt;0,'Sprachen &amp; Rückgabewerte(2)'!$I$19=TRUE)</xm:f>
            <x14:dxf>
              <border>
                <bottom style="thin">
                  <color rgb="FFFF0000"/>
                </bottom>
                <vertical/>
                <horizontal/>
              </border>
            </x14:dxf>
          </x14:cfRule>
          <xm:sqref>AD40:AT40</xm:sqref>
        </x14:conditionalFormatting>
        <x14:conditionalFormatting xmlns:xm="http://schemas.microsoft.com/office/excel/2006/main">
          <x14:cfRule type="expression" priority="117" id="{0D18A18F-BF9C-4EF5-9391-B229AD333713}">
            <xm:f>AND('Sprachen &amp; Rückgabewerte(2)'!$I$50=TRUE,'Sprachen &amp; Rückgabewerte(2)'!$C$95&lt;&gt;0)</xm:f>
            <x14:dxf>
              <border>
                <top style="thin">
                  <color rgb="FFFF0000"/>
                </top>
                <vertical/>
                <horizontal/>
              </border>
            </x14:dxf>
          </x14:cfRule>
          <xm:sqref>B101:AU101</xm:sqref>
        </x14:conditionalFormatting>
        <x14:conditionalFormatting xmlns:xm="http://schemas.microsoft.com/office/excel/2006/main">
          <x14:cfRule type="expression" priority="116" id="{A7977DFC-5A91-4CB2-93FF-BA326C8181EF}">
            <xm:f>AND('Sprachen &amp; Rückgabewerte(2)'!$I$50=TRUE,'Sprachen &amp; Rückgabewerte(2)'!$C$95&lt;&gt;0)</xm:f>
            <x14:dxf>
              <border>
                <right style="thin">
                  <color rgb="FFFF0000"/>
                </right>
                <vertical/>
                <horizontal/>
              </border>
            </x14:dxf>
          </x14:cfRule>
          <xm:sqref>AU101:AU136</xm:sqref>
        </x14:conditionalFormatting>
        <x14:conditionalFormatting xmlns:xm="http://schemas.microsoft.com/office/excel/2006/main">
          <x14:cfRule type="expression" priority="115" id="{29466A6D-20A8-41DD-BABB-0B9FC56EA9E1}">
            <xm:f>AND('Sprachen &amp; Rückgabewerte(2)'!$I$50=TRUE,'Sprachen &amp; Rückgabewerte(2)'!$C$95&lt;&gt;0)</xm:f>
            <x14:dxf>
              <border>
                <bottom style="thin">
                  <color rgb="FFFF0000"/>
                </bottom>
                <vertical/>
                <horizontal/>
              </border>
            </x14:dxf>
          </x14:cfRule>
          <xm:sqref>B136:AU136</xm:sqref>
        </x14:conditionalFormatting>
        <x14:conditionalFormatting xmlns:xm="http://schemas.microsoft.com/office/excel/2006/main">
          <x14:cfRule type="expression" priority="114" id="{C21FC14F-AC02-4CDF-A35E-B4620A91159B}">
            <xm:f>AND('Sprachen &amp; Rückgabewerte(2)'!$I$50=TRUE,'Sprachen &amp; Rückgabewerte(2)'!$C$95&lt;&gt;0)</xm:f>
            <x14:dxf>
              <border>
                <left style="thin">
                  <color rgb="FFFF0000"/>
                </left>
                <vertical/>
                <horizontal/>
              </border>
            </x14:dxf>
          </x14:cfRule>
          <xm:sqref>B101:B136</xm:sqref>
        </x14:conditionalFormatting>
        <x14:conditionalFormatting xmlns:xm="http://schemas.microsoft.com/office/excel/2006/main">
          <x14:cfRule type="expression" priority="113" id="{AE5FC01A-C081-4F7F-B860-6E2B902B2A27}">
            <xm:f>AND('Sprachen &amp; Rückgabewerte(2)'!$I$50=TRUE,'Sprachen &amp; Rückgabewerte(2)'!$C$95&lt;&gt;0)</xm:f>
            <x14:dxf>
              <border>
                <top style="thin">
                  <color rgb="FFFF0000"/>
                </top>
                <bottom/>
                <vertical/>
                <horizontal/>
              </border>
            </x14:dxf>
          </x14:cfRule>
          <xm:sqref>AV101</xm:sqref>
        </x14:conditionalFormatting>
        <x14:conditionalFormatting xmlns:xm="http://schemas.microsoft.com/office/excel/2006/main">
          <x14:cfRule type="expression" priority="109" id="{18E0EBE7-87A4-4923-A478-08F1283920D2}">
            <xm:f>'Sprachen &amp; Rückgabewerte(2)'!$I$50=FALSE</xm:f>
            <x14:dxf>
              <border>
                <right/>
                <vertical/>
                <horizontal/>
              </border>
            </x14:dxf>
          </x14:cfRule>
          <x14:cfRule type="expression" priority="112" id="{2693EB00-719B-437F-9750-4B5A4C645106}">
            <xm:f>AND('Sprachen &amp; Rückgabewerte(2)'!$I$50=TRUE,'Sprachen &amp; Rückgabewerte(2)'!$C$95&lt;&gt;0)</xm:f>
            <x14:dxf>
              <border>
                <right style="thin">
                  <color rgb="FFFF0000"/>
                </right>
                <vertical/>
                <horizontal/>
              </border>
            </x14:dxf>
          </x14:cfRule>
          <xm:sqref>AV84:AV100</xm:sqref>
        </x14:conditionalFormatting>
        <x14:conditionalFormatting xmlns:xm="http://schemas.microsoft.com/office/excel/2006/main">
          <x14:cfRule type="expression" priority="110" id="{DC86A59F-A9CA-4F25-8B2C-FAD16897D0AD}">
            <xm:f>'Sprachen &amp; Rückgabewerte(2)'!$I$50=FALSE</xm:f>
            <x14:dxf>
              <border>
                <top/>
                <vertical/>
                <horizontal/>
              </border>
            </x14:dxf>
          </x14:cfRule>
          <x14:cfRule type="expression" priority="111" id="{920963C5-D661-4A72-85F5-D4A6D4CC1E7F}">
            <xm:f>AND('Sprachen &amp; Rückgabewerte(2)'!$I$50=TRUE,'Sprachen &amp; Rückgabewerte(2)'!$C$95&lt;&gt;0)</xm:f>
            <x14:dxf>
              <border>
                <top style="thin">
                  <color rgb="FFFF0000"/>
                </top>
                <vertical/>
                <horizontal/>
              </border>
            </x14:dxf>
          </x14:cfRule>
          <xm:sqref>AU84:AV84</xm:sqref>
        </x14:conditionalFormatting>
        <x14:conditionalFormatting xmlns:xm="http://schemas.microsoft.com/office/excel/2006/main">
          <x14:cfRule type="expression" priority="108" id="{8AFF8E82-47E9-4508-8829-F9209CDE9ACA}">
            <xm:f>'Sprachen &amp; Rückgabewerte(2)'!$I$50=FALSE</xm:f>
            <x14:dxf>
              <border>
                <bottom/>
                <vertical/>
                <horizontal/>
              </border>
            </x14:dxf>
          </x14:cfRule>
          <xm:sqref>AV100</xm:sqref>
        </x14:conditionalFormatting>
        <x14:conditionalFormatting xmlns:xm="http://schemas.microsoft.com/office/excel/2006/main">
          <x14:cfRule type="expression" priority="97" id="{2A24D3C0-5A02-4A2D-9DC2-99CCFA2F97E1}">
            <xm:f>'Sprachen &amp; Rückgabewerte(2)'!$S$41=3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1" id="{5B3FE646-9771-49D8-A2B4-670AABC5922C}">
            <xm:f>'Sprachen &amp; Rückgabewerte(2)'!$S$41=2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2" id="{C3DCFBEB-96E8-42CA-974F-C92E7636F0A6}">
            <xm:f>'Sprachen &amp; Rückgabewerte(2)'!$S$41=1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23" id="{F7000924-28EC-481C-B859-08B58FB83A2D}">
            <xm:f>'Sprachen &amp; Rückgabewerte(2)'!$S$41=3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4" id="{80863BAA-4D91-4B5C-AA09-6745C1977C3B}">
            <xm:f>'Sprachen &amp; Rückgabewerte(2)'!$S$41=2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25" id="{13D11883-F858-4165-9FC8-B7323833E90C}">
            <xm:f>'Sprachen &amp; Rückgabewerte(2)'!$S$41=3</xm:f>
            <x14:dxf>
              <font>
                <b/>
                <i val="0"/>
                <color theme="1"/>
              </font>
            </x14:dxf>
          </x14:cfRule>
          <x14:cfRule type="expression" priority="326" id="{4C22B0EC-3A0D-4C2C-B325-23DD71C95CE9}">
            <xm:f>'Sprachen &amp; Rückgabewerte(2)'!$S$41=3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27" id="{EF96CFA9-9C54-43CA-9C20-B45AB1190E76}">
            <xm:f>'Sprachen &amp; Rückgabewerte(2)'!$S$41=3</xm:f>
            <x14:dxf>
              <font>
                <b/>
                <i val="0"/>
                <color theme="1"/>
              </font>
            </x14:dxf>
          </x14:cfRule>
          <xm:sqref>L46</xm:sqref>
        </x14:conditionalFormatting>
        <x14:conditionalFormatting xmlns:xm="http://schemas.microsoft.com/office/excel/2006/main">
          <x14:cfRule type="expression" priority="328" id="{885F3CB4-76D4-41FA-8C10-37D01656F490}">
            <xm:f>'Sprachen &amp; Rückgabewerte(2)'!$S$41=2</xm:f>
            <x14:dxf>
              <font>
                <b/>
                <i val="0"/>
                <color theme="1"/>
              </font>
            </x14:dxf>
          </x14:cfRule>
          <x14:cfRule type="expression" priority="329" id="{C53B2059-614E-4551-A4F5-EDA96CBFB29C}">
            <xm:f>'Sprachen &amp; Rückgabewerte(2)'!$S$41=3</xm:f>
            <x14:dxf>
              <font>
                <b/>
                <i val="0"/>
                <color theme="1"/>
              </font>
            </x14:dxf>
          </x14:cfRule>
          <xm:sqref>L47</xm:sqref>
        </x14:conditionalFormatting>
        <x14:conditionalFormatting xmlns:xm="http://schemas.microsoft.com/office/excel/2006/main">
          <x14:cfRule type="expression" priority="330" id="{4AB72DE7-53CA-4894-A881-F9B293A5976E}">
            <xm:f>'Sprachen &amp; Rückgabewerte(2)'!$S$41=3</xm:f>
            <x14:dxf>
              <font>
                <b/>
                <i val="0"/>
                <color theme="1"/>
              </font>
            </x14:dxf>
          </x14:cfRule>
          <x14:cfRule type="expression" priority="331" id="{D80D63FD-C387-408B-B3E0-5589A63DCF54}">
            <xm:f>'Sprachen &amp; Rückgabewerte(2)'!$S$41=2</xm:f>
            <x14:dxf>
              <font>
                <b/>
                <i val="0"/>
                <color theme="1"/>
              </font>
            </x14:dxf>
          </x14:cfRule>
          <x14:cfRule type="expression" priority="332" id="{6B72B722-8986-4ABC-946D-104744B5537C}">
            <xm:f>'Sprachen &amp; Rückgabewerte(2)'!$S$41=1</xm:f>
            <x14:dxf>
              <font>
                <b/>
                <i val="0"/>
                <color theme="1"/>
              </font>
            </x14:dxf>
          </x14:cfRule>
          <xm:sqref>L48</xm:sqref>
        </x14:conditionalFormatting>
        <x14:conditionalFormatting xmlns:xm="http://schemas.microsoft.com/office/excel/2006/main">
          <x14:cfRule type="expression" priority="105" id="{556949BA-8973-4466-A0B4-55F121719A92}">
            <xm:f>'Sprachen &amp; Rückgabewerte(2)'!$M$71=0</xm:f>
            <x14:dxf>
              <border>
                <top style="thin">
                  <color rgb="FFFF0000"/>
                </top>
                <vertical/>
                <horizontal/>
              </border>
            </x14:dxf>
          </x14:cfRule>
          <xm:sqref>AW45:AX45</xm:sqref>
        </x14:conditionalFormatting>
        <x14:conditionalFormatting xmlns:xm="http://schemas.microsoft.com/office/excel/2006/main">
          <x14:cfRule type="expression" priority="104" id="{86330C21-3CB7-4897-B9CD-41A0B3287D34}">
            <xm:f>'Sprachen &amp; Rückgabewerte(2)'!$M$71=0</xm:f>
            <x14:dxf>
              <border>
                <right style="thin">
                  <color rgb="FFFF0000"/>
                </right>
                <vertical/>
                <horizontal/>
              </border>
            </x14:dxf>
          </x14:cfRule>
          <xm:sqref>AX45:AX47 AW48:AX48 AX49</xm:sqref>
        </x14:conditionalFormatting>
        <x14:conditionalFormatting xmlns:xm="http://schemas.microsoft.com/office/excel/2006/main">
          <x14:cfRule type="expression" priority="103" id="{19CA867C-776A-4E4F-A0D0-8254BABB3761}">
            <xm:f>'Sprachen &amp; Rückgabewerte(2)'!$M$71=0</xm:f>
            <x14:dxf>
              <border>
                <bottom style="thin">
                  <color rgb="FFFF0000"/>
                </bottom>
                <vertical/>
                <horizontal/>
              </border>
            </x14:dxf>
          </x14:cfRule>
          <xm:sqref>AW49:AX49</xm:sqref>
        </x14:conditionalFormatting>
        <x14:conditionalFormatting xmlns:xm="http://schemas.microsoft.com/office/excel/2006/main">
          <x14:cfRule type="expression" priority="102" id="{D0F3B451-E175-4FC0-BD02-8FA485D4DE8D}">
            <xm:f>'Sprachen &amp; Rückgabewerte(2)'!$M$71=0</xm:f>
            <x14:dxf>
              <border>
                <left style="thin">
                  <color rgb="FFFF0000"/>
                </left>
                <vertical/>
                <horizontal/>
              </border>
            </x14:dxf>
          </x14:cfRule>
          <xm:sqref>AW49 AW48:AX48 AW45:AW47</xm:sqref>
        </x14:conditionalFormatting>
        <x14:conditionalFormatting xmlns:xm="http://schemas.microsoft.com/office/excel/2006/main">
          <x14:cfRule type="expression" priority="99" id="{AB76EB34-0464-4271-B409-3D22B72F4BF7}">
            <xm:f>'Sprachen &amp; Rückgabewerte(2)'!$L$71=1</xm:f>
            <x14:dxf>
              <font>
                <color theme="0" tint="-0.14996795556505021"/>
              </font>
              <fill>
                <patternFill>
                  <bgColor theme="0" tint="-0.14996795556505021"/>
                </patternFill>
              </fill>
              <border>
                <top/>
                <vertical/>
                <horizontal/>
              </border>
            </x14:dxf>
          </x14:cfRule>
          <x14:cfRule type="expression" priority="101" id="{2D41F3D0-6175-4491-BA6E-73F45212A22D}">
            <xm:f>'Sprachen &amp; Rückgabewerte(2)'!$M$71=0</xm:f>
            <x14:dxf>
              <border>
                <top style="thin">
                  <color rgb="FFFF0000"/>
                </top>
                <vertical/>
                <horizontal/>
              </border>
            </x14:dxf>
          </x14:cfRule>
          <xm:sqref>AU45:AV45</xm:sqref>
        </x14:conditionalFormatting>
        <x14:conditionalFormatting xmlns:xm="http://schemas.microsoft.com/office/excel/2006/main">
          <x14:cfRule type="expression" priority="100" id="{601B4023-EF5D-48FB-9368-952DDEA30F36}">
            <xm:f>'Sprachen &amp; Rückgabewerte(2)'!$L$71=1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79" id="{0AFD4907-1E6D-4E96-9AE7-CDF5D193EA2A}">
            <xm:f>'Sprachen &amp; Rückgabewerte(2)'!$I$50=FALSE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78" id="{E66F074E-BC9A-4511-AC02-1E27A1F7A79D}">
            <xm:f>'Sprachen &amp; Rückgabewerte(2)'!$I$50=FALSE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77" id="{5B032824-A4DB-41B4-8BB2-7A4201FBEF14}">
            <xm:f>$AX$19='Sprachen &amp; Rückgabewerte(2)'!$H$155</xm:f>
            <x14:dxf>
              <font>
                <color rgb="FFFF0000"/>
              </font>
            </x14:dxf>
          </x14:cfRule>
          <xm:sqref>AX19:BA20</xm:sqref>
        </x14:conditionalFormatting>
        <x14:conditionalFormatting xmlns:xm="http://schemas.microsoft.com/office/excel/2006/main">
          <x14:cfRule type="expression" priority="74" id="{DFADAD5A-52F0-4404-B42B-5DD2C9E62ED9}">
            <xm:f>$A$9='Sprachen &amp; Rückgabewerte(2)'!$H$132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70" id="{85303681-1B66-4880-82E1-05E28AFEF503}">
            <xm:f>$AN$80&lt;&gt;'Sprachen &amp; Rückgabewerte(2)'!$H$85</xm:f>
            <x14:dxf>
              <border>
                <left style="thin">
                  <color auto="1"/>
                </left>
                <top style="thin">
                  <color auto="1"/>
                </top>
                <vertical/>
                <horizontal/>
              </border>
            </x14:dxf>
          </x14:cfRule>
          <xm:sqref>AW76</xm:sqref>
        </x14:conditionalFormatting>
        <x14:conditionalFormatting xmlns:xm="http://schemas.microsoft.com/office/excel/2006/main">
          <x14:cfRule type="expression" priority="69" id="{CF822753-2C73-4D3C-BD55-87F83D1438B8}">
            <xm:f>$AN$80&lt;&gt;'Sprachen &amp; Rückgabewerte(2)'!$H$85</xm:f>
            <x14:dxf>
              <border>
                <left style="thin">
                  <color auto="1"/>
                </left>
                <vertical/>
                <horizontal/>
              </border>
            </x14:dxf>
          </x14:cfRule>
          <xm:sqref>AW77</xm:sqref>
        </x14:conditionalFormatting>
        <x14:conditionalFormatting xmlns:xm="http://schemas.microsoft.com/office/excel/2006/main">
          <x14:cfRule type="expression" priority="68" id="{5399C7C4-6BC7-40F3-A15E-A48A3DD870B9}">
            <xm:f>$AN$80&lt;&gt;'Sprachen &amp; Rückgabewerte(2)'!$H$85</xm:f>
            <x14:dxf>
              <border>
                <left style="thin">
                  <color auto="1"/>
                </left>
                <vertical/>
                <horizontal/>
              </border>
            </x14:dxf>
          </x14:cfRule>
          <xm:sqref>AW78</xm:sqref>
        </x14:conditionalFormatting>
        <x14:conditionalFormatting xmlns:xm="http://schemas.microsoft.com/office/excel/2006/main">
          <x14:cfRule type="expression" priority="67" id="{B6164650-A986-4FA0-BDA5-DC310F73C991}">
            <xm:f>$AN$80&lt;&gt;'Sprachen &amp; Rückgabewerte(2)'!$H$85</xm:f>
            <x14:dxf>
              <border>
                <left style="thin">
                  <color auto="1"/>
                </left>
                <vertical/>
                <horizontal/>
              </border>
            </x14:dxf>
          </x14:cfRule>
          <xm:sqref>AW79</xm:sqref>
        </x14:conditionalFormatting>
        <x14:conditionalFormatting xmlns:xm="http://schemas.microsoft.com/office/excel/2006/main">
          <x14:cfRule type="expression" priority="66" id="{FA6B6CB5-A6DB-44C7-921C-9E053DD7ADCE}">
            <xm:f>$AN$80&lt;&gt;'Sprachen &amp; Rückgabewerte(2)'!$H$85</xm:f>
            <x14:dxf>
              <border>
                <left style="thin">
                  <color auto="1"/>
                </left>
                <bottom style="thin">
                  <color auto="1"/>
                </bottom>
                <vertical/>
                <horizontal/>
              </border>
            </x14:dxf>
          </x14:cfRule>
          <xm:sqref>AW80</xm:sqref>
        </x14:conditionalFormatting>
        <x14:conditionalFormatting xmlns:xm="http://schemas.microsoft.com/office/excel/2006/main">
          <x14:cfRule type="expression" priority="65" id="{74043855-77F0-4F36-BA46-1AA6BB3E0353}">
            <xm:f>$AN$80&lt;&gt;'Sprachen &amp; Rückgabewerte(2)'!$H$86</xm:f>
            <x14:dxf>
              <border>
                <right style="thin">
                  <color auto="1"/>
                </right>
                <top style="thin">
                  <color auto="1"/>
                </top>
                <vertical/>
                <horizontal/>
              </border>
            </x14:dxf>
          </x14:cfRule>
          <xm:sqref>AX76</xm:sqref>
        </x14:conditionalFormatting>
        <x14:conditionalFormatting xmlns:xm="http://schemas.microsoft.com/office/excel/2006/main">
          <x14:cfRule type="expression" priority="64" id="{17361655-81F2-40B8-A2BC-BE368B2F6635}">
            <xm:f>$AN$80&lt;&gt;'Sprachen &amp; Rückgabewerte(2)'!$H$86</xm:f>
            <x14:dxf>
              <border>
                <right style="thin">
                  <color auto="1"/>
                </right>
                <vertical/>
                <horizontal/>
              </border>
            </x14:dxf>
          </x14:cfRule>
          <xm:sqref>AX77</xm:sqref>
        </x14:conditionalFormatting>
        <x14:conditionalFormatting xmlns:xm="http://schemas.microsoft.com/office/excel/2006/main">
          <x14:cfRule type="expression" priority="63" id="{815E8470-46DA-409F-8362-E6134D1C018F}">
            <xm:f>$AN$80&lt;&gt;'Sprachen &amp; Rückgabewerte(2)'!$H$86</xm:f>
            <x14:dxf>
              <border>
                <right style="thin">
                  <color auto="1"/>
                </right>
                <vertical/>
                <horizontal/>
              </border>
            </x14:dxf>
          </x14:cfRule>
          <xm:sqref>AX78</xm:sqref>
        </x14:conditionalFormatting>
        <x14:conditionalFormatting xmlns:xm="http://schemas.microsoft.com/office/excel/2006/main">
          <x14:cfRule type="expression" priority="62" id="{324A6815-F367-433F-96C6-DF1E1396D3B9}">
            <xm:f>$AN$80&lt;&gt;'Sprachen &amp; Rückgabewerte(2)'!$H$86</xm:f>
            <x14:dxf>
              <border>
                <right style="thin">
                  <color auto="1"/>
                </right>
                <vertical/>
                <horizontal/>
              </border>
            </x14:dxf>
          </x14:cfRule>
          <xm:sqref>AX79</xm:sqref>
        </x14:conditionalFormatting>
        <x14:conditionalFormatting xmlns:xm="http://schemas.microsoft.com/office/excel/2006/main">
          <x14:cfRule type="expression" priority="61" id="{253521AA-6601-4465-8CB2-6232D700260F}">
            <xm:f>$AN$80&lt;&gt;'Sprachen &amp; Rückgabewerte(2)'!$H$86</xm:f>
            <x14:dxf>
              <border>
                <right style="thin">
                  <color auto="1"/>
                </right>
                <bottom style="thin">
                  <color auto="1"/>
                </bottom>
                <vertical/>
                <horizontal/>
              </border>
            </x14:dxf>
          </x14:cfRule>
          <xm:sqref>AX80</xm:sqref>
        </x14:conditionalFormatting>
        <x14:conditionalFormatting xmlns:xm="http://schemas.microsoft.com/office/excel/2006/main">
          <x14:cfRule type="expression" priority="52" id="{710F162B-2A84-4AFB-B86E-B9EA5557EA24}">
            <xm:f>'Sprachen &amp; Rückgabewerte(2)'!$L$50=0</xm:f>
            <x14:dxf>
              <border>
                <right style="thin">
                  <color rgb="FFFF0000"/>
                </right>
                <bottom style="thin">
                  <color rgb="FFFF0000"/>
                </bottom>
                <vertical/>
                <horizontal/>
              </border>
            </x14:dxf>
          </x14:cfRule>
          <xm:sqref>Q59:AB60</xm:sqref>
        </x14:conditionalFormatting>
        <x14:conditionalFormatting xmlns:xm="http://schemas.microsoft.com/office/excel/2006/main">
          <x14:cfRule type="expression" priority="48" id="{C90B7229-5E75-430D-9528-ED68F26F3C7B}">
            <xm:f>'Sprachen &amp; Rückgabewerte(2)'!$M$59=0</xm:f>
            <x14:dxf>
              <border>
                <top style="thin">
                  <color rgb="FFFF0000"/>
                </top>
                <vertical/>
                <horizontal/>
              </border>
            </x14:dxf>
          </x14:cfRule>
          <xm:sqref>M86</xm:sqref>
        </x14:conditionalFormatting>
        <x14:conditionalFormatting xmlns:xm="http://schemas.microsoft.com/office/excel/2006/main">
          <x14:cfRule type="expression" priority="47" id="{D8C93CEA-29E2-46F1-9D8A-FE9014C92FB5}">
            <xm:f>'Sprachen &amp; Rückgabewerte(2)'!$M$59=0</xm:f>
            <x14:dxf>
              <border>
                <bottom style="thin">
                  <color rgb="FFFF0000"/>
                </bottom>
                <vertical/>
                <horizontal/>
              </border>
            </x14:dxf>
          </x14:cfRule>
          <xm:sqref>M97</xm:sqref>
        </x14:conditionalFormatting>
        <x14:conditionalFormatting xmlns:xm="http://schemas.microsoft.com/office/excel/2006/main">
          <x14:cfRule type="expression" priority="49" id="{85570705-54B1-4A31-AA5D-9D34C00A4DF7}">
            <xm:f>'Sprachen &amp; Rückgabewerte(2)'!$M$62=2</xm:f>
            <x14:dxf>
              <border>
                <left style="thin">
                  <color rgb="FFFF0000"/>
                </left>
                <vertical/>
                <horizontal/>
              </border>
            </x14:dxf>
          </x14:cfRule>
          <x14:cfRule type="expression" priority="50" id="{4F457B2C-2778-4004-B2D1-963A9636FA4C}">
            <xm:f>'Sprachen &amp; Rückgabewerte(2)'!$M$62=3</xm:f>
            <x14:dxf>
              <border>
                <left style="thin">
                  <color rgb="FFFF0000"/>
                </left>
                <vertical/>
                <horizontal/>
              </border>
            </x14:dxf>
          </x14:cfRule>
          <x14:cfRule type="expression" priority="51" id="{8C95ED8D-3809-435B-9999-B8FEF0DEA11C}">
            <xm:f>'Sprachen &amp; Rückgabewerte(2)'!$M$59=0</xm:f>
            <x14:dxf>
              <border>
                <left style="thin">
                  <color rgb="FFFF0000"/>
                </left>
                <vertical/>
                <horizontal/>
              </border>
            </x14:dxf>
          </x14:cfRule>
          <xm:sqref>M86:M97</xm:sqref>
        </x14:conditionalFormatting>
        <x14:conditionalFormatting xmlns:xm="http://schemas.microsoft.com/office/excel/2006/main">
          <x14:cfRule type="expression" priority="191" id="{6F2DF2C9-A045-47BE-BF8B-A23FD1F40009}">
            <xm:f>'Sprachen &amp; Rückgabewerte(2)'!$M$62=2</xm:f>
            <x14:dxf>
              <border>
                <bottom style="thin">
                  <color rgb="FFFF0000"/>
                </bottom>
                <vertical/>
                <horizontal/>
              </border>
            </x14:dxf>
          </x14:cfRule>
          <x14:cfRule type="expression" priority="225" id="{6DDCC54B-776D-4FD6-AA60-6B3DAC00FEBB}">
            <xm:f>'Sprachen &amp; Rückgabewerte(2)'!$M$62=3</xm:f>
            <x14:dxf>
              <border>
                <bottom style="thin">
                  <color rgb="FFFF0000"/>
                </bottom>
                <vertical/>
                <horizontal/>
              </border>
            </x14:dxf>
          </x14:cfRule>
          <xm:sqref>M85:AB85</xm:sqref>
        </x14:conditionalFormatting>
        <x14:conditionalFormatting xmlns:xm="http://schemas.microsoft.com/office/excel/2006/main">
          <x14:cfRule type="expression" priority="45" id="{7278D9B1-199E-4D79-BFC4-744CE9E64DB8}">
            <xm:f>'Sprachen &amp; Rückgabewerte(2)'!$M$62=3</xm:f>
            <x14:dxf>
              <border>
                <bottom style="thin">
                  <color rgb="FFFF0000"/>
                </bottom>
                <vertical/>
                <horizontal/>
              </border>
            </x14:dxf>
          </x14:cfRule>
          <x14:cfRule type="expression" priority="46" id="{E05E5023-4B2E-40A0-9690-7D744EAB02BF}">
            <xm:f>'Sprachen &amp; Rückgabewerte(2)'!$M$62=2</xm:f>
            <x14:dxf>
              <border>
                <bottom style="thin">
                  <color rgb="FFFF0000"/>
                </bottom>
                <vertical/>
                <horizontal/>
              </border>
            </x14:dxf>
          </x14:cfRule>
          <xm:sqref>L97</xm:sqref>
        </x14:conditionalFormatting>
        <x14:conditionalFormatting xmlns:xm="http://schemas.microsoft.com/office/excel/2006/main">
          <x14:cfRule type="expression" priority="44" id="{4FFBDD31-8CF6-4840-B607-355D6A7301D5}">
            <xm:f>'Sprachen &amp; Rückgabewerte(2)'!$M$59=0</xm:f>
            <x14:dxf>
              <border>
                <top style="thin">
                  <color rgb="FFFF0000"/>
                </top>
                <vertical/>
                <horizontal/>
              </border>
            </x14:dxf>
          </x14:cfRule>
          <xm:sqref>N86:AB86</xm:sqref>
        </x14:conditionalFormatting>
        <x14:conditionalFormatting xmlns:xm="http://schemas.microsoft.com/office/excel/2006/main">
          <x14:cfRule type="expression" priority="43" id="{AC9E7C8F-A961-415C-BF80-4C3F3AD85E82}">
            <xm:f>'Sprachen &amp; Rückgabewerte(2)'!$M$59=0</xm:f>
            <x14:dxf>
              <border>
                <bottom style="thin">
                  <color rgb="FFFF0000"/>
                </bottom>
                <vertical/>
                <horizontal/>
              </border>
            </x14:dxf>
          </x14:cfRule>
          <xm:sqref>N97:V97 Z97:AB97</xm:sqref>
        </x14:conditionalFormatting>
        <x14:conditionalFormatting xmlns:xm="http://schemas.microsoft.com/office/excel/2006/main">
          <x14:cfRule type="expression" priority="41" id="{8E7E269B-7410-4640-9358-A71231A2CD8A}">
            <xm:f>'Sprachen &amp; Rückgabewerte(2)'!$I$5=FALSE</xm:f>
            <x14:dxf>
              <font>
                <color theme="0" tint="-0.14996795556505021"/>
              </font>
              <fill>
                <patternFill>
                  <bgColor theme="0" tint="-0.14996795556505021"/>
                </patternFill>
              </fill>
              <border>
                <left/>
                <right/>
                <top/>
                <bottom/>
                <vertical/>
                <horizontal/>
              </border>
            </x14:dxf>
          </x14:cfRule>
          <xm:sqref>M6:Q6</xm:sqref>
        </x14:conditionalFormatting>
        <x14:conditionalFormatting xmlns:xm="http://schemas.microsoft.com/office/excel/2006/main">
          <x14:cfRule type="expression" priority="40" id="{6B7E6293-CD88-4337-AA5F-31D44692C811}">
            <xm:f>'Sprachen &amp; Rückgabewerte(2)'!$U$49=FALSE</xm:f>
            <x14:dxf>
              <border>
                <top style="thin">
                  <color rgb="FFFF0000"/>
                </top>
                <vertical/>
                <horizontal/>
              </border>
            </x14:dxf>
          </x14:cfRule>
          <xm:sqref>E23:AR23</xm:sqref>
        </x14:conditionalFormatting>
        <x14:conditionalFormatting xmlns:xm="http://schemas.microsoft.com/office/excel/2006/main">
          <x14:cfRule type="expression" priority="39" id="{5BAD4A02-48B0-45ED-BBFE-EF7B8A87910F}">
            <xm:f>'Sprachen &amp; Rückgabewerte(2)'!$U$49=FALSE</xm:f>
            <x14:dxf>
              <border>
                <left style="thin">
                  <color rgb="FFFF0000"/>
                </left>
                <vertical/>
                <horizontal/>
              </border>
            </x14:dxf>
          </x14:cfRule>
          <xm:sqref>E23:H26</xm:sqref>
        </x14:conditionalFormatting>
        <x14:conditionalFormatting xmlns:xm="http://schemas.microsoft.com/office/excel/2006/main">
          <x14:cfRule type="expression" priority="37" id="{F24FEF10-4295-4FFF-B5B8-39E159245249}">
            <xm:f>'Sprachen &amp; Rückgabewerte(2)'!$U$49=FALSE</xm:f>
            <x14:dxf>
              <border>
                <right style="thin">
                  <color rgb="FFFF0000"/>
                </right>
                <vertical/>
                <horizontal/>
              </border>
            </x14:dxf>
          </x14:cfRule>
          <xm:sqref>AO23:AR26</xm:sqref>
        </x14:conditionalFormatting>
        <x14:conditionalFormatting xmlns:xm="http://schemas.microsoft.com/office/excel/2006/main">
          <x14:cfRule type="expression" priority="36" id="{4936C4FC-78CF-4D21-A918-963EFDF906C3}">
            <xm:f>'Sprachen &amp; Rückgabewerte(2)'!$I$39=FALSE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3" id="{DE1D3C8E-10AF-4746-A333-CE7596BAA18B}">
            <xm:f>'Sprachen &amp; Rückgabewerte(2)'!$I$39=FALSE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32" id="{DCB6A869-5003-47EA-98FB-44799AA41356}">
            <xm:f>AND('Sprachen &amp; Rückgabewerte(2)'!$C$16=1,$F$16="")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31" id="{11D0353B-9EA6-4EBB-9154-5E54CA30195F}">
            <xm:f>AND('Sprachen &amp; Rückgabewerte(2)'!$C$17=1,$J$16="")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30" id="{A1535F58-7196-4ED9-9DB7-38AF857D5A03}">
            <xm:f>AND('Sprachen &amp; Rückgabewerte(2)'!$C$18=1,$N$16="")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9" id="{7814A06B-1326-487A-9165-8C95880AB51F}">
            <xm:f>AND('Sprachen &amp; Rückgabewerte(2)'!$C$19=1,$R$16="")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8" id="{7E420E5A-DC30-4DCD-A46C-09B83A0982D6}">
            <xm:f>AND('Sprachen &amp; Rückgabewerte(2)'!$C$20=1,$V$16="")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7" id="{8A024D92-A17D-4889-926A-85C4DE60F47E}">
            <xm:f>AND('Sprachen &amp; Rückgabewerte(2)'!$C$21=1,$Z$16="")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6" id="{BE3BDE89-9F72-449C-8542-709E5A3D8A0C}">
            <xm:f>AND('Sprachen &amp; Rückgabewerte(2)'!$C$22=1,$AD$16="")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5" id="{9CD91146-5C53-4496-8429-82D0AA64BFF2}">
            <xm:f>AND('Sprachen &amp; Rückgabewerte(2)'!$C$23=1,$AH$16="")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4" id="{C1B0EA8E-CA3D-492C-ADAC-2A7D9A159C19}">
            <xm:f>AND('Sprachen &amp; Rückgabewerte(2)'!$C$24=1,$AL$16="")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3" id="{1431DB86-6247-457D-BD38-4C1AB55B4D11}">
            <xm:f>AND('Sprachen &amp; Rückgabewerte(2)'!$C$25=1,$AP$16="")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22" id="{59FAB375-7F82-4EA1-89D2-867E99D4CB89}">
            <xm:f>'Sprachen &amp; Rückgabewerte(2)'!$I$71=FALSE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21" id="{9E8CCF5A-36B7-4605-99EE-C96A57109138}">
            <xm:f>AND('Sprachen &amp; Rückgabewerte(2)'!$I$71=TRUE,$AP$74="",$AP$75="",$AP$76="")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6" id="{D06F6416-1371-442D-ABB4-7D79DCE282A5}">
            <xm:f>OR($AQ$96='Sprachen &amp; Rückgabewerte(2)'!$H$96,$AQ$96="")</xm:f>
            <x14:dxf>
              <border>
                <bottom/>
                <vertical/>
                <horizontal/>
              </border>
            </x14:dxf>
          </x14:cfRule>
          <x14:cfRule type="expression" priority="17" id="{F4E408A7-FD03-4AAF-9E80-A434346C1EB7}">
            <xm:f>AND($AQ$96='Sprachen &amp; Rückgabewerte(2)'!$H$95,$AW$96="")</xm:f>
            <x14:dxf>
              <border>
                <bottom style="thin">
                  <color rgb="FFFF0000"/>
                </bottom>
                <vertical/>
                <horizontal/>
              </border>
            </x14:dxf>
          </x14:cfRule>
          <xm:sqref>AS96:AV96</xm:sqref>
        </x14:conditionalFormatting>
        <x14:conditionalFormatting xmlns:xm="http://schemas.microsoft.com/office/excel/2006/main">
          <x14:cfRule type="expression" priority="14" id="{AFBC1491-BE08-43BC-8ED7-69F1A0E9C452}">
            <xm:f>OR($AQ$96='Sprachen &amp; Rückgabewerte(2)'!$H$96,$AQ$96="")</xm:f>
            <x14:dxf>
              <fill>
                <patternFill>
                  <bgColor theme="0" tint="-0.14996795556505021"/>
                </patternFill>
              </fill>
              <border>
                <left/>
                <right/>
                <top/>
                <bottom/>
                <vertical/>
                <horizontal/>
              </border>
            </x14:dxf>
          </x14:cfRule>
          <x14:cfRule type="expression" priority="15" id="{9ED7E5F1-677A-430A-AC33-66F5B9EC8323}">
            <xm:f>AND($AQ$96='Sprachen &amp; Rückgabewerte(2)'!$H$95,$AW$96="")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3" id="{3331D150-24F5-43D7-87C0-9A1D0250710A}">
            <xm:f>'Sprachen &amp; Rückgabewerte(2)'!$W$68&gt;0</xm:f>
            <x14:dxf>
              <border>
                <bottom style="thin">
                  <color rgb="FFFF0000"/>
                </bottom>
                <vertical/>
                <horizontal/>
              </border>
            </x14:dxf>
          </x14:cfRule>
          <xm:sqref>AD97:AT97</xm:sqref>
        </x14:conditionalFormatting>
        <x14:conditionalFormatting xmlns:xm="http://schemas.microsoft.com/office/excel/2006/main">
          <x14:cfRule type="expression" priority="12" id="{DB264B57-0FD7-4C7B-9325-4DA21E02D806}">
            <xm:f>'Sprachen &amp; Rückgabewerte(2)'!$W$68&gt;0</xm:f>
            <x14:dxf>
              <border>
                <top style="thin">
                  <color rgb="FFFF0000"/>
                </top>
                <vertical/>
                <horizontal/>
              </border>
            </x14:dxf>
          </x14:cfRule>
          <xm:sqref>AD95:AT95</xm:sqref>
        </x14:conditionalFormatting>
        <x14:conditionalFormatting xmlns:xm="http://schemas.microsoft.com/office/excel/2006/main">
          <x14:cfRule type="expression" priority="11" id="{C41EF16D-EE7D-44AE-9C8A-509B4F6B4854}">
            <xm:f>'Sprachen &amp; Rückgabewerte(2)'!$W$68&gt;0</xm:f>
            <x14:dxf>
              <border>
                <left style="thin">
                  <color rgb="FFFF0000"/>
                </left>
                <vertical/>
                <horizontal/>
              </border>
            </x14:dxf>
          </x14:cfRule>
          <xm:sqref>AD95:AD97</xm:sqref>
        </x14:conditionalFormatting>
        <x14:conditionalFormatting xmlns:xm="http://schemas.microsoft.com/office/excel/2006/main">
          <x14:cfRule type="expression" priority="10" id="{941A9B2A-5CAC-49C8-8497-1B8C6E3FAD66}">
            <xm:f>'Sprachen &amp; Rückgabewerte(2)'!$W$68&gt;0</xm:f>
            <x14:dxf>
              <border>
                <right style="thin">
                  <color rgb="FFFF0000"/>
                </right>
                <vertical/>
                <horizontal/>
              </border>
            </x14:dxf>
          </x14:cfRule>
          <xm:sqref>AT95:AT97</xm:sqref>
        </x14:conditionalFormatting>
        <x14:conditionalFormatting xmlns:xm="http://schemas.microsoft.com/office/excel/2006/main">
          <x14:cfRule type="expression" priority="7" id="{D786FF7D-AC4F-4F6B-BB8B-57BDC6DD1A4D}">
            <xm:f>'Sprachen &amp; Rückgabewerte(2)'!$C$51=FALSE</xm:f>
            <x14:dxf>
              <font>
                <color theme="0" tint="-0.14996795556505021"/>
              </font>
              <fill>
                <patternFill>
                  <bgColor theme="0" tint="-0.14996795556505021"/>
                </patternFill>
              </fill>
              <border>
                <left/>
                <right/>
                <top/>
                <bottom style="thin">
                  <color auto="1"/>
                </bottom>
                <vertical/>
                <horizontal/>
              </border>
            </x14:dxf>
          </x14:cfRule>
          <x14:cfRule type="expression" priority="8" id="{FD69C4E8-7B95-4AAE-9ED3-D4B0E3F1FE9D}">
            <xm:f>'Sprachen &amp; Rückgabewerte(2)'!$U$65=FALSE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V97:Y97</xm:sqref>
        </x14:conditionalFormatting>
        <x14:conditionalFormatting xmlns:xm="http://schemas.microsoft.com/office/excel/2006/main">
          <x14:cfRule type="expression" priority="4" id="{3D71E1DC-D005-419A-8A29-0DC0F91471A1}">
            <xm:f>'Sprachen &amp; Rückgabewerte(2)'!$W$78&lt;&gt;0</xm:f>
            <x14:dxf>
              <border>
                <bottom style="thin">
                  <color rgb="FFFF0000"/>
                </bottom>
                <vertical/>
                <horizontal/>
              </border>
            </x14:dxf>
          </x14:cfRule>
          <xm:sqref>AW11:BB11</xm:sqref>
        </x14:conditionalFormatting>
        <x14:conditionalFormatting xmlns:xm="http://schemas.microsoft.com/office/excel/2006/main">
          <x14:cfRule type="expression" priority="3" id="{5713985B-EF82-49C8-B3FC-27DABE9BBAD5}">
            <xm:f>'Sprachen &amp; Rückgabewerte(2)'!$W$78&lt;&gt;0</xm:f>
            <x14:dxf>
              <border>
                <top style="thin">
                  <color rgb="FFFF0000"/>
                </top>
                <vertical/>
                <horizontal/>
              </border>
            </x14:dxf>
          </x14:cfRule>
          <xm:sqref>AW6:BB6</xm:sqref>
        </x14:conditionalFormatting>
        <x14:conditionalFormatting xmlns:xm="http://schemas.microsoft.com/office/excel/2006/main">
          <x14:cfRule type="expression" priority="2" id="{1BC8D42A-1A0F-4471-93C5-B98D73201678}">
            <xm:f>'Sprachen &amp; Rückgabewerte(2)'!$W$78&lt;&gt;0</xm:f>
            <x14:dxf>
              <border>
                <left style="thin">
                  <color rgb="FFFF0000"/>
                </left>
                <vertical/>
                <horizontal/>
              </border>
            </x14:dxf>
          </x14:cfRule>
          <xm:sqref>AW6:AW11</xm:sqref>
        </x14:conditionalFormatting>
        <x14:conditionalFormatting xmlns:xm="http://schemas.microsoft.com/office/excel/2006/main">
          <x14:cfRule type="expression" priority="1" id="{F47D71E9-AFF6-4FF1-89A2-CBFA662DC855}">
            <xm:f>'Sprachen &amp; Rückgabewerte(2)'!$W$78&lt;&gt;0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3">
        <x14:dataValidation type="list" allowBlank="1" showInputMessage="1" showErrorMessage="1" xr:uid="{3A7C07D8-0C62-4CAB-B18D-521E2C24C397}">
          <x14:formula1>
            <xm:f>'Sprachen &amp; Rückgabewerte(2)'!$M$86:$M$138</xm:f>
          </x14:formula1>
          <xm:sqref>AM88:AR88</xm:sqref>
        </x14:dataValidation>
        <x14:dataValidation type="list" showInputMessage="1" showErrorMessage="1" xr:uid="{4F517ED6-E241-43D6-B2CE-917DCD7E9E1E}">
          <x14:formula1>
            <xm:f>'Sprachen &amp; Rückgabewerte(2)'!$B$70:$B$72</xm:f>
          </x14:formula1>
          <xm:sqref>H85:K85 V85:Y85 O85:R85 X72:AA72</xm:sqref>
        </x14:dataValidation>
        <x14:dataValidation type="list" allowBlank="1" showInputMessage="1" showErrorMessage="1" xr:uid="{DECDA425-4B21-4BCA-AA5B-5F8CCA1C6C97}">
          <x14:formula1>
            <xm:f>'Sprachen &amp; Rückgabewerte(2)'!$H$103:$H$107</xm:f>
          </x14:formula1>
          <xm:sqref>G20:AP20</xm:sqref>
        </x14:dataValidation>
        <x14:dataValidation type="list" showInputMessage="1" showErrorMessage="1" xr:uid="{724530B2-BBFB-4A0B-B1C4-53CB6846910C}">
          <x14:formula1>
            <xm:f>'Sprachen &amp; Rückgabewerte(2)'!$B$33:$B$34</xm:f>
          </x14:formula1>
          <xm:sqref>E23:AR26</xm:sqref>
        </x14:dataValidation>
        <x14:dataValidation type="list" showInputMessage="1" showErrorMessage="1" xr:uid="{FFF598EC-54D5-4E9C-B13E-80163F1D7874}">
          <x14:formula1>
            <xm:f>'Sprachen &amp; Rückgabewerte(2)'!$A$11:$A$18</xm:f>
          </x14:formula1>
          <xm:sqref>AM43:AQ43</xm:sqref>
        </x14:dataValidation>
        <x14:dataValidation type="list" showInputMessage="1" showErrorMessage="1" xr:uid="{2FA195C0-36AA-46FE-AC6B-1B225CD3B475}">
          <x14:formula1>
            <xm:f>'Sprachen &amp; Rückgabewerte(2)'!$A$19:$A$21</xm:f>
          </x14:formula1>
          <xm:sqref>AR43:AS43</xm:sqref>
        </x14:dataValidation>
        <x14:dataValidation type="list" allowBlank="1" showInputMessage="1" showErrorMessage="1" xr:uid="{57B86A95-B15B-43DB-A139-17C91D378C19}">
          <x14:formula1>
            <xm:f>'Sprachen &amp; Rückgabewerte(2)'!$J$67:$J$69</xm:f>
          </x14:formula1>
          <xm:sqref>AN70:AS70</xm:sqref>
        </x14:dataValidation>
        <x14:dataValidation type="list" allowBlank="1" showInputMessage="1" showErrorMessage="1" xr:uid="{E0806C6B-CD35-4052-9026-FFB9CD0AF229}">
          <x14:formula1>
            <xm:f>'Sprachen &amp; Rückgabewerte(2)'!$J$77:$J$79</xm:f>
          </x14:formula1>
          <xm:sqref>AN78:AP78</xm:sqref>
        </x14:dataValidation>
        <x14:dataValidation type="list" allowBlank="1" showInputMessage="1" showErrorMessage="1" xr:uid="{015F2E65-3A67-4963-B822-AA29E0237A9B}">
          <x14:formula1>
            <xm:f>'Sprachen &amp; Rückgabewerte(2)'!$J$80:$J$81</xm:f>
          </x14:formula1>
          <xm:sqref>AN79:AP79</xm:sqref>
        </x14:dataValidation>
        <x14:dataValidation type="list" allowBlank="1" showInputMessage="1" showErrorMessage="1" xr:uid="{C7CFB004-D3E7-4BA9-B55B-7191437428B2}">
          <x14:formula1>
            <xm:f>'Sprachen &amp; Rückgabewerte(2)'!$J$84:$J$86</xm:f>
          </x14:formula1>
          <xm:sqref>AN80:AS80</xm:sqref>
        </x14:dataValidation>
        <x14:dataValidation type="list" allowBlank="1" showInputMessage="1" showErrorMessage="1" xr:uid="{947FF517-B6C1-4008-9E51-80EBC90946F5}">
          <x14:formula1>
            <xm:f>'Sprachen &amp; Rückgabewerte(2)'!$J$94:$J$96</xm:f>
          </x14:formula1>
          <xm:sqref>AO55:AP55</xm:sqref>
        </x14:dataValidation>
        <x14:dataValidation type="list" showInputMessage="1" showErrorMessage="1" xr:uid="{819F77F3-D503-47EA-B73F-EF22E6F334C3}">
          <x14:formula1>
            <xm:f>'Sprachen &amp; Rückgabewerte(2)'!$B$73:$B$75</xm:f>
          </x14:formula1>
          <xm:sqref>H96:K96</xm:sqref>
        </x14:dataValidation>
        <x14:dataValidation type="list" allowBlank="1" showInputMessage="1" showErrorMessage="1" xr:uid="{66E5C55E-12C0-46B8-8631-ADF71CF5E4D4}">
          <x14:formula1>
            <xm:f>'Sprachen &amp; Rückgabewerte(2)'!$B$9:$B$14</xm:f>
          </x14:formula1>
          <xm:sqref>F10:G10 J10:K10 N10:O10 R10:S10 V10:W10 Z10:AA10 AD10:AE10 AH10:AI10 AL10:AM10 AP10:AQ10</xm:sqref>
        </x14:dataValidation>
        <x14:dataValidation type="list" showInputMessage="1" showErrorMessage="1" xr:uid="{838BDAD9-40CE-4C0E-8C4C-11945A18FE37}">
          <x14:formula1>
            <xm:f>'Sprachen &amp; Rückgabewerte(2)'!$B$67:$B$69</xm:f>
          </x14:formula1>
          <xm:sqref>F72:I72 L72:O72</xm:sqref>
        </x14:dataValidation>
        <x14:dataValidation type="list" allowBlank="1" showInputMessage="1" showErrorMessage="1" xr:uid="{D9DA749E-81F0-4CED-8B83-934999AAACA3}">
          <x14:formula1>
            <xm:f>'Sprachen &amp; Rückgabewerte(2)'!$J$91:$J$93</xm:f>
          </x14:formula1>
          <xm:sqref>AM49:AP49</xm:sqref>
        </x14:dataValidation>
        <x14:dataValidation type="list" allowBlank="1" showInputMessage="1" showErrorMessage="1" xr:uid="{BA6B0744-FC56-407F-99A8-99C542739C93}">
          <x14:formula1>
            <xm:f>'Sprachen &amp; Rückgabewerte(2)'!$N$78:$N$80</xm:f>
          </x14:formula1>
          <xm:sqref>AE70:AL70</xm:sqref>
        </x14:dataValidation>
        <x14:dataValidation type="list" allowBlank="1" showInputMessage="1" showErrorMessage="1" xr:uid="{7E61EA90-4903-4A9F-B01B-5034E0E86F68}">
          <x14:formula1>
            <xm:f>'Sprachen &amp; Rückgabewerte(2)'!$J$134:$J$136</xm:f>
          </x14:formula1>
          <xm:sqref>AX34:AY42</xm:sqref>
        </x14:dataValidation>
        <x14:dataValidation type="list" allowBlank="1" showInputMessage="1" showErrorMessage="1" xr:uid="{BBFC7E4A-F6FF-4D84-9B8E-F4E5A8FF7F62}">
          <x14:formula1>
            <xm:f>'Sprachen &amp; Rückgabewerte(2)'!$B$81:$B$84</xm:f>
          </x14:formula1>
          <xm:sqref>T104</xm:sqref>
        </x14:dataValidation>
        <x14:dataValidation type="list" allowBlank="1" showInputMessage="1" showErrorMessage="1" xr:uid="{27F1661D-804A-4334-852A-983330510D42}">
          <x14:formula1>
            <xm:f>'Sprachen &amp; Rückgabewerte(2)'!$J$142:$J$144</xm:f>
          </x14:formula1>
          <xm:sqref>T110</xm:sqref>
        </x14:dataValidation>
        <x14:dataValidation type="list" allowBlank="1" showInputMessage="1" showErrorMessage="1" xr:uid="{313DF5A1-490B-4116-B960-AC5CAA66F597}">
          <x14:formula1>
            <xm:f>'Sprachen &amp; Rückgabewerte(2)'!$J$145:$J$147</xm:f>
          </x14:formula1>
          <xm:sqref>T114</xm:sqref>
        </x14:dataValidation>
        <x14:dataValidation type="list" showInputMessage="1" showErrorMessage="1" xr:uid="{FB6753BE-0FD2-44F4-B8FD-3F2FADBC80C2}">
          <x14:formula1>
            <xm:f>'Sprachen &amp; Rückgabewerte(2)'!$R$41:$R$43</xm:f>
          </x14:formula1>
          <xm:sqref>AF11:AG11 AN11:AO11 X11:Y11 T11:U11 P11:Q11 L11:M11 AB11:AC11 AJ11:AK11 H11:I11</xm:sqref>
        </x14:dataValidation>
        <x14:dataValidation type="list" allowBlank="1" showInputMessage="1" showErrorMessage="1" xr:uid="{B1A5576B-2682-4A5B-BF1C-AAD9DCE1350A}">
          <x14:formula1>
            <xm:f>'Sprachen &amp; Rückgabewerte(2)'!$Q$41:$Q$51</xm:f>
          </x14:formula1>
          <xm:sqref>AP74:AP76</xm:sqref>
        </x14:dataValidation>
        <x14:dataValidation type="list" allowBlank="1" showInputMessage="1" showErrorMessage="1" xr:uid="{265319D3-B6A3-499B-8ABD-4052519D4539}">
          <x14:formula1>
            <xm:f>'Sprachen &amp; Rückgabewerte(2)'!$J$150:$J$153</xm:f>
          </x14:formula1>
          <xm:sqref>AW48:AX48</xm:sqref>
        </x14:dataValidation>
        <x14:dataValidation type="list" allowBlank="1" showInputMessage="1" showErrorMessage="1" xr:uid="{27C5C7AD-89FB-4038-8A9C-F7C42314372B}">
          <x14:formula1>
            <xm:f>'Sprachen &amp; Rückgabewerte(2)'!$J$87:$J$89</xm:f>
          </x14:formula1>
          <xm:sqref>AE84:AL84</xm:sqref>
        </x14:dataValidation>
        <x14:dataValidation type="list" allowBlank="1" showInputMessage="1" showErrorMessage="1" xr:uid="{B9D451B0-FE5B-4D29-B2C0-45D193363FD9}">
          <x14:formula1>
            <xm:f>'Sprachen &amp; Rückgabewerte(2)'!$J$133:$J$136</xm:f>
          </x14:formula1>
          <xm:sqref>AX33:AY33</xm:sqref>
        </x14:dataValidation>
        <x14:dataValidation type="list" showInputMessage="1" showErrorMessage="1" errorTitle="SG-Typ auswählen" error="Bitte wählen Sie einen Sky-Glass Typ aus. Spezialaufbau bitte im Feld Speziell eingeben!" xr:uid="{889C4B91-E7CB-4B3D-982E-B85631ECC294}">
          <x14:formula1>
            <xm:f>'Sprachen &amp; Rückgabewerte(2)'!$AI$3:$AI$45</xm:f>
          </x14:formula1>
          <xm:sqref>AE53:AG53</xm:sqref>
        </x14:dataValidation>
        <x14:dataValidation type="list" allowBlank="1" showInputMessage="1" showErrorMessage="1" xr:uid="{CE37C692-2869-4EAC-81B6-4B4F8A85B388}">
          <x14:formula1>
            <xm:f>'Sprachen &amp; Rückgabewerte(2)'!$J$174:$J$175</xm:f>
          </x14:formula1>
          <xm:sqref>AM46:AS46</xm:sqref>
        </x14:dataValidation>
        <x14:dataValidation type="list" allowBlank="1" showInputMessage="1" showErrorMessage="1" xr:uid="{47608CDA-E096-45D3-B682-B81E4A2C17A0}">
          <x14:formula1>
            <xm:f>'Sprachen &amp; Rückgabewerte(2)'!$J$177:$J$178</xm:f>
          </x14:formula1>
          <xm:sqref>AM47:AS47</xm:sqref>
        </x14:dataValidation>
        <x14:dataValidation type="list" allowBlank="1" showInputMessage="1" showErrorMessage="1" xr:uid="{7A829BF5-4877-48CB-8232-BE9CC5F5F7DE}">
          <x14:formula1>
            <xm:f>'Sprachen &amp; Rückgabewerte(2)'!$A$28:$A$30</xm:f>
          </x14:formula1>
          <xm:sqref>F16:G17 J16:K17 N16:O17 R16:S17 V16:W17 Z16:AA17 AD16:AE17 AH16:AI17 AL16:AM17 AP16:AQ17</xm:sqref>
        </x14:dataValidation>
        <x14:dataValidation type="list" allowBlank="1" showInputMessage="1" showErrorMessage="1" xr:uid="{9F56385D-5775-421D-B6D0-BEC015C7D004}">
          <x14:formula1>
            <xm:f>'Sprachen &amp; Rückgabewerte(2)'!$H$95:$H$96</xm:f>
          </x14:formula1>
          <xm:sqref>AQ96:AR96</xm:sqref>
        </x14:dataValidation>
        <x14:dataValidation type="list" allowBlank="1" showInputMessage="1" showErrorMessage="1" xr:uid="{FAD61892-731C-40A7-BB5C-8529732EC3E4}">
          <x14:formula1>
            <xm:f>'Sprachen &amp; Rückgabewerte(2)'!$H$191:$H$192</xm:f>
          </x14:formula1>
          <xm:sqref>V97:Y97</xm:sqref>
        </x14:dataValidation>
        <x14:dataValidation type="list" allowBlank="1" showInputMessage="1" showErrorMessage="1" xr:uid="{B30DBF37-F81F-4AAB-BD45-575B30A76997}">
          <x14:formula1>
            <xm:f>'Sprachen &amp; Rückgabewerte(2)'!$H$198:$H$199</xm:f>
          </x14:formula1>
          <xm:sqref>AZ9:BA9</xm:sqref>
        </x14:dataValidation>
        <x14:dataValidation type="list" allowBlank="1" showInputMessage="1" showErrorMessage="1" xr:uid="{5D09522A-200E-4469-86B4-8F23EAA8F5DF}">
          <x14:formula1>
            <xm:f>'Sprachen &amp; Rückgabewerte(2)'!$H$196:$H$197</xm:f>
          </x14:formula1>
          <xm:sqref>AZ10:BA10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C4A54-AC2F-4DF1-A24B-3216322D5847}">
  <dimension ref="A1:AN209"/>
  <sheetViews>
    <sheetView showGridLines="0" topLeftCell="A113" zoomScale="70" zoomScaleNormal="70" workbookViewId="0">
      <selection activeCell="G120" sqref="G120"/>
    </sheetView>
  </sheetViews>
  <sheetFormatPr baseColWidth="10" defaultColWidth="11.42578125" defaultRowHeight="12.75" x14ac:dyDescent="0.2"/>
  <cols>
    <col min="1" max="1" width="19.140625" style="272" customWidth="1"/>
    <col min="2" max="2" width="16.7109375" style="272" customWidth="1"/>
    <col min="3" max="3" width="11.42578125" style="272" customWidth="1"/>
    <col min="4" max="7" width="40.7109375" style="272" customWidth="1"/>
    <col min="8" max="8" width="34.28515625" style="272" customWidth="1"/>
    <col min="9" max="9" width="30.42578125" style="272" customWidth="1"/>
    <col min="10" max="10" width="25.7109375" style="272" customWidth="1"/>
    <col min="11" max="11" width="15.5703125" style="272" customWidth="1"/>
    <col min="12" max="12" width="13.42578125" style="272" customWidth="1"/>
    <col min="13" max="13" width="16.140625" style="272" customWidth="1"/>
    <col min="14" max="17" width="11.42578125" style="272"/>
    <col min="18" max="18" width="12.5703125" style="272" customWidth="1"/>
    <col min="19" max="19" width="10.140625" style="272" customWidth="1"/>
    <col min="20" max="20" width="10.28515625" style="272" customWidth="1"/>
    <col min="21" max="21" width="21.5703125" style="272" customWidth="1"/>
    <col min="22" max="22" width="11.42578125" style="272"/>
    <col min="23" max="23" width="11.42578125" style="272" customWidth="1"/>
    <col min="24" max="26" width="11.42578125" style="272"/>
    <col min="27" max="27" width="12.28515625" style="272" customWidth="1"/>
    <col min="28" max="28" width="11.42578125" style="272"/>
    <col min="29" max="29" width="13.7109375" style="272" customWidth="1"/>
    <col min="30" max="30" width="13.5703125" style="272" customWidth="1"/>
    <col min="31" max="31" width="11.5703125" style="272" customWidth="1"/>
    <col min="32" max="33" width="11.42578125" style="272"/>
    <col min="34" max="34" width="23.7109375" style="272" customWidth="1"/>
    <col min="35" max="37" width="11.42578125" style="272"/>
    <col min="38" max="38" width="14.42578125" style="272" customWidth="1"/>
    <col min="39" max="39" width="11.42578125" style="272"/>
    <col min="40" max="40" width="13.5703125" style="272" customWidth="1"/>
    <col min="41" max="16384" width="11.42578125" style="272"/>
  </cols>
  <sheetData>
    <row r="1" spans="1:40" ht="13.5" thickBot="1" x14ac:dyDescent="0.25">
      <c r="H1" s="46" t="s">
        <v>211</v>
      </c>
      <c r="Y1" s="272" t="s">
        <v>178</v>
      </c>
      <c r="Z1" s="272" t="s">
        <v>179</v>
      </c>
      <c r="AA1" s="272" t="s">
        <v>180</v>
      </c>
      <c r="AE1" s="272" t="s">
        <v>582</v>
      </c>
      <c r="AF1" s="272" t="s">
        <v>583</v>
      </c>
      <c r="AG1" s="272" t="s">
        <v>584</v>
      </c>
      <c r="AJ1" s="309" t="str">
        <f>IF($I$125=TRUE,AE1,Y1)</f>
        <v>Ug=</v>
      </c>
      <c r="AK1" s="318" t="str">
        <f>IF($I$125=TRUE,AF1,Z1)</f>
        <v>Lt=</v>
      </c>
      <c r="AL1" s="318" t="str">
        <f>IF($I$125=TRUE,AG1,AA1)</f>
        <v>g=</v>
      </c>
    </row>
    <row r="2" spans="1:40" x14ac:dyDescent="0.2">
      <c r="B2" s="29" t="s">
        <v>175</v>
      </c>
      <c r="C2" s="30" t="s">
        <v>91</v>
      </c>
      <c r="D2" s="16" t="s">
        <v>419</v>
      </c>
      <c r="E2" s="17" t="s">
        <v>420</v>
      </c>
      <c r="F2" s="17" t="s">
        <v>421</v>
      </c>
      <c r="G2" s="18" t="s">
        <v>422</v>
      </c>
      <c r="H2" s="448" t="str">
        <f>IF($B$3=$A$3,D2,IF($B$3=$A$4,E2,IF($B$3=$A$5,F2,IF($B$3=$A$6,G2,""))))</f>
        <v>Sprache:</v>
      </c>
      <c r="I2" s="46" t="s">
        <v>191</v>
      </c>
      <c r="X2" s="34" t="s">
        <v>585</v>
      </c>
      <c r="Y2" s="370"/>
      <c r="Z2" s="370"/>
      <c r="AA2" s="370"/>
      <c r="AB2" s="370"/>
      <c r="AC2" s="371"/>
      <c r="AD2" s="34" t="s">
        <v>586</v>
      </c>
      <c r="AE2" s="370"/>
      <c r="AF2" s="370"/>
      <c r="AG2" s="370"/>
      <c r="AH2" s="371"/>
      <c r="AI2" s="34" t="s">
        <v>587</v>
      </c>
      <c r="AJ2" s="370"/>
      <c r="AK2" s="370"/>
      <c r="AL2" s="370"/>
      <c r="AM2" s="370"/>
      <c r="AN2" s="371"/>
    </row>
    <row r="3" spans="1:40" x14ac:dyDescent="0.2">
      <c r="A3" s="272">
        <v>1</v>
      </c>
      <c r="B3" s="449">
        <v>1</v>
      </c>
      <c r="C3" s="450" t="s">
        <v>92</v>
      </c>
      <c r="D3" s="451" t="s">
        <v>92</v>
      </c>
      <c r="E3" s="452" t="s">
        <v>93</v>
      </c>
      <c r="F3" s="452" t="s">
        <v>94</v>
      </c>
      <c r="G3" s="453" t="s">
        <v>95</v>
      </c>
      <c r="H3" s="448" t="str">
        <f>IF($B$3=$A$3,D3,IF($B$3=$A$4,E3,IF($B$3=$A$5,F3,IF($B$3=$A$6,G3,""))))</f>
        <v>DEUTSCH</v>
      </c>
      <c r="I3" s="454"/>
      <c r="X3" s="317" t="s">
        <v>719</v>
      </c>
      <c r="Y3" s="318">
        <v>0.5</v>
      </c>
      <c r="Z3" s="318">
        <v>73</v>
      </c>
      <c r="AA3" s="318">
        <v>54</v>
      </c>
      <c r="AB3" s="318" t="s">
        <v>740</v>
      </c>
      <c r="AC3" s="325"/>
      <c r="AD3" s="317" t="s">
        <v>719</v>
      </c>
      <c r="AE3" s="455">
        <v>0.23</v>
      </c>
      <c r="AF3" s="318">
        <v>0.41</v>
      </c>
      <c r="AG3" s="318">
        <v>0.59</v>
      </c>
      <c r="AH3" s="325" t="s">
        <v>754</v>
      </c>
      <c r="AI3" s="317" t="str">
        <f t="shared" ref="AI3:AM25" si="0">IF($I$125=TRUE,AD3,X3)</f>
        <v>SG-31</v>
      </c>
      <c r="AJ3" s="309">
        <f t="shared" si="0"/>
        <v>0.5</v>
      </c>
      <c r="AK3" s="318">
        <f t="shared" si="0"/>
        <v>73</v>
      </c>
      <c r="AL3" s="318">
        <f t="shared" si="0"/>
        <v>54</v>
      </c>
      <c r="AM3" s="318" t="str">
        <f t="shared" si="0"/>
        <v>E6/18/E6/E6</v>
      </c>
      <c r="AN3" s="325"/>
    </row>
    <row r="4" spans="1:40" x14ac:dyDescent="0.2">
      <c r="A4" s="272">
        <v>2</v>
      </c>
      <c r="B4" s="456"/>
      <c r="C4" s="457" t="s">
        <v>93</v>
      </c>
      <c r="D4" s="317" t="s">
        <v>96</v>
      </c>
      <c r="E4" s="458" t="s">
        <v>97</v>
      </c>
      <c r="F4" s="458" t="s">
        <v>98</v>
      </c>
      <c r="G4" s="459" t="s">
        <v>99</v>
      </c>
      <c r="H4" s="448" t="str">
        <f>IF($B$3=$A$3,D4,IF($B$3=$A$4,E4,IF($B$3=$A$5,F4,IF($B$3=$A$6,G4,""))))</f>
        <v>BESTELLUNG</v>
      </c>
      <c r="I4" s="454"/>
      <c r="X4" s="273" t="s">
        <v>720</v>
      </c>
      <c r="Y4" s="309">
        <v>0.6</v>
      </c>
      <c r="Z4" s="309">
        <v>72</v>
      </c>
      <c r="AA4" s="309">
        <v>53</v>
      </c>
      <c r="AB4" s="309" t="s">
        <v>741</v>
      </c>
      <c r="AC4" s="310"/>
      <c r="AD4" s="273" t="s">
        <v>720</v>
      </c>
      <c r="AE4" s="309">
        <v>0.23</v>
      </c>
      <c r="AF4" s="309">
        <v>0.4</v>
      </c>
      <c r="AG4" s="309">
        <v>0.57999999999999996</v>
      </c>
      <c r="AH4" s="310" t="s">
        <v>755</v>
      </c>
      <c r="AI4" s="273" t="str">
        <f t="shared" si="0"/>
        <v>SG-32</v>
      </c>
      <c r="AJ4" s="309">
        <f t="shared" si="0"/>
        <v>0.6</v>
      </c>
      <c r="AK4" s="309">
        <f t="shared" si="0"/>
        <v>72</v>
      </c>
      <c r="AL4" s="309">
        <f t="shared" si="0"/>
        <v>53</v>
      </c>
      <c r="AM4" s="309" t="str">
        <f t="shared" si="0"/>
        <v>E8/16/E8/14/E8</v>
      </c>
      <c r="AN4" s="310"/>
    </row>
    <row r="5" spans="1:40" x14ac:dyDescent="0.2">
      <c r="A5" s="272">
        <v>3</v>
      </c>
      <c r="B5" s="456"/>
      <c r="C5" s="457" t="s">
        <v>94</v>
      </c>
      <c r="D5" s="273" t="s">
        <v>0</v>
      </c>
      <c r="E5" s="309" t="s">
        <v>1</v>
      </c>
      <c r="F5" s="309" t="s">
        <v>101</v>
      </c>
      <c r="G5" s="310" t="s">
        <v>100</v>
      </c>
      <c r="H5" s="448" t="str">
        <f>IF($B$3=$A$3,D5,IF($B$3=$A$4,E5,IF($B$3=$A$5,F5,IF($B$3=$A$6,G5,""))))</f>
        <v>Gemäss Zeichnung Nr.:</v>
      </c>
      <c r="I5" s="454" t="b">
        <v>0</v>
      </c>
      <c r="X5" s="273" t="s">
        <v>721</v>
      </c>
      <c r="Y5" s="309">
        <v>0.6</v>
      </c>
      <c r="Z5" s="309">
        <v>73</v>
      </c>
      <c r="AA5" s="309" t="s">
        <v>823</v>
      </c>
      <c r="AB5" s="309" t="s">
        <v>742</v>
      </c>
      <c r="AC5" s="310"/>
      <c r="AD5" s="273" t="s">
        <v>721</v>
      </c>
      <c r="AE5" s="309">
        <v>0.23</v>
      </c>
      <c r="AF5" s="309">
        <v>0.41</v>
      </c>
      <c r="AG5" s="309">
        <v>0.57999999999999996</v>
      </c>
      <c r="AH5" s="310" t="s">
        <v>756</v>
      </c>
      <c r="AI5" s="273" t="str">
        <f t="shared" si="0"/>
        <v>SG-33</v>
      </c>
      <c r="AJ5" s="309">
        <f t="shared" si="0"/>
        <v>0.6</v>
      </c>
      <c r="AK5" s="309">
        <f t="shared" si="0"/>
        <v>73</v>
      </c>
      <c r="AL5" s="309" t="str">
        <f t="shared" si="0"/>
        <v>54/52</v>
      </c>
      <c r="AM5" s="309" t="str">
        <f t="shared" si="0"/>
        <v>V-W8-2/16/E6/16/E6</v>
      </c>
      <c r="AN5" s="310"/>
    </row>
    <row r="6" spans="1:40" ht="13.5" thickBot="1" x14ac:dyDescent="0.25">
      <c r="A6" s="272">
        <v>4</v>
      </c>
      <c r="B6" s="460"/>
      <c r="C6" s="461" t="s">
        <v>95</v>
      </c>
      <c r="D6" s="273" t="s">
        <v>102</v>
      </c>
      <c r="E6" s="309" t="s">
        <v>103</v>
      </c>
      <c r="F6" s="309" t="s">
        <v>104</v>
      </c>
      <c r="G6" s="310" t="s">
        <v>344</v>
      </c>
      <c r="H6" s="448" t="str">
        <f>IF($B$3=$A$3,D6,IF($B$3=$A$4,E6,IF($B$3=$A$5,F6,IF($B$3=$A$6,G6,""))))</f>
        <v>Gemäss Skizze: (Ansicht von Aussen)</v>
      </c>
      <c r="I6" s="454" t="b">
        <v>0</v>
      </c>
      <c r="X6" s="273" t="s">
        <v>723</v>
      </c>
      <c r="Y6" s="309">
        <v>0.6</v>
      </c>
      <c r="Z6" s="309">
        <v>72</v>
      </c>
      <c r="AA6" s="309" t="s">
        <v>824</v>
      </c>
      <c r="AB6" s="309" t="s">
        <v>743</v>
      </c>
      <c r="AC6" s="310"/>
      <c r="AD6" s="273" t="s">
        <v>723</v>
      </c>
      <c r="AE6" s="309">
        <v>0.23</v>
      </c>
      <c r="AF6" s="309">
        <v>0.4</v>
      </c>
      <c r="AG6" s="309">
        <v>0.56999999999999995</v>
      </c>
      <c r="AH6" s="310" t="s">
        <v>757</v>
      </c>
      <c r="AI6" s="273" t="str">
        <f t="shared" si="0"/>
        <v>SG-34</v>
      </c>
      <c r="AJ6" s="309">
        <f t="shared" si="0"/>
        <v>0.6</v>
      </c>
      <c r="AK6" s="309">
        <f t="shared" si="0"/>
        <v>72</v>
      </c>
      <c r="AL6" s="309" t="str">
        <f t="shared" si="0"/>
        <v>52/53</v>
      </c>
      <c r="AM6" s="309" t="str">
        <f t="shared" si="0"/>
        <v>V-W8-2/14/E8/14/E8</v>
      </c>
      <c r="AN6" s="310"/>
    </row>
    <row r="7" spans="1:40" ht="13.5" thickBot="1" x14ac:dyDescent="0.25">
      <c r="D7" s="273" t="s">
        <v>473</v>
      </c>
      <c r="E7" s="309" t="s">
        <v>474</v>
      </c>
      <c r="F7" s="309" t="s">
        <v>475</v>
      </c>
      <c r="G7" s="310" t="s">
        <v>476</v>
      </c>
      <c r="H7" s="448" t="str">
        <f t="shared" ref="H7:H71" si="1">IF($B$3=$A$3,D7,IF($B$3=$A$4,E7,IF($B$3=$A$5,F7,IF($B$3=$A$6,G7,""))))</f>
        <v xml:space="preserve">Objekt: </v>
      </c>
      <c r="I7" s="454"/>
      <c r="X7" s="273" t="s">
        <v>724</v>
      </c>
      <c r="Y7" s="309">
        <v>0.6</v>
      </c>
      <c r="Z7" s="309">
        <v>71</v>
      </c>
      <c r="AA7" s="309">
        <v>51</v>
      </c>
      <c r="AB7" s="309" t="s">
        <v>744</v>
      </c>
      <c r="AC7" s="310"/>
      <c r="AD7" s="273" t="s">
        <v>724</v>
      </c>
      <c r="AE7" s="309">
        <v>0.22</v>
      </c>
      <c r="AF7" s="309">
        <v>0.37</v>
      </c>
      <c r="AG7" s="309">
        <v>0.56999999999999995</v>
      </c>
      <c r="AH7" s="310" t="s">
        <v>758</v>
      </c>
      <c r="AI7" s="273" t="str">
        <f t="shared" si="0"/>
        <v>SG-35</v>
      </c>
      <c r="AJ7" s="309">
        <f t="shared" si="0"/>
        <v>0.6</v>
      </c>
      <c r="AK7" s="309">
        <f t="shared" si="0"/>
        <v>71</v>
      </c>
      <c r="AL7" s="309">
        <f t="shared" si="0"/>
        <v>51</v>
      </c>
      <c r="AM7" s="309" t="str">
        <f t="shared" si="0"/>
        <v xml:space="preserve">E6/14/V-T12-2/14/E6 </v>
      </c>
      <c r="AN7" s="310"/>
    </row>
    <row r="8" spans="1:40" x14ac:dyDescent="0.2">
      <c r="B8" s="16" t="s">
        <v>183</v>
      </c>
      <c r="C8" s="18" t="s">
        <v>187</v>
      </c>
      <c r="D8" s="273" t="s">
        <v>181</v>
      </c>
      <c r="E8" s="309" t="s">
        <v>182</v>
      </c>
      <c r="F8" s="309" t="s">
        <v>105</v>
      </c>
      <c r="G8" s="310" t="s">
        <v>106</v>
      </c>
      <c r="H8" s="448" t="str">
        <f t="shared" si="1"/>
        <v>Bestelldatum:</v>
      </c>
      <c r="I8" s="454"/>
      <c r="X8" s="273" t="s">
        <v>725</v>
      </c>
      <c r="Y8" s="309">
        <v>0.6</v>
      </c>
      <c r="Z8" s="309">
        <v>72</v>
      </c>
      <c r="AA8" s="309">
        <v>51</v>
      </c>
      <c r="AB8" s="309" t="s">
        <v>745</v>
      </c>
      <c r="AC8" s="310"/>
      <c r="AD8" s="273" t="s">
        <v>725</v>
      </c>
      <c r="AE8" s="309">
        <v>0.23</v>
      </c>
      <c r="AF8" s="309">
        <v>0.37</v>
      </c>
      <c r="AG8" s="309">
        <v>0.56999999999999995</v>
      </c>
      <c r="AH8" s="310" t="s">
        <v>759</v>
      </c>
      <c r="AI8" s="273" t="str">
        <f t="shared" si="0"/>
        <v>SG-36</v>
      </c>
      <c r="AJ8" s="309">
        <f t="shared" si="0"/>
        <v>0.6</v>
      </c>
      <c r="AK8" s="309">
        <f t="shared" si="0"/>
        <v>72</v>
      </c>
      <c r="AL8" s="309">
        <f t="shared" si="0"/>
        <v>51</v>
      </c>
      <c r="AM8" s="309" t="str">
        <f t="shared" si="0"/>
        <v>E8/14/V-W8-2/14/E8</v>
      </c>
      <c r="AN8" s="310"/>
    </row>
    <row r="9" spans="1:40" ht="13.5" thickBot="1" x14ac:dyDescent="0.25">
      <c r="B9" s="317" t="s">
        <v>868</v>
      </c>
      <c r="C9" s="363" t="s">
        <v>869</v>
      </c>
      <c r="D9" s="273" t="s">
        <v>2</v>
      </c>
      <c r="E9" s="309" t="s">
        <v>3</v>
      </c>
      <c r="F9" s="309" t="s">
        <v>4</v>
      </c>
      <c r="G9" s="310" t="s">
        <v>107</v>
      </c>
      <c r="H9" s="448" t="str">
        <f t="shared" si="1"/>
        <v>Projekt-Nr.:</v>
      </c>
      <c r="I9" s="454"/>
      <c r="X9" s="273" t="s">
        <v>726</v>
      </c>
      <c r="Y9" s="309">
        <v>0.5</v>
      </c>
      <c r="Z9" s="309">
        <v>71</v>
      </c>
      <c r="AA9" s="309" t="s">
        <v>825</v>
      </c>
      <c r="AB9" s="309" t="s">
        <v>746</v>
      </c>
      <c r="AC9" s="310"/>
      <c r="AD9" s="273" t="s">
        <v>726</v>
      </c>
      <c r="AE9" s="309">
        <v>0.22</v>
      </c>
      <c r="AF9" s="309">
        <v>0.39</v>
      </c>
      <c r="AG9" s="309">
        <v>0.56999999999999995</v>
      </c>
      <c r="AH9" s="310" t="s">
        <v>760</v>
      </c>
      <c r="AI9" s="273" t="str">
        <f t="shared" si="0"/>
        <v>SG-37</v>
      </c>
      <c r="AJ9" s="309">
        <f t="shared" si="0"/>
        <v>0.5</v>
      </c>
      <c r="AK9" s="309">
        <f t="shared" si="0"/>
        <v>71</v>
      </c>
      <c r="AL9" s="309" t="str">
        <f t="shared" si="0"/>
        <v>52/49</v>
      </c>
      <c r="AM9" s="309" t="str">
        <f t="shared" si="0"/>
        <v xml:space="preserve">V-W8-P/12/E6/12/V-T12-P </v>
      </c>
      <c r="AN9" s="310"/>
    </row>
    <row r="10" spans="1:40" x14ac:dyDescent="0.2">
      <c r="A10" s="57" t="s">
        <v>44</v>
      </c>
      <c r="B10" s="462" t="s">
        <v>184</v>
      </c>
      <c r="C10" s="463" t="s">
        <v>188</v>
      </c>
      <c r="D10" s="273" t="s">
        <v>5</v>
      </c>
      <c r="E10" s="309" t="s">
        <v>6</v>
      </c>
      <c r="F10" s="309" t="s">
        <v>7</v>
      </c>
      <c r="G10" s="310" t="s">
        <v>319</v>
      </c>
      <c r="H10" s="448" t="str">
        <f t="shared" si="1"/>
        <v>2-gleisig</v>
      </c>
      <c r="I10" s="464" t="b">
        <v>0</v>
      </c>
      <c r="X10" s="273">
        <v>0</v>
      </c>
      <c r="Y10" s="52"/>
      <c r="Z10" s="309"/>
      <c r="AA10" s="309"/>
      <c r="AB10" s="309"/>
      <c r="AC10" s="310"/>
      <c r="AD10" s="273">
        <v>0</v>
      </c>
      <c r="AE10" s="309">
        <v>0</v>
      </c>
      <c r="AF10" s="309">
        <v>0</v>
      </c>
      <c r="AG10" s="309">
        <v>0</v>
      </c>
      <c r="AH10" s="310" t="str">
        <f>$H$54</f>
        <v>Glastyp wählen</v>
      </c>
      <c r="AI10" s="273">
        <f t="shared" si="0"/>
        <v>0</v>
      </c>
      <c r="AJ10" s="309">
        <f t="shared" si="0"/>
        <v>0</v>
      </c>
      <c r="AK10" s="309">
        <f t="shared" si="0"/>
        <v>0</v>
      </c>
      <c r="AL10" s="309">
        <f t="shared" si="0"/>
        <v>0</v>
      </c>
      <c r="AM10" s="309">
        <f t="shared" si="0"/>
        <v>0</v>
      </c>
      <c r="AN10" s="310"/>
    </row>
    <row r="11" spans="1:40" x14ac:dyDescent="0.2">
      <c r="A11" s="465"/>
      <c r="B11" s="466" t="s">
        <v>185</v>
      </c>
      <c r="C11" s="467" t="s">
        <v>189</v>
      </c>
      <c r="D11" s="273" t="s">
        <v>8</v>
      </c>
      <c r="E11" s="309" t="s">
        <v>9</v>
      </c>
      <c r="F11" s="309" t="s">
        <v>816</v>
      </c>
      <c r="G11" s="310" t="s">
        <v>320</v>
      </c>
      <c r="H11" s="448" t="str">
        <f t="shared" si="1"/>
        <v>3-gleisig</v>
      </c>
      <c r="I11" s="464" t="b">
        <v>0</v>
      </c>
      <c r="X11" s="273" t="s">
        <v>727</v>
      </c>
      <c r="Y11" s="309">
        <v>0.5</v>
      </c>
      <c r="Z11" s="309">
        <v>64</v>
      </c>
      <c r="AA11" s="309">
        <v>45</v>
      </c>
      <c r="AB11" s="318" t="s">
        <v>740</v>
      </c>
      <c r="AC11" s="310"/>
      <c r="AD11" s="273" t="s">
        <v>727</v>
      </c>
      <c r="AE11" s="309">
        <v>0.23</v>
      </c>
      <c r="AF11" s="309">
        <v>0.35</v>
      </c>
      <c r="AG11" s="309">
        <v>0.52</v>
      </c>
      <c r="AH11" s="310" t="s">
        <v>761</v>
      </c>
      <c r="AI11" s="273" t="str">
        <f t="shared" si="0"/>
        <v>SG-41</v>
      </c>
      <c r="AJ11" s="309">
        <f t="shared" si="0"/>
        <v>0.5</v>
      </c>
      <c r="AK11" s="309">
        <f t="shared" si="0"/>
        <v>64</v>
      </c>
      <c r="AL11" s="309">
        <f t="shared" si="0"/>
        <v>45</v>
      </c>
      <c r="AM11" s="309" t="str">
        <f t="shared" si="0"/>
        <v>E6/18/E6/E6</v>
      </c>
      <c r="AN11" s="310"/>
    </row>
    <row r="12" spans="1:40" x14ac:dyDescent="0.2">
      <c r="A12" s="448" t="s">
        <v>177</v>
      </c>
      <c r="B12" s="466" t="s">
        <v>186</v>
      </c>
      <c r="C12" s="467" t="s">
        <v>190</v>
      </c>
      <c r="D12" s="273" t="s">
        <v>10</v>
      </c>
      <c r="E12" s="309" t="s">
        <v>11</v>
      </c>
      <c r="F12" s="309" t="s">
        <v>817</v>
      </c>
      <c r="G12" s="310" t="s">
        <v>321</v>
      </c>
      <c r="H12" s="448" t="str">
        <f t="shared" si="1"/>
        <v>4-gleisig</v>
      </c>
      <c r="I12" s="464" t="b">
        <f>IF(AND(I11=TRUE,'Pos. 3'!AT5=1),TRUE,FALSE)</f>
        <v>0</v>
      </c>
      <c r="X12" s="273" t="s">
        <v>728</v>
      </c>
      <c r="Y12" s="309">
        <v>0.6</v>
      </c>
      <c r="Z12" s="309">
        <v>63</v>
      </c>
      <c r="AA12" s="309">
        <v>45</v>
      </c>
      <c r="AB12" s="309" t="s">
        <v>741</v>
      </c>
      <c r="AC12" s="310"/>
      <c r="AD12" s="273" t="s">
        <v>728</v>
      </c>
      <c r="AE12" s="309">
        <v>0.23</v>
      </c>
      <c r="AF12" s="309">
        <v>0.34</v>
      </c>
      <c r="AG12" s="309">
        <v>0.51</v>
      </c>
      <c r="AH12" s="310" t="s">
        <v>763</v>
      </c>
      <c r="AI12" s="273" t="str">
        <f t="shared" si="0"/>
        <v>SG-42</v>
      </c>
      <c r="AJ12" s="309">
        <f t="shared" si="0"/>
        <v>0.6</v>
      </c>
      <c r="AK12" s="309">
        <f t="shared" si="0"/>
        <v>63</v>
      </c>
      <c r="AL12" s="309">
        <f t="shared" si="0"/>
        <v>45</v>
      </c>
      <c r="AM12" s="309" t="str">
        <f t="shared" si="0"/>
        <v>E8/16/E8/14/E8</v>
      </c>
      <c r="AN12" s="310"/>
    </row>
    <row r="13" spans="1:40" x14ac:dyDescent="0.2">
      <c r="A13" s="448" t="s">
        <v>222</v>
      </c>
      <c r="B13" s="468" t="s">
        <v>416</v>
      </c>
      <c r="C13" s="469" t="s">
        <v>415</v>
      </c>
      <c r="D13" s="273" t="s">
        <v>12</v>
      </c>
      <c r="E13" s="309" t="s">
        <v>13</v>
      </c>
      <c r="F13" s="309" t="s">
        <v>14</v>
      </c>
      <c r="G13" s="310" t="s">
        <v>108</v>
      </c>
      <c r="H13" s="448" t="str">
        <f t="shared" si="1"/>
        <v>Teilung Achsmasse</v>
      </c>
      <c r="I13" s="454" t="b">
        <v>0</v>
      </c>
      <c r="X13" s="273" t="s">
        <v>729</v>
      </c>
      <c r="Y13" s="309">
        <v>0.5</v>
      </c>
      <c r="Z13" s="309">
        <v>64</v>
      </c>
      <c r="AA13" s="309" t="s">
        <v>828</v>
      </c>
      <c r="AB13" s="309" t="s">
        <v>742</v>
      </c>
      <c r="AC13" s="310"/>
      <c r="AD13" s="273" t="s">
        <v>729</v>
      </c>
      <c r="AE13" s="309">
        <v>0.22</v>
      </c>
      <c r="AF13" s="309">
        <v>0.35</v>
      </c>
      <c r="AG13" s="309">
        <v>0.51</v>
      </c>
      <c r="AH13" s="310" t="s">
        <v>762</v>
      </c>
      <c r="AI13" s="273" t="str">
        <f t="shared" si="0"/>
        <v>SG-43</v>
      </c>
      <c r="AJ13" s="309">
        <f t="shared" si="0"/>
        <v>0.5</v>
      </c>
      <c r="AK13" s="309">
        <f t="shared" si="0"/>
        <v>64</v>
      </c>
      <c r="AL13" s="309" t="str">
        <f t="shared" si="0"/>
        <v>44/46</v>
      </c>
      <c r="AM13" s="309" t="str">
        <f t="shared" si="0"/>
        <v>V-W8-2/16/E6/16/E6</v>
      </c>
      <c r="AN13" s="310"/>
    </row>
    <row r="14" spans="1:40" ht="13.5" thickBot="1" x14ac:dyDescent="0.25">
      <c r="A14" s="448" t="s">
        <v>221</v>
      </c>
      <c r="B14" s="377" t="s">
        <v>417</v>
      </c>
      <c r="C14" s="470" t="s">
        <v>414</v>
      </c>
      <c r="D14" s="273" t="s">
        <v>110</v>
      </c>
      <c r="E14" s="309" t="s">
        <v>109</v>
      </c>
      <c r="F14" s="5" t="s">
        <v>15</v>
      </c>
      <c r="G14" s="59" t="s">
        <v>345</v>
      </c>
      <c r="H14" s="448" t="str">
        <f t="shared" si="1"/>
        <v>alle Gläser gleiche Breite (Empfehlung)</v>
      </c>
      <c r="I14" s="454" t="b">
        <v>0</v>
      </c>
      <c r="X14" s="273" t="s">
        <v>722</v>
      </c>
      <c r="Y14" s="309">
        <v>0.6</v>
      </c>
      <c r="Z14" s="309">
        <v>64</v>
      </c>
      <c r="AA14" s="309" t="s">
        <v>827</v>
      </c>
      <c r="AB14" s="309" t="s">
        <v>743</v>
      </c>
      <c r="AC14" s="310"/>
      <c r="AD14" s="273" t="s">
        <v>722</v>
      </c>
      <c r="AE14" s="309">
        <v>0.23</v>
      </c>
      <c r="AF14" s="309">
        <v>0.34</v>
      </c>
      <c r="AG14" s="309">
        <v>0.5</v>
      </c>
      <c r="AH14" s="310" t="s">
        <v>764</v>
      </c>
      <c r="AI14" s="273" t="str">
        <f t="shared" si="0"/>
        <v>SG-44</v>
      </c>
      <c r="AJ14" s="309">
        <f t="shared" si="0"/>
        <v>0.6</v>
      </c>
      <c r="AK14" s="309">
        <f t="shared" si="0"/>
        <v>64</v>
      </c>
      <c r="AL14" s="309" t="str">
        <f t="shared" si="0"/>
        <v>43/45</v>
      </c>
      <c r="AM14" s="309" t="str">
        <f t="shared" si="0"/>
        <v>V-W8-2/14/E8/14/E8</v>
      </c>
      <c r="AN14" s="310"/>
    </row>
    <row r="15" spans="1:40" x14ac:dyDescent="0.2">
      <c r="A15" s="448" t="s">
        <v>223</v>
      </c>
      <c r="B15" s="85" t="s">
        <v>194</v>
      </c>
      <c r="C15" s="35"/>
      <c r="D15" s="273" t="s">
        <v>16</v>
      </c>
      <c r="E15" s="309" t="s">
        <v>16</v>
      </c>
      <c r="F15" s="309" t="s">
        <v>16</v>
      </c>
      <c r="G15" s="310" t="s">
        <v>16</v>
      </c>
      <c r="H15" s="448" t="str">
        <f t="shared" si="1"/>
        <v>Standard</v>
      </c>
      <c r="I15" s="454" t="b">
        <v>0</v>
      </c>
      <c r="X15" s="273" t="s">
        <v>730</v>
      </c>
      <c r="Y15" s="309">
        <v>0.6</v>
      </c>
      <c r="Z15" s="309">
        <v>63</v>
      </c>
      <c r="AA15" s="309">
        <v>43</v>
      </c>
      <c r="AB15" s="309" t="s">
        <v>744</v>
      </c>
      <c r="AC15" s="310"/>
      <c r="AD15" s="273" t="s">
        <v>730</v>
      </c>
      <c r="AE15" s="309">
        <v>0.22</v>
      </c>
      <c r="AF15" s="309">
        <v>0.31</v>
      </c>
      <c r="AG15" s="309">
        <v>0.5</v>
      </c>
      <c r="AH15" s="310" t="s">
        <v>765</v>
      </c>
      <c r="AI15" s="273" t="str">
        <f t="shared" si="0"/>
        <v>SG-45</v>
      </c>
      <c r="AJ15" s="309">
        <f t="shared" si="0"/>
        <v>0.6</v>
      </c>
      <c r="AK15" s="309">
        <f t="shared" si="0"/>
        <v>63</v>
      </c>
      <c r="AL15" s="309">
        <f t="shared" si="0"/>
        <v>43</v>
      </c>
      <c r="AM15" s="309" t="str">
        <f t="shared" si="0"/>
        <v xml:space="preserve">E6/14/V-T12-2/14/E6 </v>
      </c>
      <c r="AN15" s="310"/>
    </row>
    <row r="16" spans="1:40" x14ac:dyDescent="0.2">
      <c r="A16" s="448" t="s">
        <v>224</v>
      </c>
      <c r="B16" s="471" t="s">
        <v>195</v>
      </c>
      <c r="C16" s="463">
        <f>IF(AND($I$20=TRUE,OR('Pos. 3'!$F$10='Sprachen &amp; Rückgabewerte(3)'!$B$10,'Pos. 3'!$F$10='Sprachen &amp; Rückgabewerte(3)'!$B$11)),1,0)</f>
        <v>0</v>
      </c>
      <c r="D16" s="273" t="s">
        <v>17</v>
      </c>
      <c r="E16" s="309" t="s">
        <v>18</v>
      </c>
      <c r="F16" s="309" t="s">
        <v>19</v>
      </c>
      <c r="G16" s="310" t="s">
        <v>322</v>
      </c>
      <c r="H16" s="448" t="str">
        <f t="shared" si="1"/>
        <v>Einbruchschutz RC2</v>
      </c>
      <c r="I16" s="454" t="b">
        <v>0</v>
      </c>
      <c r="X16" s="273" t="s">
        <v>731</v>
      </c>
      <c r="Y16" s="309">
        <v>0.6</v>
      </c>
      <c r="Z16" s="309">
        <v>61</v>
      </c>
      <c r="AA16" s="309">
        <v>43</v>
      </c>
      <c r="AB16" s="309" t="s">
        <v>745</v>
      </c>
      <c r="AC16" s="310"/>
      <c r="AD16" s="273" t="s">
        <v>731</v>
      </c>
      <c r="AE16" s="309">
        <v>0.23</v>
      </c>
      <c r="AF16" s="309">
        <v>0.31</v>
      </c>
      <c r="AG16" s="309">
        <v>0.5</v>
      </c>
      <c r="AH16" s="310" t="s">
        <v>766</v>
      </c>
      <c r="AI16" s="273" t="str">
        <f t="shared" si="0"/>
        <v>SG-46</v>
      </c>
      <c r="AJ16" s="309">
        <f t="shared" si="0"/>
        <v>0.6</v>
      </c>
      <c r="AK16" s="309">
        <f t="shared" si="0"/>
        <v>61</v>
      </c>
      <c r="AL16" s="309">
        <f t="shared" si="0"/>
        <v>43</v>
      </c>
      <c r="AM16" s="309" t="str">
        <f t="shared" si="0"/>
        <v>E8/14/V-W8-2/14/E8</v>
      </c>
      <c r="AN16" s="310"/>
    </row>
    <row r="17" spans="1:40" x14ac:dyDescent="0.2">
      <c r="A17" s="448" t="s">
        <v>225</v>
      </c>
      <c r="B17" s="466" t="s">
        <v>196</v>
      </c>
      <c r="C17" s="467">
        <f>IF(AND($I$20=TRUE,OR('Pos. 3'!$J$10='Sprachen &amp; Rückgabewerte(3)'!$B$10,'Pos. 3'!$J$10='Sprachen &amp; Rückgabewerte(3)'!$B$11)),1,0)</f>
        <v>0</v>
      </c>
      <c r="D17" s="273" t="s">
        <v>313</v>
      </c>
      <c r="E17" s="309" t="s">
        <v>20</v>
      </c>
      <c r="F17" s="309" t="s">
        <v>21</v>
      </c>
      <c r="G17" s="310" t="s">
        <v>122</v>
      </c>
      <c r="H17" s="448" t="str">
        <f t="shared" si="1"/>
        <v>Positionsüberwachung (P)</v>
      </c>
      <c r="I17" s="454" t="b">
        <v>0</v>
      </c>
      <c r="X17" s="273" t="s">
        <v>732</v>
      </c>
      <c r="Y17" s="309">
        <v>0.5</v>
      </c>
      <c r="Z17" s="309">
        <v>63</v>
      </c>
      <c r="AA17" s="309" t="s">
        <v>826</v>
      </c>
      <c r="AB17" s="309" t="s">
        <v>747</v>
      </c>
      <c r="AC17" s="310"/>
      <c r="AD17" s="273" t="s">
        <v>732</v>
      </c>
      <c r="AE17" s="309">
        <v>0.22</v>
      </c>
      <c r="AF17" s="309">
        <v>0.34</v>
      </c>
      <c r="AG17" s="309">
        <v>0.5</v>
      </c>
      <c r="AH17" s="310" t="s">
        <v>767</v>
      </c>
      <c r="AI17" s="273" t="str">
        <f t="shared" si="0"/>
        <v>SG-47</v>
      </c>
      <c r="AJ17" s="309">
        <f t="shared" si="0"/>
        <v>0.5</v>
      </c>
      <c r="AK17" s="309">
        <f t="shared" si="0"/>
        <v>63</v>
      </c>
      <c r="AL17" s="309" t="str">
        <f t="shared" si="0"/>
        <v>44/41</v>
      </c>
      <c r="AM17" s="309" t="str">
        <f t="shared" si="0"/>
        <v xml:space="preserve">V-W-8P/12/E6/12/V-T12-P </v>
      </c>
      <c r="AN17" s="310"/>
    </row>
    <row r="18" spans="1:40" x14ac:dyDescent="0.2">
      <c r="A18" s="448" t="s">
        <v>226</v>
      </c>
      <c r="B18" s="466" t="s">
        <v>197</v>
      </c>
      <c r="C18" s="467">
        <f>IF(AND($I$20=TRUE,OR('Pos. 3'!$N$10='Sprachen &amp; Rückgabewerte(3)'!$B$10,'Pos. 3'!$N$10='Sprachen &amp; Rückgabewerte(3)'!$B$11)),1,0)</f>
        <v>0</v>
      </c>
      <c r="D18" s="273" t="s">
        <v>314</v>
      </c>
      <c r="E18" s="309" t="s">
        <v>22</v>
      </c>
      <c r="F18" s="309" t="s">
        <v>315</v>
      </c>
      <c r="G18" s="310" t="s">
        <v>123</v>
      </c>
      <c r="H18" s="448" t="str">
        <f t="shared" si="1"/>
        <v xml:space="preserve">Riegelüberwachung (R) </v>
      </c>
      <c r="I18" s="454" t="b">
        <v>0</v>
      </c>
      <c r="X18" s="273">
        <v>0</v>
      </c>
      <c r="Y18" s="309"/>
      <c r="Z18" s="309"/>
      <c r="AA18" s="309"/>
      <c r="AB18" s="309"/>
      <c r="AC18" s="310"/>
      <c r="AD18" s="273">
        <v>0</v>
      </c>
      <c r="AE18" s="309">
        <v>0</v>
      </c>
      <c r="AF18" s="309">
        <v>0</v>
      </c>
      <c r="AG18" s="309">
        <v>0</v>
      </c>
      <c r="AH18" s="310" t="str">
        <f>$H$54</f>
        <v>Glastyp wählen</v>
      </c>
      <c r="AI18" s="273">
        <f t="shared" si="0"/>
        <v>0</v>
      </c>
      <c r="AJ18" s="309">
        <f t="shared" si="0"/>
        <v>0</v>
      </c>
      <c r="AK18" s="309">
        <f t="shared" si="0"/>
        <v>0</v>
      </c>
      <c r="AL18" s="309">
        <f t="shared" si="0"/>
        <v>0</v>
      </c>
      <c r="AM18" s="309">
        <f t="shared" si="0"/>
        <v>0</v>
      </c>
      <c r="AN18" s="310"/>
    </row>
    <row r="19" spans="1:40" x14ac:dyDescent="0.2">
      <c r="A19" s="448"/>
      <c r="B19" s="466" t="s">
        <v>198</v>
      </c>
      <c r="C19" s="467">
        <f>IF(AND($I$20=TRUE,OR('Pos. 3'!$R$10='Sprachen &amp; Rückgabewerte(3)'!$B$10,'Pos. 3'!$R$10='Sprachen &amp; Rückgabewerte(3)'!$B$11)),1,0)</f>
        <v>0</v>
      </c>
      <c r="D19" s="273" t="s">
        <v>316</v>
      </c>
      <c r="E19" s="309" t="s">
        <v>23</v>
      </c>
      <c r="F19" s="309" t="s">
        <v>24</v>
      </c>
      <c r="G19" s="310" t="s">
        <v>121</v>
      </c>
      <c r="H19" s="448" t="str">
        <f t="shared" si="1"/>
        <v>Glasbruchüberwachung (G)</v>
      </c>
      <c r="I19" s="454" t="b">
        <v>0</v>
      </c>
      <c r="X19" s="273" t="s">
        <v>733</v>
      </c>
      <c r="Y19" s="309">
        <v>0.5</v>
      </c>
      <c r="Z19" s="309">
        <v>55</v>
      </c>
      <c r="AA19" s="309">
        <v>33</v>
      </c>
      <c r="AB19" s="318" t="s">
        <v>740</v>
      </c>
      <c r="AC19" s="310"/>
      <c r="AD19" s="273" t="s">
        <v>733</v>
      </c>
      <c r="AE19" s="309">
        <v>0.23</v>
      </c>
      <c r="AF19" s="309">
        <v>0.28999999999999998</v>
      </c>
      <c r="AG19" s="309">
        <v>0.46</v>
      </c>
      <c r="AH19" s="310" t="s">
        <v>768</v>
      </c>
      <c r="AI19" s="273" t="str">
        <f t="shared" si="0"/>
        <v>SG-51</v>
      </c>
      <c r="AJ19" s="309">
        <f t="shared" si="0"/>
        <v>0.5</v>
      </c>
      <c r="AK19" s="309">
        <f t="shared" si="0"/>
        <v>55</v>
      </c>
      <c r="AL19" s="309">
        <f t="shared" si="0"/>
        <v>33</v>
      </c>
      <c r="AM19" s="309" t="str">
        <f t="shared" si="0"/>
        <v>E6/18/E6/E6</v>
      </c>
      <c r="AN19" s="310"/>
    </row>
    <row r="20" spans="1:40" x14ac:dyDescent="0.2">
      <c r="A20" s="448" t="s">
        <v>227</v>
      </c>
      <c r="B20" s="466" t="s">
        <v>199</v>
      </c>
      <c r="C20" s="467">
        <f>IF(AND($I$20=TRUE,OR('Pos. 3'!$V$10='Sprachen &amp; Rückgabewerte(3)'!$B$10,'Pos. 3'!$V$10='Sprachen &amp; Rückgabewerte(3)'!$B$11)),1,0)</f>
        <v>0</v>
      </c>
      <c r="D20" s="273" t="s">
        <v>25</v>
      </c>
      <c r="E20" s="309" t="s">
        <v>192</v>
      </c>
      <c r="F20" s="309" t="s">
        <v>26</v>
      </c>
      <c r="G20" s="310" t="s">
        <v>124</v>
      </c>
      <c r="H20" s="448" t="str">
        <f t="shared" si="1"/>
        <v>Elektrischer Antrieb, Anzahl</v>
      </c>
      <c r="I20" s="454" t="b">
        <v>0</v>
      </c>
      <c r="X20" s="273" t="s">
        <v>734</v>
      </c>
      <c r="Y20" s="309">
        <v>0.6</v>
      </c>
      <c r="Z20" s="309">
        <v>54</v>
      </c>
      <c r="AA20" s="309">
        <v>33</v>
      </c>
      <c r="AB20" s="309" t="s">
        <v>741</v>
      </c>
      <c r="AC20" s="310"/>
      <c r="AD20" s="273" t="s">
        <v>734</v>
      </c>
      <c r="AE20" s="309">
        <v>0.23</v>
      </c>
      <c r="AF20" s="309">
        <v>0.28000000000000003</v>
      </c>
      <c r="AG20" s="309">
        <v>0.46</v>
      </c>
      <c r="AH20" s="310" t="s">
        <v>769</v>
      </c>
      <c r="AI20" s="273" t="str">
        <f t="shared" si="0"/>
        <v>SG-52</v>
      </c>
      <c r="AJ20" s="309">
        <f t="shared" si="0"/>
        <v>0.6</v>
      </c>
      <c r="AK20" s="309">
        <f t="shared" si="0"/>
        <v>54</v>
      </c>
      <c r="AL20" s="309">
        <f t="shared" si="0"/>
        <v>33</v>
      </c>
      <c r="AM20" s="309" t="str">
        <f t="shared" si="0"/>
        <v>E8/16/E8/14/E8</v>
      </c>
      <c r="AN20" s="310"/>
    </row>
    <row r="21" spans="1:40" x14ac:dyDescent="0.2">
      <c r="A21" s="448" t="s">
        <v>228</v>
      </c>
      <c r="B21" s="466" t="s">
        <v>200</v>
      </c>
      <c r="C21" s="467">
        <f>IF(AND($I$20=TRUE,OR('Pos. 3'!$Z$10='Sprachen &amp; Rückgabewerte(3)'!$B$10,'Pos. 3'!$Z$10='Sprachen &amp; Rückgabewerte(3)'!$B$11)),1,0)</f>
        <v>0</v>
      </c>
      <c r="D21" s="273" t="s">
        <v>27</v>
      </c>
      <c r="E21" s="309" t="s">
        <v>692</v>
      </c>
      <c r="F21" s="309" t="s">
        <v>28</v>
      </c>
      <c r="G21" s="310" t="s">
        <v>125</v>
      </c>
      <c r="H21" s="448" t="str">
        <f t="shared" si="1"/>
        <v>Stk.</v>
      </c>
      <c r="I21" s="454"/>
      <c r="X21" s="273" t="s">
        <v>735</v>
      </c>
      <c r="Y21" s="309">
        <v>0.5</v>
      </c>
      <c r="Z21" s="309">
        <v>55</v>
      </c>
      <c r="AA21" s="309" t="s">
        <v>831</v>
      </c>
      <c r="AB21" s="309" t="s">
        <v>742</v>
      </c>
      <c r="AC21" s="310"/>
      <c r="AD21" s="273" t="s">
        <v>735</v>
      </c>
      <c r="AE21" s="309">
        <v>0.23</v>
      </c>
      <c r="AF21" s="309">
        <v>0.28999999999999998</v>
      </c>
      <c r="AG21" s="309">
        <v>0.45</v>
      </c>
      <c r="AH21" s="310" t="s">
        <v>770</v>
      </c>
      <c r="AI21" s="273" t="str">
        <f t="shared" si="0"/>
        <v>SG-53</v>
      </c>
      <c r="AJ21" s="309">
        <f t="shared" si="0"/>
        <v>0.5</v>
      </c>
      <c r="AK21" s="309">
        <f t="shared" si="0"/>
        <v>55</v>
      </c>
      <c r="AL21" s="309" t="str">
        <f t="shared" si="0"/>
        <v>32/34</v>
      </c>
      <c r="AM21" s="309" t="str">
        <f t="shared" si="0"/>
        <v>V-W8-2/16/E6/16/E6</v>
      </c>
      <c r="AN21" s="310"/>
    </row>
    <row r="22" spans="1:40" x14ac:dyDescent="0.2">
      <c r="A22" s="448"/>
      <c r="B22" s="466" t="s">
        <v>201</v>
      </c>
      <c r="C22" s="467">
        <f>IF(AND($I$20=TRUE,OR('Pos. 3'!$AD$10='Sprachen &amp; Rückgabewerte(3)'!$B$10,'Pos. 3'!$AD$10='Sprachen &amp; Rückgabewerte(3)'!$B$11)),1,0)</f>
        <v>0</v>
      </c>
      <c r="D22" s="273" t="s">
        <v>29</v>
      </c>
      <c r="E22" s="309" t="s">
        <v>312</v>
      </c>
      <c r="F22" s="309" t="s">
        <v>311</v>
      </c>
      <c r="G22" s="310" t="s">
        <v>468</v>
      </c>
      <c r="H22" s="448" t="str">
        <f t="shared" si="1"/>
        <v>geforderte Klassen:</v>
      </c>
      <c r="I22" s="454" t="b">
        <v>0</v>
      </c>
      <c r="X22" s="273" t="s">
        <v>736</v>
      </c>
      <c r="Y22" s="309">
        <v>0.6</v>
      </c>
      <c r="Z22" s="309">
        <v>54</v>
      </c>
      <c r="AA22" s="309" t="s">
        <v>830</v>
      </c>
      <c r="AB22" s="309" t="s">
        <v>743</v>
      </c>
      <c r="AC22" s="310"/>
      <c r="AD22" s="273" t="s">
        <v>736</v>
      </c>
      <c r="AE22" s="309">
        <v>0.23</v>
      </c>
      <c r="AF22" s="309">
        <v>0.28000000000000003</v>
      </c>
      <c r="AG22" s="309">
        <v>0.45</v>
      </c>
      <c r="AH22" s="310" t="s">
        <v>771</v>
      </c>
      <c r="AI22" s="273" t="str">
        <f t="shared" si="0"/>
        <v>SG-54</v>
      </c>
      <c r="AJ22" s="309">
        <f t="shared" si="0"/>
        <v>0.6</v>
      </c>
      <c r="AK22" s="309">
        <f t="shared" si="0"/>
        <v>54</v>
      </c>
      <c r="AL22" s="309" t="str">
        <f t="shared" si="0"/>
        <v>31/33</v>
      </c>
      <c r="AM22" s="309" t="str">
        <f t="shared" si="0"/>
        <v>V-W8-2/14/E8/14/E8</v>
      </c>
      <c r="AN22" s="310"/>
    </row>
    <row r="23" spans="1:40" x14ac:dyDescent="0.2">
      <c r="A23" s="368">
        <v>1</v>
      </c>
      <c r="B23" s="466" t="s">
        <v>202</v>
      </c>
      <c r="C23" s="467">
        <f>IF(AND($I$20=TRUE,OR('Pos. 3'!$AH$10='Sprachen &amp; Rückgabewerte(3)'!$B$10,'Pos. 3'!$AH$10='Sprachen &amp; Rückgabewerte(3)'!$B$11)),1,0)</f>
        <v>0</v>
      </c>
      <c r="D23" s="6" t="s">
        <v>118</v>
      </c>
      <c r="E23" s="7" t="s">
        <v>119</v>
      </c>
      <c r="F23" s="7" t="s">
        <v>120</v>
      </c>
      <c r="G23" s="8" t="s">
        <v>323</v>
      </c>
      <c r="H23" s="448" t="str">
        <f t="shared" si="1"/>
        <v>(Schlagregen, Luftdurchlässigkeit)</v>
      </c>
      <c r="I23" s="454"/>
      <c r="X23" s="273" t="s">
        <v>737</v>
      </c>
      <c r="Y23" s="309">
        <v>0.6</v>
      </c>
      <c r="Z23" s="309">
        <v>53</v>
      </c>
      <c r="AA23" s="309">
        <v>25</v>
      </c>
      <c r="AB23" s="309" t="s">
        <v>744</v>
      </c>
      <c r="AC23" s="310"/>
      <c r="AD23" s="273" t="s">
        <v>737</v>
      </c>
      <c r="AE23" s="309">
        <v>0.22</v>
      </c>
      <c r="AF23" s="309">
        <v>0.23</v>
      </c>
      <c r="AG23" s="309">
        <v>0.45</v>
      </c>
      <c r="AH23" s="310" t="s">
        <v>772</v>
      </c>
      <c r="AI23" s="273" t="str">
        <f t="shared" si="0"/>
        <v>SG-55</v>
      </c>
      <c r="AJ23" s="309">
        <f t="shared" si="0"/>
        <v>0.6</v>
      </c>
      <c r="AK23" s="309">
        <f t="shared" si="0"/>
        <v>53</v>
      </c>
      <c r="AL23" s="309">
        <f t="shared" si="0"/>
        <v>25</v>
      </c>
      <c r="AM23" s="309" t="str">
        <f t="shared" si="0"/>
        <v xml:space="preserve">E6/14/V-T12-2/14/E6 </v>
      </c>
      <c r="AN23" s="310"/>
    </row>
    <row r="24" spans="1:40" ht="13.5" thickBot="1" x14ac:dyDescent="0.25">
      <c r="A24" s="472">
        <v>2</v>
      </c>
      <c r="B24" s="466" t="s">
        <v>203</v>
      </c>
      <c r="C24" s="467">
        <f>IF(AND($I$20=TRUE,OR('Pos. 3'!$AL$10='Sprachen &amp; Rückgabewerte(3)'!$B$10,'Pos. 3'!$AL$10='Sprachen &amp; Rückgabewerte(3)'!$B$11)),1,0)</f>
        <v>0</v>
      </c>
      <c r="D24" s="273" t="s">
        <v>111</v>
      </c>
      <c r="E24" s="309" t="s">
        <v>112</v>
      </c>
      <c r="F24" s="309" t="s">
        <v>113</v>
      </c>
      <c r="G24" s="310" t="s">
        <v>114</v>
      </c>
      <c r="H24" s="448" t="str">
        <f t="shared" si="1"/>
        <v>Speziell:</v>
      </c>
      <c r="I24" s="454"/>
      <c r="X24" s="273" t="s">
        <v>738</v>
      </c>
      <c r="Y24" s="309">
        <v>0.6</v>
      </c>
      <c r="Z24" s="309">
        <v>54</v>
      </c>
      <c r="AA24" s="309">
        <v>26</v>
      </c>
      <c r="AB24" s="309" t="s">
        <v>745</v>
      </c>
      <c r="AC24" s="310"/>
      <c r="AD24" s="273" t="s">
        <v>738</v>
      </c>
      <c r="AE24" s="309">
        <v>0.23</v>
      </c>
      <c r="AF24" s="309">
        <v>0.23</v>
      </c>
      <c r="AG24" s="309">
        <v>0.45</v>
      </c>
      <c r="AH24" s="310" t="s">
        <v>773</v>
      </c>
      <c r="AI24" s="273" t="str">
        <f t="shared" si="0"/>
        <v>SG-56</v>
      </c>
      <c r="AJ24" s="309">
        <f t="shared" si="0"/>
        <v>0.6</v>
      </c>
      <c r="AK24" s="309">
        <f t="shared" si="0"/>
        <v>54</v>
      </c>
      <c r="AL24" s="309">
        <f t="shared" si="0"/>
        <v>26</v>
      </c>
      <c r="AM24" s="309" t="str">
        <f t="shared" si="0"/>
        <v>E8/14/V-W8-2/14/E8</v>
      </c>
      <c r="AN24" s="310"/>
    </row>
    <row r="25" spans="1:40" ht="13.5" thickBot="1" x14ac:dyDescent="0.25">
      <c r="B25" s="473" t="s">
        <v>204</v>
      </c>
      <c r="C25" s="470">
        <f>IF(AND($I$20=TRUE,OR('Pos. 3'!$AP$10='Sprachen &amp; Rückgabewerte(3)'!$B$10,'Pos. 3'!$AP$10='Sprachen &amp; Rückgabewerte(3)'!$B$11)),1,0)</f>
        <v>0</v>
      </c>
      <c r="D25" s="273" t="s">
        <v>30</v>
      </c>
      <c r="E25" s="309" t="s">
        <v>30</v>
      </c>
      <c r="F25" s="309" t="s">
        <v>30</v>
      </c>
      <c r="G25" s="310" t="s">
        <v>30</v>
      </c>
      <c r="H25" s="448" t="str">
        <f t="shared" si="1"/>
        <v>Pool</v>
      </c>
      <c r="I25" s="454" t="b">
        <v>0</v>
      </c>
      <c r="X25" s="273" t="s">
        <v>739</v>
      </c>
      <c r="Y25" s="309">
        <v>0.5</v>
      </c>
      <c r="Z25" s="309">
        <v>53</v>
      </c>
      <c r="AA25" s="309" t="s">
        <v>829</v>
      </c>
      <c r="AB25" s="309" t="s">
        <v>747</v>
      </c>
      <c r="AC25" s="310"/>
      <c r="AD25" s="273" t="s">
        <v>739</v>
      </c>
      <c r="AE25" s="309">
        <v>0.22</v>
      </c>
      <c r="AF25" s="309">
        <v>0.28000000000000003</v>
      </c>
      <c r="AG25" s="309">
        <v>0.45</v>
      </c>
      <c r="AH25" s="310" t="s">
        <v>774</v>
      </c>
      <c r="AI25" s="474" t="str">
        <f t="shared" si="0"/>
        <v>SG-57</v>
      </c>
      <c r="AJ25" s="475">
        <f t="shared" si="0"/>
        <v>0.5</v>
      </c>
      <c r="AK25" s="475">
        <f t="shared" si="0"/>
        <v>53</v>
      </c>
      <c r="AL25" s="475" t="str">
        <f t="shared" si="0"/>
        <v>32/31</v>
      </c>
      <c r="AM25" s="475" t="str">
        <f t="shared" si="0"/>
        <v xml:space="preserve">V-W-8P/12/E6/12/V-T12-P </v>
      </c>
      <c r="AN25" s="476"/>
    </row>
    <row r="26" spans="1:40" ht="13.5" thickBot="1" x14ac:dyDescent="0.25">
      <c r="D26" s="273" t="s">
        <v>115</v>
      </c>
      <c r="E26" s="309" t="s">
        <v>707</v>
      </c>
      <c r="F26" s="309" t="s">
        <v>708</v>
      </c>
      <c r="G26" s="310" t="s">
        <v>324</v>
      </c>
      <c r="H26" s="448" t="str">
        <f t="shared" si="1"/>
        <v>Schallschutz</v>
      </c>
      <c r="I26" s="454" t="b">
        <v>0</v>
      </c>
      <c r="X26" s="273">
        <v>0</v>
      </c>
      <c r="Y26" s="309">
        <v>0</v>
      </c>
      <c r="Z26" s="309">
        <v>0</v>
      </c>
      <c r="AA26" s="309">
        <v>0</v>
      </c>
      <c r="AB26" s="309" t="str">
        <f>$H$54</f>
        <v>Glastyp wählen</v>
      </c>
      <c r="AC26" s="310"/>
      <c r="AD26" s="326">
        <v>0</v>
      </c>
      <c r="AE26" s="477">
        <v>0</v>
      </c>
      <c r="AF26" s="477">
        <v>0</v>
      </c>
      <c r="AG26" s="477">
        <v>0</v>
      </c>
      <c r="AH26" s="310" t="str">
        <f>$H$54</f>
        <v>Glastyp wählen</v>
      </c>
      <c r="AI26" s="273">
        <f t="shared" ref="AI26:AM41" si="2">IF($I$125=TRUE,AD26,X26)</f>
        <v>0</v>
      </c>
      <c r="AJ26" s="309">
        <f t="shared" si="2"/>
        <v>0</v>
      </c>
      <c r="AK26" s="309">
        <f t="shared" si="2"/>
        <v>0</v>
      </c>
      <c r="AL26" s="309">
        <f t="shared" si="2"/>
        <v>0</v>
      </c>
      <c r="AM26" s="309" t="str">
        <f t="shared" si="2"/>
        <v>Glastyp wählen</v>
      </c>
      <c r="AN26" s="310"/>
    </row>
    <row r="27" spans="1:40" x14ac:dyDescent="0.2">
      <c r="A27" s="57" t="s">
        <v>885</v>
      </c>
      <c r="B27" s="34" t="s">
        <v>205</v>
      </c>
      <c r="C27" s="371"/>
      <c r="D27" s="273" t="s">
        <v>116</v>
      </c>
      <c r="E27" s="309" t="s">
        <v>116</v>
      </c>
      <c r="F27" s="309" t="s">
        <v>116</v>
      </c>
      <c r="G27" s="310" t="s">
        <v>116</v>
      </c>
      <c r="H27" s="448" t="str">
        <f t="shared" si="1"/>
        <v>MINERGIE Modul</v>
      </c>
      <c r="I27" s="454" t="b">
        <v>0</v>
      </c>
      <c r="X27" s="273" t="s">
        <v>789</v>
      </c>
      <c r="Y27" s="309">
        <v>1.1000000000000001</v>
      </c>
      <c r="Z27" s="309">
        <v>79</v>
      </c>
      <c r="AA27" s="309">
        <v>61</v>
      </c>
      <c r="AB27" s="309" t="s">
        <v>805</v>
      </c>
      <c r="AC27" s="310"/>
      <c r="AD27" s="326" t="s">
        <v>775</v>
      </c>
      <c r="AE27" s="477">
        <v>0.23</v>
      </c>
      <c r="AF27" s="477">
        <v>0.26</v>
      </c>
      <c r="AG27" s="477">
        <v>0.38</v>
      </c>
      <c r="AH27" s="310" t="s">
        <v>776</v>
      </c>
      <c r="AI27" s="273" t="str">
        <f t="shared" si="2"/>
        <v>SG-61</v>
      </c>
      <c r="AJ27" s="309">
        <f t="shared" si="2"/>
        <v>1.1000000000000001</v>
      </c>
      <c r="AK27" s="309">
        <f t="shared" si="2"/>
        <v>79</v>
      </c>
      <c r="AL27" s="309">
        <f t="shared" si="2"/>
        <v>61</v>
      </c>
      <c r="AM27" s="309" t="str">
        <f t="shared" si="2"/>
        <v>E10/18/E10</v>
      </c>
      <c r="AN27" s="310"/>
    </row>
    <row r="28" spans="1:40" x14ac:dyDescent="0.2">
      <c r="A28" s="367"/>
      <c r="B28" s="317" t="s">
        <v>206</v>
      </c>
      <c r="C28" s="363" t="str">
        <f>IF($I$17=TRUE,"P","")</f>
        <v/>
      </c>
      <c r="D28" s="273" t="s">
        <v>117</v>
      </c>
      <c r="E28" s="309" t="s">
        <v>117</v>
      </c>
      <c r="F28" s="309" t="s">
        <v>117</v>
      </c>
      <c r="G28" s="310" t="s">
        <v>117</v>
      </c>
      <c r="H28" s="448" t="str">
        <f t="shared" si="1"/>
        <v>MINERGIE-P Modul</v>
      </c>
      <c r="I28" s="454" t="b">
        <v>0</v>
      </c>
      <c r="X28" s="273" t="s">
        <v>791</v>
      </c>
      <c r="Y28" s="309">
        <v>1.1000000000000001</v>
      </c>
      <c r="Z28" s="309">
        <v>77</v>
      </c>
      <c r="AA28" s="309">
        <v>61</v>
      </c>
      <c r="AB28" s="309" t="s">
        <v>806</v>
      </c>
      <c r="AC28" s="310"/>
      <c r="AD28" s="326" t="s">
        <v>777</v>
      </c>
      <c r="AE28" s="477">
        <v>0.23</v>
      </c>
      <c r="AF28" s="477">
        <v>0.26</v>
      </c>
      <c r="AG28" s="477">
        <v>0.37</v>
      </c>
      <c r="AH28" s="310" t="s">
        <v>778</v>
      </c>
      <c r="AI28" s="273" t="str">
        <f t="shared" si="2"/>
        <v>SG-62</v>
      </c>
      <c r="AJ28" s="309">
        <f t="shared" si="2"/>
        <v>1.1000000000000001</v>
      </c>
      <c r="AK28" s="309">
        <f t="shared" si="2"/>
        <v>77</v>
      </c>
      <c r="AL28" s="309">
        <f t="shared" si="2"/>
        <v>61</v>
      </c>
      <c r="AM28" s="309" t="str">
        <f t="shared" si="2"/>
        <v>E10/14/V-W16-2</v>
      </c>
      <c r="AN28" s="310"/>
    </row>
    <row r="29" spans="1:40" x14ac:dyDescent="0.2">
      <c r="A29" s="368" t="s">
        <v>886</v>
      </c>
      <c r="B29" s="273" t="s">
        <v>207</v>
      </c>
      <c r="C29" s="467" t="str">
        <f>IF($I$18=TRUE,"R","")</f>
        <v/>
      </c>
      <c r="D29" s="273" t="s">
        <v>709</v>
      </c>
      <c r="E29" s="309" t="s">
        <v>709</v>
      </c>
      <c r="F29" s="309" t="s">
        <v>709</v>
      </c>
      <c r="G29" s="310" t="s">
        <v>709</v>
      </c>
      <c r="H29" s="448" t="str">
        <f t="shared" si="1"/>
        <v>Sky-Frame Gun</v>
      </c>
      <c r="I29" s="454" t="b">
        <v>0</v>
      </c>
      <c r="X29" s="273" t="s">
        <v>793</v>
      </c>
      <c r="Y29" s="309">
        <v>1</v>
      </c>
      <c r="Z29" s="309">
        <v>69</v>
      </c>
      <c r="AA29" s="309">
        <v>50</v>
      </c>
      <c r="AB29" s="309" t="s">
        <v>805</v>
      </c>
      <c r="AC29" s="310"/>
      <c r="AD29" s="326" t="s">
        <v>779</v>
      </c>
      <c r="AE29" s="477">
        <v>0.23</v>
      </c>
      <c r="AF29" s="477">
        <v>0.26</v>
      </c>
      <c r="AG29" s="477">
        <v>0.37</v>
      </c>
      <c r="AH29" s="310" t="s">
        <v>780</v>
      </c>
      <c r="AI29" s="273" t="str">
        <f t="shared" si="2"/>
        <v>SG-63</v>
      </c>
      <c r="AJ29" s="309">
        <f t="shared" si="2"/>
        <v>1</v>
      </c>
      <c r="AK29" s="309">
        <f t="shared" si="2"/>
        <v>69</v>
      </c>
      <c r="AL29" s="309">
        <f t="shared" si="2"/>
        <v>50</v>
      </c>
      <c r="AM29" s="309" t="str">
        <f t="shared" si="2"/>
        <v>E10/18/E10</v>
      </c>
      <c r="AN29" s="310"/>
    </row>
    <row r="30" spans="1:40" ht="13.5" thickBot="1" x14ac:dyDescent="0.25">
      <c r="A30" s="369" t="s">
        <v>887</v>
      </c>
      <c r="B30" s="473" t="s">
        <v>208</v>
      </c>
      <c r="C30" s="470" t="str">
        <f>IF($I$19=TRUE,"G","")</f>
        <v/>
      </c>
      <c r="D30" s="273" t="s">
        <v>31</v>
      </c>
      <c r="E30" s="309" t="s">
        <v>32</v>
      </c>
      <c r="F30" s="309" t="s">
        <v>33</v>
      </c>
      <c r="G30" s="310" t="s">
        <v>622</v>
      </c>
      <c r="H30" s="448" t="str">
        <f t="shared" si="1"/>
        <v>nach rechts</v>
      </c>
      <c r="I30" s="454" t="b">
        <v>0</v>
      </c>
      <c r="X30" s="273" t="s">
        <v>795</v>
      </c>
      <c r="Y30" s="309">
        <v>1</v>
      </c>
      <c r="Z30" s="309">
        <v>67</v>
      </c>
      <c r="AA30" s="309">
        <v>49</v>
      </c>
      <c r="AB30" s="309" t="s">
        <v>806</v>
      </c>
      <c r="AC30" s="310"/>
      <c r="AD30" s="273" t="s">
        <v>781</v>
      </c>
      <c r="AE30" s="309">
        <v>0.23</v>
      </c>
      <c r="AF30" s="309">
        <v>0.26</v>
      </c>
      <c r="AG30" s="309">
        <v>0.36</v>
      </c>
      <c r="AH30" s="310" t="s">
        <v>782</v>
      </c>
      <c r="AI30" s="273" t="str">
        <f t="shared" si="2"/>
        <v>SG-64</v>
      </c>
      <c r="AJ30" s="309">
        <f t="shared" si="2"/>
        <v>1</v>
      </c>
      <c r="AK30" s="309">
        <f t="shared" si="2"/>
        <v>67</v>
      </c>
      <c r="AL30" s="309">
        <f t="shared" si="2"/>
        <v>49</v>
      </c>
      <c r="AM30" s="309" t="str">
        <f t="shared" si="2"/>
        <v>E10/14/V-W16-2</v>
      </c>
      <c r="AN30" s="310"/>
    </row>
    <row r="31" spans="1:40" ht="13.5" thickBot="1" x14ac:dyDescent="0.25">
      <c r="B31" s="478"/>
      <c r="C31" s="479"/>
      <c r="D31" s="466" t="s">
        <v>34</v>
      </c>
      <c r="E31" s="309" t="s">
        <v>35</v>
      </c>
      <c r="F31" s="309" t="s">
        <v>36</v>
      </c>
      <c r="G31" s="310" t="s">
        <v>623</v>
      </c>
      <c r="H31" s="448" t="str">
        <f t="shared" si="1"/>
        <v>nach links</v>
      </c>
      <c r="I31" s="454" t="b">
        <v>0</v>
      </c>
      <c r="X31" s="273" t="s">
        <v>807</v>
      </c>
      <c r="Y31" s="309">
        <v>1</v>
      </c>
      <c r="Z31" s="309">
        <v>70</v>
      </c>
      <c r="AA31" s="309">
        <v>55</v>
      </c>
      <c r="AB31" s="309" t="s">
        <v>808</v>
      </c>
      <c r="AC31" s="310"/>
      <c r="AD31" s="326" t="s">
        <v>783</v>
      </c>
      <c r="AE31" s="477">
        <v>0.22</v>
      </c>
      <c r="AF31" s="477">
        <v>0.19</v>
      </c>
      <c r="AG31" s="477">
        <v>0.37</v>
      </c>
      <c r="AH31" s="310" t="s">
        <v>784</v>
      </c>
      <c r="AI31" s="273" t="str">
        <f t="shared" si="2"/>
        <v>SG-65</v>
      </c>
      <c r="AJ31" s="309">
        <f t="shared" si="2"/>
        <v>1</v>
      </c>
      <c r="AK31" s="309">
        <f t="shared" si="2"/>
        <v>70</v>
      </c>
      <c r="AL31" s="309">
        <f t="shared" si="2"/>
        <v>55</v>
      </c>
      <c r="AM31" s="309" t="str">
        <f t="shared" si="2"/>
        <v>GUN-BR4-12-NS</v>
      </c>
      <c r="AN31" s="310"/>
    </row>
    <row r="32" spans="1:40" x14ac:dyDescent="0.2">
      <c r="B32" s="34" t="s">
        <v>214</v>
      </c>
      <c r="C32" s="34"/>
      <c r="D32" s="466" t="s">
        <v>37</v>
      </c>
      <c r="E32" s="309" t="s">
        <v>38</v>
      </c>
      <c r="F32" s="309" t="s">
        <v>39</v>
      </c>
      <c r="G32" s="310" t="s">
        <v>126</v>
      </c>
      <c r="H32" s="448" t="str">
        <f t="shared" si="1"/>
        <v>Breite =</v>
      </c>
      <c r="I32" s="454"/>
      <c r="X32" s="273">
        <v>0</v>
      </c>
      <c r="Y32" s="309">
        <v>0</v>
      </c>
      <c r="Z32" s="309">
        <v>0</v>
      </c>
      <c r="AA32" s="309">
        <v>0</v>
      </c>
      <c r="AB32" s="309" t="str">
        <f>$H$54</f>
        <v>Glastyp wählen</v>
      </c>
      <c r="AC32" s="310"/>
      <c r="AD32" s="326" t="s">
        <v>785</v>
      </c>
      <c r="AE32" s="477">
        <v>0.23</v>
      </c>
      <c r="AF32" s="477">
        <v>0.19</v>
      </c>
      <c r="AG32" s="477">
        <v>0.37</v>
      </c>
      <c r="AH32" s="310" t="s">
        <v>786</v>
      </c>
      <c r="AI32" s="273">
        <f t="shared" si="2"/>
        <v>0</v>
      </c>
      <c r="AJ32" s="309">
        <f t="shared" si="2"/>
        <v>0</v>
      </c>
      <c r="AK32" s="309">
        <f t="shared" si="2"/>
        <v>0</v>
      </c>
      <c r="AL32" s="309">
        <f t="shared" si="2"/>
        <v>0</v>
      </c>
      <c r="AM32" s="309" t="str">
        <f t="shared" si="2"/>
        <v>Glastyp wählen</v>
      </c>
      <c r="AN32" s="310"/>
    </row>
    <row r="33" spans="1:40" x14ac:dyDescent="0.2">
      <c r="B33" s="317"/>
      <c r="C33" s="325"/>
      <c r="D33" s="273" t="s">
        <v>129</v>
      </c>
      <c r="E33" s="309" t="s">
        <v>128</v>
      </c>
      <c r="F33" s="309" t="s">
        <v>40</v>
      </c>
      <c r="G33" s="310" t="s">
        <v>127</v>
      </c>
      <c r="H33" s="448" t="str">
        <f t="shared" si="1"/>
        <v>Griffhöhe:</v>
      </c>
      <c r="I33" s="454"/>
      <c r="X33" s="273">
        <v>0</v>
      </c>
      <c r="Y33" s="309">
        <v>0</v>
      </c>
      <c r="Z33" s="309">
        <v>0</v>
      </c>
      <c r="AA33" s="309">
        <v>0</v>
      </c>
      <c r="AB33" s="309" t="str">
        <f t="shared" ref="AB33:AB45" si="3">$H$54</f>
        <v>Glastyp wählen</v>
      </c>
      <c r="AC33" s="310"/>
      <c r="AD33" s="326" t="s">
        <v>787</v>
      </c>
      <c r="AE33" s="477">
        <v>0.22</v>
      </c>
      <c r="AF33" s="477">
        <v>0.25</v>
      </c>
      <c r="AG33" s="477">
        <v>0.36</v>
      </c>
      <c r="AH33" s="310" t="s">
        <v>788</v>
      </c>
      <c r="AI33" s="273">
        <f t="shared" si="2"/>
        <v>0</v>
      </c>
      <c r="AJ33" s="309">
        <f t="shared" si="2"/>
        <v>0</v>
      </c>
      <c r="AK33" s="309">
        <f t="shared" si="2"/>
        <v>0</v>
      </c>
      <c r="AL33" s="309">
        <f t="shared" si="2"/>
        <v>0</v>
      </c>
      <c r="AM33" s="309" t="str">
        <f t="shared" si="2"/>
        <v>Glastyp wählen</v>
      </c>
      <c r="AN33" s="310"/>
    </row>
    <row r="34" spans="1:40" ht="13.5" thickBot="1" x14ac:dyDescent="0.25">
      <c r="B34" s="480" t="s">
        <v>215</v>
      </c>
      <c r="C34" s="380"/>
      <c r="D34" s="273" t="s">
        <v>41</v>
      </c>
      <c r="E34" s="309" t="s">
        <v>42</v>
      </c>
      <c r="F34" s="309" t="s">
        <v>43</v>
      </c>
      <c r="G34" s="310" t="s">
        <v>130</v>
      </c>
      <c r="H34" s="448" t="str">
        <f t="shared" si="1"/>
        <v xml:space="preserve">Höhe = </v>
      </c>
      <c r="I34" s="454"/>
      <c r="X34" s="273">
        <v>0</v>
      </c>
      <c r="Y34" s="309">
        <v>0</v>
      </c>
      <c r="Z34" s="309">
        <v>0</v>
      </c>
      <c r="AA34" s="309">
        <v>0</v>
      </c>
      <c r="AB34" s="309" t="str">
        <f>$H$54</f>
        <v>Glastyp wählen</v>
      </c>
      <c r="AC34" s="221"/>
      <c r="AD34" s="273">
        <v>0</v>
      </c>
      <c r="AE34" s="309">
        <v>0</v>
      </c>
      <c r="AF34" s="309">
        <v>0</v>
      </c>
      <c r="AG34" s="309">
        <v>0</v>
      </c>
      <c r="AH34" s="310" t="str">
        <f>$H$54</f>
        <v>Glastyp wählen</v>
      </c>
      <c r="AI34" s="273">
        <f t="shared" si="2"/>
        <v>0</v>
      </c>
      <c r="AJ34" s="309">
        <f t="shared" si="2"/>
        <v>0</v>
      </c>
      <c r="AK34" s="309">
        <f t="shared" si="2"/>
        <v>0</v>
      </c>
      <c r="AL34" s="309">
        <f t="shared" si="2"/>
        <v>0</v>
      </c>
      <c r="AM34" s="309" t="str">
        <f t="shared" si="2"/>
        <v>Glastyp wählen</v>
      </c>
      <c r="AN34" s="310"/>
    </row>
    <row r="35" spans="1:40" ht="13.5" thickBot="1" x14ac:dyDescent="0.25">
      <c r="D35" s="273" t="s">
        <v>44</v>
      </c>
      <c r="E35" s="309" t="s">
        <v>45</v>
      </c>
      <c r="F35" s="309" t="s">
        <v>45</v>
      </c>
      <c r="G35" s="310" t="s">
        <v>131</v>
      </c>
      <c r="H35" s="448" t="str">
        <f t="shared" si="1"/>
        <v>Oberfläche:</v>
      </c>
      <c r="I35" s="454"/>
      <c r="X35" s="273">
        <v>0</v>
      </c>
      <c r="Y35" s="309">
        <v>0</v>
      </c>
      <c r="Z35" s="309">
        <v>0</v>
      </c>
      <c r="AA35" s="309">
        <v>0</v>
      </c>
      <c r="AB35" s="309" t="str">
        <f t="shared" si="3"/>
        <v>Glastyp wählen</v>
      </c>
      <c r="AC35" s="310"/>
      <c r="AD35" s="326" t="s">
        <v>789</v>
      </c>
      <c r="AE35" s="477">
        <v>0.35</v>
      </c>
      <c r="AF35" s="477">
        <v>0.47</v>
      </c>
      <c r="AG35" s="477">
        <v>0.65</v>
      </c>
      <c r="AH35" s="310" t="s">
        <v>790</v>
      </c>
      <c r="AI35" s="273">
        <f t="shared" si="2"/>
        <v>0</v>
      </c>
      <c r="AJ35" s="309">
        <f t="shared" si="2"/>
        <v>0</v>
      </c>
      <c r="AK35" s="309">
        <f t="shared" si="2"/>
        <v>0</v>
      </c>
      <c r="AL35" s="309">
        <f t="shared" si="2"/>
        <v>0</v>
      </c>
      <c r="AM35" s="309" t="str">
        <f t="shared" si="2"/>
        <v>Glastyp wählen</v>
      </c>
      <c r="AN35" s="310"/>
    </row>
    <row r="36" spans="1:40" x14ac:dyDescent="0.2">
      <c r="B36" s="34" t="s">
        <v>216</v>
      </c>
      <c r="C36" s="34"/>
      <c r="D36" s="273" t="s">
        <v>46</v>
      </c>
      <c r="E36" s="309" t="s">
        <v>47</v>
      </c>
      <c r="F36" s="309" t="s">
        <v>133</v>
      </c>
      <c r="G36" s="310" t="s">
        <v>132</v>
      </c>
      <c r="H36" s="448" t="str">
        <f t="shared" si="1"/>
        <v>eloxiert (Qualanod):</v>
      </c>
      <c r="I36" s="454" t="b">
        <v>0</v>
      </c>
      <c r="X36" s="273">
        <v>0</v>
      </c>
      <c r="Y36" s="309">
        <v>0</v>
      </c>
      <c r="Z36" s="309">
        <v>0</v>
      </c>
      <c r="AA36" s="309">
        <v>0</v>
      </c>
      <c r="AB36" s="309" t="str">
        <f t="shared" si="3"/>
        <v>Glastyp wählen</v>
      </c>
      <c r="AC36" s="310"/>
      <c r="AD36" s="326" t="s">
        <v>791</v>
      </c>
      <c r="AE36" s="477">
        <v>0.34</v>
      </c>
      <c r="AF36" s="477">
        <v>0.47</v>
      </c>
      <c r="AG36" s="477">
        <v>0.63</v>
      </c>
      <c r="AH36" s="310" t="s">
        <v>792</v>
      </c>
      <c r="AI36" s="273">
        <f t="shared" si="2"/>
        <v>0</v>
      </c>
      <c r="AJ36" s="309">
        <f t="shared" si="2"/>
        <v>0</v>
      </c>
      <c r="AK36" s="309">
        <f t="shared" si="2"/>
        <v>0</v>
      </c>
      <c r="AL36" s="309">
        <f t="shared" si="2"/>
        <v>0</v>
      </c>
      <c r="AM36" s="309" t="str">
        <f t="shared" si="2"/>
        <v>Glastyp wählen</v>
      </c>
      <c r="AN36" s="310"/>
    </row>
    <row r="37" spans="1:40" x14ac:dyDescent="0.2">
      <c r="B37" s="317" t="s">
        <v>218</v>
      </c>
      <c r="C37" s="325" t="b">
        <v>1</v>
      </c>
      <c r="D37" s="273" t="s">
        <v>48</v>
      </c>
      <c r="E37" s="309" t="s">
        <v>134</v>
      </c>
      <c r="F37" s="309" t="s">
        <v>134</v>
      </c>
      <c r="G37" s="310" t="s">
        <v>134</v>
      </c>
      <c r="H37" s="448" t="str">
        <f t="shared" si="1"/>
        <v>20 my (Standard)</v>
      </c>
      <c r="I37" s="454"/>
      <c r="X37" s="273">
        <v>0</v>
      </c>
      <c r="Y37" s="309">
        <v>0</v>
      </c>
      <c r="Z37" s="309">
        <v>0</v>
      </c>
      <c r="AA37" s="309">
        <v>0</v>
      </c>
      <c r="AB37" s="309" t="str">
        <f t="shared" si="3"/>
        <v>Glastyp wählen</v>
      </c>
      <c r="AC37" s="310"/>
      <c r="AD37" s="326" t="s">
        <v>793</v>
      </c>
      <c r="AE37" s="477">
        <v>0.34</v>
      </c>
      <c r="AF37" s="477">
        <v>0.4</v>
      </c>
      <c r="AG37" s="477">
        <v>0.56999999999999995</v>
      </c>
      <c r="AH37" s="310" t="s">
        <v>794</v>
      </c>
      <c r="AI37" s="273">
        <f t="shared" si="2"/>
        <v>0</v>
      </c>
      <c r="AJ37" s="309">
        <f t="shared" si="2"/>
        <v>0</v>
      </c>
      <c r="AK37" s="309">
        <f t="shared" si="2"/>
        <v>0</v>
      </c>
      <c r="AL37" s="309">
        <f t="shared" si="2"/>
        <v>0</v>
      </c>
      <c r="AM37" s="309" t="str">
        <f t="shared" si="2"/>
        <v>Glastyp wählen</v>
      </c>
      <c r="AN37" s="310"/>
    </row>
    <row r="38" spans="1:40" x14ac:dyDescent="0.2">
      <c r="B38" s="273" t="s">
        <v>217</v>
      </c>
      <c r="C38" s="310" t="b">
        <v>1</v>
      </c>
      <c r="D38" s="273" t="s">
        <v>49</v>
      </c>
      <c r="E38" s="309" t="s">
        <v>50</v>
      </c>
      <c r="F38" s="309" t="s">
        <v>51</v>
      </c>
      <c r="G38" s="310" t="s">
        <v>325</v>
      </c>
      <c r="H38" s="448" t="str">
        <f t="shared" si="1"/>
        <v>25 my (Pool/Meer)</v>
      </c>
      <c r="I38" s="454"/>
      <c r="X38" s="273">
        <v>0</v>
      </c>
      <c r="Y38" s="309">
        <v>0</v>
      </c>
      <c r="Z38" s="309">
        <v>0</v>
      </c>
      <c r="AA38" s="309">
        <v>0</v>
      </c>
      <c r="AB38" s="309" t="str">
        <f t="shared" si="3"/>
        <v>Glastyp wählen</v>
      </c>
      <c r="AC38" s="310"/>
      <c r="AD38" s="326" t="s">
        <v>795</v>
      </c>
      <c r="AE38" s="477">
        <v>0.33</v>
      </c>
      <c r="AF38" s="477">
        <v>0.39</v>
      </c>
      <c r="AG38" s="477">
        <v>0.55000000000000004</v>
      </c>
      <c r="AH38" s="310" t="s">
        <v>796</v>
      </c>
      <c r="AI38" s="273">
        <f t="shared" si="2"/>
        <v>0</v>
      </c>
      <c r="AJ38" s="309">
        <f t="shared" si="2"/>
        <v>0</v>
      </c>
      <c r="AK38" s="309">
        <f t="shared" si="2"/>
        <v>0</v>
      </c>
      <c r="AL38" s="309">
        <f t="shared" si="2"/>
        <v>0</v>
      </c>
      <c r="AM38" s="309" t="str">
        <f t="shared" si="2"/>
        <v>Glastyp wählen</v>
      </c>
      <c r="AN38" s="310"/>
    </row>
    <row r="39" spans="1:40" ht="13.5" thickBot="1" x14ac:dyDescent="0.25">
      <c r="B39" s="273" t="s">
        <v>219</v>
      </c>
      <c r="C39" s="310" t="b">
        <v>0</v>
      </c>
      <c r="D39" s="273" t="s">
        <v>350</v>
      </c>
      <c r="E39" s="309" t="s">
        <v>351</v>
      </c>
      <c r="F39" s="309" t="s">
        <v>352</v>
      </c>
      <c r="G39" s="310" t="s">
        <v>353</v>
      </c>
      <c r="H39" s="448" t="str">
        <f t="shared" si="1"/>
        <v>pulverbeschichtet:</v>
      </c>
      <c r="I39" s="454" t="b">
        <v>0</v>
      </c>
      <c r="X39" s="273">
        <v>0</v>
      </c>
      <c r="Y39" s="309">
        <v>0</v>
      </c>
      <c r="Z39" s="309">
        <v>0</v>
      </c>
      <c r="AA39" s="309">
        <v>0</v>
      </c>
      <c r="AB39" s="309" t="str">
        <f t="shared" si="3"/>
        <v>Glastyp wählen</v>
      </c>
      <c r="AC39" s="310"/>
      <c r="AD39" s="326" t="s">
        <v>798</v>
      </c>
      <c r="AE39" s="477">
        <v>0.34</v>
      </c>
      <c r="AF39" s="477">
        <v>0.26</v>
      </c>
      <c r="AG39" s="477">
        <v>0.51</v>
      </c>
      <c r="AH39" s="310" t="s">
        <v>799</v>
      </c>
      <c r="AI39" s="273">
        <f t="shared" si="2"/>
        <v>0</v>
      </c>
      <c r="AJ39" s="309">
        <f t="shared" si="2"/>
        <v>0</v>
      </c>
      <c r="AK39" s="309">
        <f t="shared" si="2"/>
        <v>0</v>
      </c>
      <c r="AL39" s="309">
        <f t="shared" si="2"/>
        <v>0</v>
      </c>
      <c r="AM39" s="309" t="str">
        <f t="shared" si="2"/>
        <v>Glastyp wählen</v>
      </c>
      <c r="AN39" s="310"/>
    </row>
    <row r="40" spans="1:40" x14ac:dyDescent="0.2">
      <c r="A40" s="274" t="s">
        <v>684</v>
      </c>
      <c r="B40" s="273" t="s">
        <v>220</v>
      </c>
      <c r="C40" s="310" t="b">
        <v>0</v>
      </c>
      <c r="D40" s="273" t="s">
        <v>881</v>
      </c>
      <c r="E40" s="309" t="s">
        <v>882</v>
      </c>
      <c r="F40" s="309" t="s">
        <v>883</v>
      </c>
      <c r="G40" s="310" t="s">
        <v>884</v>
      </c>
      <c r="H40" s="448" t="str">
        <f t="shared" si="1"/>
        <v>Vorbehandlung:</v>
      </c>
      <c r="I40" s="454"/>
      <c r="K40" s="57" t="s">
        <v>430</v>
      </c>
      <c r="L40" s="370"/>
      <c r="M40" s="371"/>
      <c r="N40" s="541" t="s">
        <v>580</v>
      </c>
      <c r="O40" s="542"/>
      <c r="P40" s="543"/>
      <c r="Q40" s="57" t="s">
        <v>288</v>
      </c>
      <c r="R40" s="57" t="s">
        <v>488</v>
      </c>
      <c r="S40" s="57" t="s">
        <v>492</v>
      </c>
      <c r="U40" s="34" t="s">
        <v>682</v>
      </c>
      <c r="V40" s="35"/>
      <c r="X40" s="273">
        <v>0</v>
      </c>
      <c r="Y40" s="309">
        <v>0</v>
      </c>
      <c r="Z40" s="309">
        <v>0</v>
      </c>
      <c r="AA40" s="309">
        <v>0</v>
      </c>
      <c r="AB40" s="309" t="str">
        <f t="shared" si="3"/>
        <v>Glastyp wählen</v>
      </c>
      <c r="AC40" s="310"/>
      <c r="AD40" s="326" t="s">
        <v>800</v>
      </c>
      <c r="AE40" s="477">
        <v>0.33</v>
      </c>
      <c r="AF40" s="477">
        <v>0.26</v>
      </c>
      <c r="AG40" s="477">
        <v>0.5</v>
      </c>
      <c r="AH40" s="310" t="s">
        <v>801</v>
      </c>
      <c r="AI40" s="273">
        <f t="shared" si="2"/>
        <v>0</v>
      </c>
      <c r="AJ40" s="309">
        <f t="shared" si="2"/>
        <v>0</v>
      </c>
      <c r="AK40" s="309">
        <f t="shared" si="2"/>
        <v>0</v>
      </c>
      <c r="AL40" s="309">
        <f t="shared" si="2"/>
        <v>0</v>
      </c>
      <c r="AM40" s="309" t="str">
        <f t="shared" si="2"/>
        <v>Glastyp wählen</v>
      </c>
      <c r="AN40" s="310"/>
    </row>
    <row r="41" spans="1:40" x14ac:dyDescent="0.2">
      <c r="A41" s="465" t="b">
        <f>IF(C41=FALSE,TRUE,(IF(AND(C41=TRUE,'Pos. 3'!F72=""),FALSE,TRUE)))</f>
        <v>1</v>
      </c>
      <c r="B41" s="273" t="s">
        <v>710</v>
      </c>
      <c r="C41" s="310" t="b">
        <v>0</v>
      </c>
      <c r="D41" s="273" t="s">
        <v>52</v>
      </c>
      <c r="E41" s="309" t="s">
        <v>53</v>
      </c>
      <c r="F41" s="309" t="s">
        <v>54</v>
      </c>
      <c r="G41" s="481" t="s">
        <v>135</v>
      </c>
      <c r="H41" s="448" t="str">
        <f t="shared" si="1"/>
        <v>+Voranodisieren</v>
      </c>
      <c r="I41" s="454"/>
      <c r="K41" s="482" t="s">
        <v>431</v>
      </c>
      <c r="L41" s="276">
        <f>IF(OR($I$5=TRUE,$I$6=TRUE),1,0)</f>
        <v>0</v>
      </c>
      <c r="M41" s="483"/>
      <c r="N41" s="187" t="str">
        <f>CONCATENATE("Pos. ",'Pos. 3'!$B$2,".1")</f>
        <v>Pos. 3.1</v>
      </c>
      <c r="O41" s="188" t="b">
        <f>IF(AND('Pos. 3'!AW32&lt;&gt;"",'Pos. 3'!AX32&lt;&gt;""),TRUE,FALSE)</f>
        <v>0</v>
      </c>
      <c r="P41" s="189"/>
      <c r="Q41" s="367"/>
      <c r="R41" s="367"/>
      <c r="S41" s="272">
        <f>COUNTA('Pos. 3'!G20:AP20)</f>
        <v>0</v>
      </c>
      <c r="U41" s="484" t="b">
        <f>IF(L41=0,FALSE,TRUE)</f>
        <v>0</v>
      </c>
      <c r="V41" s="485">
        <f>IF(U41=FALSE,1,0)</f>
        <v>1</v>
      </c>
      <c r="X41" s="273">
        <v>0</v>
      </c>
      <c r="Y41" s="309">
        <v>0</v>
      </c>
      <c r="Z41" s="309">
        <v>0</v>
      </c>
      <c r="AA41" s="309">
        <v>0</v>
      </c>
      <c r="AB41" s="309" t="str">
        <f t="shared" si="3"/>
        <v>Glastyp wählen</v>
      </c>
      <c r="AC41" s="310"/>
      <c r="AD41" s="326" t="s">
        <v>797</v>
      </c>
      <c r="AE41" s="477">
        <v>0.34</v>
      </c>
      <c r="AF41" s="477">
        <v>0.22</v>
      </c>
      <c r="AG41" s="477">
        <v>0.42</v>
      </c>
      <c r="AH41" s="310" t="s">
        <v>802</v>
      </c>
      <c r="AI41" s="273">
        <f t="shared" si="2"/>
        <v>0</v>
      </c>
      <c r="AJ41" s="309">
        <f t="shared" si="2"/>
        <v>0</v>
      </c>
      <c r="AK41" s="309">
        <f t="shared" si="2"/>
        <v>0</v>
      </c>
      <c r="AL41" s="309">
        <f t="shared" si="2"/>
        <v>0</v>
      </c>
      <c r="AM41" s="309" t="str">
        <f t="shared" si="2"/>
        <v>Glastyp wählen</v>
      </c>
      <c r="AN41" s="310"/>
    </row>
    <row r="42" spans="1:40" x14ac:dyDescent="0.2">
      <c r="A42" s="448" t="b">
        <f>IF(C42=FALSE,TRUE,(IF(AND(C42=TRUE,'Pos. 3'!L72=""),FALSE,TRUE)))</f>
        <v>1</v>
      </c>
      <c r="B42" s="273" t="s">
        <v>711</v>
      </c>
      <c r="C42" s="310" t="b">
        <v>0</v>
      </c>
      <c r="D42" s="273" t="s">
        <v>55</v>
      </c>
      <c r="E42" s="309" t="s">
        <v>56</v>
      </c>
      <c r="F42" s="309" t="s">
        <v>57</v>
      </c>
      <c r="G42" s="310" t="s">
        <v>136</v>
      </c>
      <c r="H42" s="448" t="str">
        <f t="shared" si="1"/>
        <v>Glas-Typ: SG = "Sky-Glass"</v>
      </c>
      <c r="I42" s="454"/>
      <c r="K42" s="303" t="s">
        <v>432</v>
      </c>
      <c r="L42" s="279">
        <f>IF(AND('Pos. 3'!$Y$5&lt;&gt;"",'Pos. 3'!$Y$7&lt;&gt;"",'Pos. 3'!$Y$6&lt;&gt;""),1,0)</f>
        <v>0</v>
      </c>
      <c r="M42" s="486"/>
      <c r="N42" s="187" t="str">
        <f>CONCATENATE("Pos. ",'Pos. 3'!$B$2,".2")</f>
        <v>Pos. 3.2</v>
      </c>
      <c r="O42" s="188" t="b">
        <f>IF(AND('Pos. 3'!AW33&lt;&gt;"",'Pos. 3'!AX33&lt;&gt;""),TRUE,FALSE)</f>
        <v>0</v>
      </c>
      <c r="P42" s="191"/>
      <c r="Q42" s="487">
        <v>1</v>
      </c>
      <c r="R42" s="488" t="s">
        <v>486</v>
      </c>
      <c r="U42" s="303" t="b">
        <f t="shared" ref="U42:U47" si="4">IF(L42=0,FALSE,TRUE)</f>
        <v>0</v>
      </c>
      <c r="V42" s="489">
        <f t="shared" ref="V42:V79" si="5">IF(U42=FALSE,1,0)</f>
        <v>1</v>
      </c>
      <c r="X42" s="273">
        <v>0</v>
      </c>
      <c r="Y42" s="309">
        <v>0</v>
      </c>
      <c r="Z42" s="309">
        <v>0</v>
      </c>
      <c r="AA42" s="309">
        <v>0</v>
      </c>
      <c r="AB42" s="309" t="str">
        <f t="shared" si="3"/>
        <v>Glastyp wählen</v>
      </c>
      <c r="AC42" s="310"/>
      <c r="AD42" s="326" t="s">
        <v>803</v>
      </c>
      <c r="AE42" s="477">
        <v>0.33</v>
      </c>
      <c r="AF42" s="477">
        <v>0.22</v>
      </c>
      <c r="AG42" s="477">
        <v>0.4</v>
      </c>
      <c r="AH42" s="310" t="s">
        <v>804</v>
      </c>
      <c r="AI42" s="273">
        <f t="shared" ref="AI42:AM45" si="6">IF($I$125=TRUE,AD42,X42)</f>
        <v>0</v>
      </c>
      <c r="AJ42" s="309">
        <f t="shared" si="6"/>
        <v>0</v>
      </c>
      <c r="AK42" s="309">
        <f t="shared" si="6"/>
        <v>0</v>
      </c>
      <c r="AL42" s="309">
        <f t="shared" si="6"/>
        <v>0</v>
      </c>
      <c r="AM42" s="309" t="str">
        <f t="shared" si="6"/>
        <v>Glastyp wählen</v>
      </c>
      <c r="AN42" s="310"/>
    </row>
    <row r="43" spans="1:40" x14ac:dyDescent="0.2">
      <c r="A43" s="448" t="b">
        <f>TRUE</f>
        <v>1</v>
      </c>
      <c r="B43" s="273" t="s">
        <v>712</v>
      </c>
      <c r="C43" s="310" t="b">
        <v>0</v>
      </c>
      <c r="D43" s="273" t="s">
        <v>58</v>
      </c>
      <c r="E43" s="309" t="s">
        <v>59</v>
      </c>
      <c r="F43" s="309" t="s">
        <v>60</v>
      </c>
      <c r="G43" s="310" t="s">
        <v>137</v>
      </c>
      <c r="H43" s="448" t="str">
        <f t="shared" si="1"/>
        <v>Swisspacer-U schwarz</v>
      </c>
      <c r="I43" s="454" t="b">
        <v>0</v>
      </c>
      <c r="K43" s="303" t="s">
        <v>433</v>
      </c>
      <c r="L43" s="279">
        <f>IF(AND('Pos. 3'!$AJ$5&lt;&gt;"",'Pos. 3'!$AJ$6&lt;&gt;"",'Pos. 3'!$AJ$7&lt;&gt;""),1,0)</f>
        <v>0</v>
      </c>
      <c r="M43" s="486"/>
      <c r="N43" s="187" t="str">
        <f>CONCATENATE("Pos. ",'Pos. 3'!$B$2,".3")</f>
        <v>Pos. 3.3</v>
      </c>
      <c r="O43" s="188" t="b">
        <f>IF(AND('Pos. 3'!AW34&lt;&gt;"",'Pos. 3'!AX34&lt;&gt;""),TRUE,FALSE)</f>
        <v>0</v>
      </c>
      <c r="P43" s="191"/>
      <c r="Q43" s="368">
        <v>2</v>
      </c>
      <c r="R43" s="488" t="s">
        <v>487</v>
      </c>
      <c r="U43" s="303" t="b">
        <f t="shared" si="4"/>
        <v>0</v>
      </c>
      <c r="V43" s="489">
        <f t="shared" si="5"/>
        <v>1</v>
      </c>
      <c r="X43" s="273">
        <v>0</v>
      </c>
      <c r="Y43" s="309">
        <v>0</v>
      </c>
      <c r="Z43" s="309">
        <v>0</v>
      </c>
      <c r="AA43" s="309">
        <v>0</v>
      </c>
      <c r="AB43" s="309" t="str">
        <f t="shared" si="3"/>
        <v>Glastyp wählen</v>
      </c>
      <c r="AC43" s="310"/>
      <c r="AD43" s="326">
        <v>0</v>
      </c>
      <c r="AE43" s="477">
        <v>0</v>
      </c>
      <c r="AF43" s="477">
        <v>0</v>
      </c>
      <c r="AG43" s="477">
        <v>0</v>
      </c>
      <c r="AH43" s="310" t="str">
        <f>$H$54</f>
        <v>Glastyp wählen</v>
      </c>
      <c r="AI43" s="273">
        <f t="shared" si="6"/>
        <v>0</v>
      </c>
      <c r="AJ43" s="309">
        <f t="shared" si="6"/>
        <v>0</v>
      </c>
      <c r="AK43" s="309">
        <f t="shared" si="6"/>
        <v>0</v>
      </c>
      <c r="AL43" s="309">
        <f t="shared" si="6"/>
        <v>0</v>
      </c>
      <c r="AM43" s="309" t="str">
        <f t="shared" si="6"/>
        <v>Glastyp wählen</v>
      </c>
      <c r="AN43" s="310"/>
    </row>
    <row r="44" spans="1:40" x14ac:dyDescent="0.2">
      <c r="A44" s="448" t="b">
        <f>IF(C44=FALSE,TRUE,(IF(AND(C44=TRUE,'Pos. 3'!X72=""),FALSE,TRUE)))</f>
        <v>1</v>
      </c>
      <c r="B44" s="273" t="str">
        <f>IF('Pos. 3'!AB62="","321101/321101","400493/400493")</f>
        <v>321101/321101</v>
      </c>
      <c r="C44" s="310" t="b">
        <v>0</v>
      </c>
      <c r="D44" s="273" t="s">
        <v>61</v>
      </c>
      <c r="E44" s="309" t="s">
        <v>62</v>
      </c>
      <c r="F44" s="309" t="s">
        <v>63</v>
      </c>
      <c r="G44" s="310" t="s">
        <v>138</v>
      </c>
      <c r="H44" s="448" t="str">
        <f t="shared" si="1"/>
        <v>Swisspacer-U grau</v>
      </c>
      <c r="I44" s="454" t="b">
        <v>0</v>
      </c>
      <c r="K44" s="303" t="s">
        <v>434</v>
      </c>
      <c r="L44" s="279">
        <f>IF(OR($I$10=TRUE,$I$11=TRUE,$I$12=TRUE),1,0)</f>
        <v>0</v>
      </c>
      <c r="M44" s="486"/>
      <c r="N44" s="187" t="str">
        <f>CONCATENATE("Pos. ",'Pos. 3'!$B$2,".4")</f>
        <v>Pos. 3.4</v>
      </c>
      <c r="O44" s="188" t="b">
        <f>IF(AND('Pos. 3'!AW35&lt;&gt;"",'Pos. 3'!AX35&lt;&gt;""),TRUE,FALSE)</f>
        <v>0</v>
      </c>
      <c r="P44" s="191"/>
      <c r="Q44" s="368">
        <v>3</v>
      </c>
      <c r="U44" s="303" t="b">
        <f t="shared" si="4"/>
        <v>0</v>
      </c>
      <c r="V44" s="489">
        <f t="shared" si="5"/>
        <v>1</v>
      </c>
      <c r="X44" s="273">
        <v>0</v>
      </c>
      <c r="Y44" s="309">
        <v>0</v>
      </c>
      <c r="Z44" s="309">
        <v>0</v>
      </c>
      <c r="AA44" s="309">
        <v>0</v>
      </c>
      <c r="AB44" s="309" t="str">
        <f t="shared" si="3"/>
        <v>Glastyp wählen</v>
      </c>
      <c r="AC44" s="310"/>
      <c r="AD44" s="326">
        <v>0</v>
      </c>
      <c r="AE44" s="477">
        <v>0</v>
      </c>
      <c r="AF44" s="477">
        <v>0</v>
      </c>
      <c r="AG44" s="477">
        <v>0</v>
      </c>
      <c r="AH44" s="310" t="str">
        <f>$H$54</f>
        <v>Glastyp wählen</v>
      </c>
      <c r="AI44" s="273">
        <f t="shared" si="6"/>
        <v>0</v>
      </c>
      <c r="AJ44" s="309">
        <f t="shared" si="6"/>
        <v>0</v>
      </c>
      <c r="AK44" s="309">
        <f t="shared" si="6"/>
        <v>0</v>
      </c>
      <c r="AL44" s="309">
        <f t="shared" si="6"/>
        <v>0</v>
      </c>
      <c r="AM44" s="309" t="str">
        <f t="shared" si="6"/>
        <v>Glastyp wählen</v>
      </c>
      <c r="AN44" s="310"/>
    </row>
    <row r="45" spans="1:40" ht="13.5" thickBot="1" x14ac:dyDescent="0.25">
      <c r="A45" s="448" t="b">
        <f>IF(C45=FALSE,TRUE,(IF(AND(C45=TRUE,'Pos. 3'!H85=""),FALSE,TRUE)))</f>
        <v>1</v>
      </c>
      <c r="B45" s="273" t="s">
        <v>713</v>
      </c>
      <c r="C45" s="310" t="b">
        <v>0</v>
      </c>
      <c r="D45" s="273" t="s">
        <v>111</v>
      </c>
      <c r="E45" s="309" t="s">
        <v>112</v>
      </c>
      <c r="F45" s="309" t="s">
        <v>113</v>
      </c>
      <c r="G45" s="310" t="s">
        <v>114</v>
      </c>
      <c r="H45" s="448" t="str">
        <f t="shared" si="1"/>
        <v>Speziell:</v>
      </c>
      <c r="I45" s="454" t="b">
        <v>0</v>
      </c>
      <c r="K45" s="303" t="s">
        <v>435</v>
      </c>
      <c r="L45" s="279">
        <f>IF(AND('Pos. 3'!$F$10&lt;&gt;"",OR('Pos. 3'!$E$23&lt;&gt;"",'Pos. 3'!$E$24&lt;&gt;"",'Pos. 3'!$E$25&lt;&gt;"",'Pos. 3'!$E$26&lt;&gt;"")),1,0)</f>
        <v>0</v>
      </c>
      <c r="M45" s="486"/>
      <c r="N45" s="187" t="str">
        <f>CONCATENATE("Pos. ",'Pos. 3'!$B$2,".5")</f>
        <v>Pos. 3.5</v>
      </c>
      <c r="O45" s="188" t="b">
        <f>IF(AND('Pos. 3'!AW36&lt;&gt;"",'Pos. 3'!AX36&lt;&gt;""),TRUE,FALSE)</f>
        <v>0</v>
      </c>
      <c r="P45" s="191"/>
      <c r="Q45" s="368">
        <v>4</v>
      </c>
      <c r="U45" s="303" t="b">
        <f t="shared" si="4"/>
        <v>0</v>
      </c>
      <c r="V45" s="489">
        <f t="shared" si="5"/>
        <v>1</v>
      </c>
      <c r="X45" s="473">
        <v>0</v>
      </c>
      <c r="Y45" s="490">
        <v>0</v>
      </c>
      <c r="Z45" s="490">
        <v>0</v>
      </c>
      <c r="AA45" s="490">
        <v>0</v>
      </c>
      <c r="AB45" s="490" t="str">
        <f t="shared" si="3"/>
        <v>Glastyp wählen</v>
      </c>
      <c r="AC45" s="380"/>
      <c r="AD45" s="491">
        <v>0</v>
      </c>
      <c r="AE45" s="492">
        <v>0</v>
      </c>
      <c r="AF45" s="492">
        <v>0</v>
      </c>
      <c r="AG45" s="492">
        <v>0</v>
      </c>
      <c r="AH45" s="380" t="str">
        <f>$H$54</f>
        <v>Glastyp wählen</v>
      </c>
      <c r="AI45" s="473">
        <f t="shared" si="6"/>
        <v>0</v>
      </c>
      <c r="AJ45" s="490">
        <f t="shared" si="6"/>
        <v>0</v>
      </c>
      <c r="AK45" s="490">
        <f t="shared" si="6"/>
        <v>0</v>
      </c>
      <c r="AL45" s="490">
        <f t="shared" si="6"/>
        <v>0</v>
      </c>
      <c r="AM45" s="490" t="str">
        <f t="shared" si="6"/>
        <v>Glastyp wählen</v>
      </c>
      <c r="AN45" s="380"/>
    </row>
    <row r="46" spans="1:40" x14ac:dyDescent="0.2">
      <c r="A46" s="448" t="b">
        <f>IF(C46=FALSE,TRUE,(IF(AND(C46=TRUE,'Pos. 3'!O85=""),FALSE,TRUE)))</f>
        <v>1</v>
      </c>
      <c r="B46" s="273" t="s">
        <v>714</v>
      </c>
      <c r="C46" s="310" t="b">
        <v>0</v>
      </c>
      <c r="D46" s="273" t="s">
        <v>64</v>
      </c>
      <c r="E46" s="309" t="s">
        <v>65</v>
      </c>
      <c r="F46" s="309" t="s">
        <v>66</v>
      </c>
      <c r="G46" s="310" t="s">
        <v>139</v>
      </c>
      <c r="H46" s="448" t="str">
        <f t="shared" si="1"/>
        <v>Statik:</v>
      </c>
      <c r="I46" s="454"/>
      <c r="K46" s="303" t="s">
        <v>436</v>
      </c>
      <c r="L46" s="279">
        <f>IF(AND($I$13=TRUE,'Pos. 3'!$E$28=""),0,1)</f>
        <v>1</v>
      </c>
      <c r="M46" s="486"/>
      <c r="N46" s="187" t="str">
        <f>CONCATENATE("Pos. ",'Pos. 3'!$B$2,".6")</f>
        <v>Pos. 3.6</v>
      </c>
      <c r="O46" s="188" t="b">
        <f>IF(AND('Pos. 3'!AW37&lt;&gt;"",'Pos. 3'!AX37&lt;&gt;""),TRUE,FALSE)</f>
        <v>0</v>
      </c>
      <c r="P46" s="191"/>
      <c r="Q46" s="368">
        <v>5</v>
      </c>
      <c r="U46" s="303" t="b">
        <f t="shared" si="4"/>
        <v>1</v>
      </c>
      <c r="V46" s="489">
        <f t="shared" si="5"/>
        <v>0</v>
      </c>
    </row>
    <row r="47" spans="1:40" x14ac:dyDescent="0.2">
      <c r="A47" s="448" t="b">
        <f>IF(C47=FALSE,TRUE,(IF(AND(C47=TRUE,'Pos. 3'!V85=""),FALSE,TRUE)))</f>
        <v>1</v>
      </c>
      <c r="B47" s="273" t="str">
        <f>IF('Pos. 3'!AB73="","322201/322201","400228/400228")</f>
        <v>322201/322201</v>
      </c>
      <c r="C47" s="310" t="b">
        <v>0</v>
      </c>
      <c r="D47" s="273" t="s">
        <v>67</v>
      </c>
      <c r="E47" s="309" t="s">
        <v>68</v>
      </c>
      <c r="F47" s="309" t="s">
        <v>69</v>
      </c>
      <c r="G47" s="310" t="s">
        <v>326</v>
      </c>
      <c r="H47" s="448" t="str">
        <f t="shared" si="1"/>
        <v>Windlast:</v>
      </c>
      <c r="I47" s="454"/>
      <c r="K47" s="303" t="s">
        <v>437</v>
      </c>
      <c r="L47" s="281">
        <f>IF(AND($I$13=FALSE,$I$14=FALSE),0,1)</f>
        <v>0</v>
      </c>
      <c r="M47" s="486"/>
      <c r="N47" s="187" t="str">
        <f>CONCATENATE("Pos. ",'Pos. 3'!$B$2,".7")</f>
        <v>Pos. 3.7</v>
      </c>
      <c r="O47" s="188" t="b">
        <f>IF(AND('Pos. 3'!AW38&lt;&gt;"",'Pos. 3'!AX38&lt;&gt;""),TRUE,FALSE)</f>
        <v>0</v>
      </c>
      <c r="P47" s="191"/>
      <c r="Q47" s="368">
        <v>6</v>
      </c>
      <c r="U47" s="303" t="b">
        <f t="shared" si="4"/>
        <v>0</v>
      </c>
      <c r="V47" s="489">
        <f t="shared" si="5"/>
        <v>1</v>
      </c>
    </row>
    <row r="48" spans="1:40" x14ac:dyDescent="0.2">
      <c r="A48" s="448" t="b">
        <f>IF(C48=FALSE,TRUE,(IF(AND(C48=TRUE,'Pos. 3'!H96=""),FALSE,TRUE)))</f>
        <v>1</v>
      </c>
      <c r="B48" s="273" t="s">
        <v>715</v>
      </c>
      <c r="C48" s="310" t="b">
        <v>0</v>
      </c>
      <c r="D48" s="273" t="s">
        <v>70</v>
      </c>
      <c r="E48" s="309" t="s">
        <v>71</v>
      </c>
      <c r="F48" s="309" t="s">
        <v>72</v>
      </c>
      <c r="G48" s="310" t="s">
        <v>327</v>
      </c>
      <c r="H48" s="448" t="str">
        <f t="shared" si="1"/>
        <v>Bemerkung:</v>
      </c>
      <c r="I48" s="454"/>
      <c r="K48" s="303" t="s">
        <v>439</v>
      </c>
      <c r="L48" s="493">
        <f>IF(OR(AND($C$37=FALSE,$C$39=FALSE),(AND($C$38=FALSE,$C$40=FALSE))),0,1)</f>
        <v>1</v>
      </c>
      <c r="M48" s="494">
        <f>IF($L$49=0,0,L48)</f>
        <v>0</v>
      </c>
      <c r="N48" s="187" t="str">
        <f>CONCATENATE("Pos. ",'Pos. 3'!$B$2,".8")</f>
        <v>Pos. 3.8</v>
      </c>
      <c r="O48" s="188" t="b">
        <f>IF(AND('Pos. 3'!AW39&lt;&gt;"",'Pos. 3'!AX39&lt;&gt;""),TRUE,FALSE)</f>
        <v>0</v>
      </c>
      <c r="P48" s="191"/>
      <c r="Q48" s="368">
        <v>7</v>
      </c>
      <c r="U48" s="303" t="b">
        <f>IF(M49=0,FALSE,TRUE)</f>
        <v>0</v>
      </c>
      <c r="V48" s="489">
        <f t="shared" si="5"/>
        <v>1</v>
      </c>
    </row>
    <row r="49" spans="1:22" ht="13.5" thickBot="1" x14ac:dyDescent="0.25">
      <c r="A49" s="495"/>
      <c r="B49" s="273" t="s">
        <v>716</v>
      </c>
      <c r="C49" s="310" t="b">
        <v>0</v>
      </c>
      <c r="D49" s="273" t="s">
        <v>73</v>
      </c>
      <c r="E49" s="309" t="s">
        <v>74</v>
      </c>
      <c r="F49" s="309" t="s">
        <v>310</v>
      </c>
      <c r="G49" s="310" t="s">
        <v>328</v>
      </c>
      <c r="H49" s="448" t="str">
        <f t="shared" si="1"/>
        <v>Zubehör:</v>
      </c>
      <c r="I49" s="454"/>
      <c r="K49" s="303" t="s">
        <v>438</v>
      </c>
      <c r="L49" s="327">
        <f>IF(L48=0,0,IF('Pos. 3'!$I$49&gt;0,1,0))</f>
        <v>0</v>
      </c>
      <c r="M49" s="285">
        <f>SUM(L49,M48)</f>
        <v>0</v>
      </c>
      <c r="N49" s="187" t="str">
        <f>CONCATENATE("Pos. ",'Pos. 3'!$B$2,".9")</f>
        <v>Pos. 3.9</v>
      </c>
      <c r="O49" s="188" t="b">
        <f>IF(AND('Pos. 3'!AW40&lt;&gt;"",'Pos. 3'!AX40&lt;&gt;""),TRUE,FALSE)</f>
        <v>0</v>
      </c>
      <c r="P49" s="191"/>
      <c r="Q49" s="368">
        <v>8</v>
      </c>
      <c r="T49" s="308" t="s">
        <v>870</v>
      </c>
      <c r="U49" s="303" t="b">
        <f>IF(AND(L44=1,AND('Pos. 3'!E23="",'Pos. 3'!E24="",'Pos. 3'!E25="",'Pos. 3'!E26="")),FALSE,TRUE)</f>
        <v>1</v>
      </c>
      <c r="V49" s="489">
        <f t="shared" si="5"/>
        <v>0</v>
      </c>
    </row>
    <row r="50" spans="1:22" x14ac:dyDescent="0.2">
      <c r="A50" s="272">
        <f>COUNTIF(A41:A49,FALSE)</f>
        <v>0</v>
      </c>
      <c r="B50" s="273" t="s">
        <v>371</v>
      </c>
      <c r="C50" s="310" t="b">
        <v>0</v>
      </c>
      <c r="D50" s="273" t="s">
        <v>670</v>
      </c>
      <c r="E50" s="309" t="s">
        <v>671</v>
      </c>
      <c r="F50" s="309" t="s">
        <v>673</v>
      </c>
      <c r="G50" s="310" t="s">
        <v>672</v>
      </c>
      <c r="H50" s="448" t="str">
        <f t="shared" si="1"/>
        <v>Rinne (siehe unten)</v>
      </c>
      <c r="I50" s="454" t="b">
        <v>0</v>
      </c>
      <c r="K50" s="303" t="s">
        <v>440</v>
      </c>
      <c r="L50" s="286">
        <f>IF(AND(OR($C$53=TRUE,$C$54=TRUE),'Pos. 3'!$Z$42&lt;&gt;"",'Pos. 3'!$T$45&lt;&gt;""),1,0)</f>
        <v>0</v>
      </c>
      <c r="M50" s="486"/>
      <c r="N50" s="187" t="str">
        <f>CONCATENATE("Pos. ",'Pos. 3'!$B$2,".10")</f>
        <v>Pos. 3.10</v>
      </c>
      <c r="O50" s="188" t="b">
        <f>IF(AND('Pos. 3'!AW41&lt;&gt;"",'Pos. 3'!AX41&lt;&gt;""),TRUE,FALSE)</f>
        <v>0</v>
      </c>
      <c r="P50" s="191"/>
      <c r="Q50" s="368">
        <v>9</v>
      </c>
      <c r="U50" s="303" t="b">
        <f t="shared" ref="U50:U55" si="7">IF(L50=0,FALSE,TRUE)</f>
        <v>0</v>
      </c>
      <c r="V50" s="489">
        <f t="shared" si="5"/>
        <v>1</v>
      </c>
    </row>
    <row r="51" spans="1:22" ht="13.5" thickBot="1" x14ac:dyDescent="0.25">
      <c r="B51" s="273" t="s">
        <v>394</v>
      </c>
      <c r="C51" s="310" t="b">
        <v>0</v>
      </c>
      <c r="D51" s="273" t="s">
        <v>306</v>
      </c>
      <c r="E51" s="309" t="s">
        <v>307</v>
      </c>
      <c r="F51" s="309" t="s">
        <v>308</v>
      </c>
      <c r="G51" s="310" t="s">
        <v>329</v>
      </c>
      <c r="H51" s="448" t="str">
        <f t="shared" si="1"/>
        <v>Wetterschenkel</v>
      </c>
      <c r="I51" s="454" t="b">
        <v>0</v>
      </c>
      <c r="K51" s="303" t="s">
        <v>441</v>
      </c>
      <c r="L51" s="279">
        <f>IF(OR($I$15=TRUE,$I$16=TRUE,$I$17=TRUE,$I$18=TRUE,$I$19=TRUE,$I$20=TRUE,$I$22=TRUE,$I$25=TRUE,$I$125=TRUE,$I$26=TRUE,$I$27=TRUE,$I$28=TRUE,$I$29=TRUE),1,0)</f>
        <v>0</v>
      </c>
      <c r="M51" s="486"/>
      <c r="N51" s="190" t="s">
        <v>581</v>
      </c>
      <c r="O51" s="192">
        <f>IF(P51=O52,1,0)</f>
        <v>0</v>
      </c>
      <c r="P51" s="193" t="str">
        <f>CONCATENATE("(",COUNTBLANK('Pos. 3'!AW32:AW41),")")</f>
        <v>(10)</v>
      </c>
      <c r="Q51" s="472">
        <v>10</v>
      </c>
      <c r="U51" s="303" t="b">
        <f t="shared" si="7"/>
        <v>0</v>
      </c>
      <c r="V51" s="489">
        <f t="shared" si="5"/>
        <v>1</v>
      </c>
    </row>
    <row r="52" spans="1:22" ht="13.5" thickBot="1" x14ac:dyDescent="0.25">
      <c r="B52" s="273"/>
      <c r="C52" s="310"/>
      <c r="D52" s="273" t="s">
        <v>298</v>
      </c>
      <c r="E52" s="309" t="s">
        <v>299</v>
      </c>
      <c r="F52" s="309" t="s">
        <v>300</v>
      </c>
      <c r="G52" s="310" t="s">
        <v>330</v>
      </c>
      <c r="H52" s="448" t="str">
        <f t="shared" si="1"/>
        <v>Standardgrundplatten:</v>
      </c>
      <c r="I52" s="454" t="b">
        <v>0</v>
      </c>
      <c r="K52" s="303" t="s">
        <v>442</v>
      </c>
      <c r="L52" s="279">
        <f>IF(OR(AND($I$36=TRUE,'Pos. 3'!$AM$43&lt;&gt;0,'Pos. 3'!$AR$43&lt;&gt;0,'Pos. 3'!$AM$49&lt;&gt;""),AND($I$39=TRUE,'Pos. 3'!$AM$45&lt;&gt;0,'Pos. 3'!$AM$49&lt;&gt;"",'Pos. 3'!$AM$46&lt;&gt;"",'Pos. 3'!$AM$47&lt;&gt;"")),1,0)</f>
        <v>0</v>
      </c>
      <c r="M52" s="486"/>
      <c r="N52" s="194"/>
      <c r="O52" s="195" t="str">
        <f>CONCATENATE("(",IF(I19=TRUE,COUNTIF(O41:O50,FALSE),""),")")</f>
        <v>()</v>
      </c>
      <c r="P52" s="196"/>
      <c r="U52" s="303" t="b">
        <f t="shared" si="7"/>
        <v>0</v>
      </c>
      <c r="V52" s="489">
        <f t="shared" si="5"/>
        <v>1</v>
      </c>
    </row>
    <row r="53" spans="1:22" x14ac:dyDescent="0.2">
      <c r="B53" s="273" t="s">
        <v>717</v>
      </c>
      <c r="C53" s="310" t="b">
        <v>1</v>
      </c>
      <c r="D53" s="273" t="s">
        <v>75</v>
      </c>
      <c r="E53" s="309" t="s">
        <v>75</v>
      </c>
      <c r="F53" s="309" t="s">
        <v>75</v>
      </c>
      <c r="G53" s="310" t="s">
        <v>75</v>
      </c>
      <c r="H53" s="448" t="str">
        <f t="shared" si="1"/>
        <v>Sun-Box</v>
      </c>
      <c r="I53" s="454"/>
      <c r="K53" s="303" t="s">
        <v>446</v>
      </c>
      <c r="L53" s="279">
        <f>IF('Pos. 3'!AT52=1,1,IF(AND(OR($I$43=TRUE,$I$44=TRUE),'Pos. 3'!$AE$53&lt;&gt;0,'Pos. 3'!$AO$55&lt;&gt;""),1,0))</f>
        <v>0</v>
      </c>
      <c r="M53" s="486"/>
      <c r="U53" s="303" t="b">
        <f t="shared" si="7"/>
        <v>0</v>
      </c>
      <c r="V53" s="489">
        <f t="shared" si="5"/>
        <v>1</v>
      </c>
    </row>
    <row r="54" spans="1:22" x14ac:dyDescent="0.2">
      <c r="B54" s="273" t="s">
        <v>718</v>
      </c>
      <c r="C54" s="310" t="b">
        <v>0</v>
      </c>
      <c r="D54" s="273" t="s">
        <v>76</v>
      </c>
      <c r="E54" s="309" t="s">
        <v>77</v>
      </c>
      <c r="F54" s="309" t="s">
        <v>78</v>
      </c>
      <c r="G54" s="310" t="s">
        <v>331</v>
      </c>
      <c r="H54" s="448" t="str">
        <f t="shared" si="1"/>
        <v>Glastyp wählen</v>
      </c>
      <c r="I54" s="454"/>
      <c r="K54" s="303" t="s">
        <v>447</v>
      </c>
      <c r="L54" s="279">
        <f>SUM(IF(AND('Pos. 3'!$AE$70&lt;&gt;"",'Pos. 3'!$AN$70&lt;&gt;"",OR($C$60=TRUE,$C$61=TRUE,$C$62=TRUE,$C$63=TRUE)),1,0),M54)</f>
        <v>1</v>
      </c>
      <c r="M54" s="486">
        <f>IF(AND(OR('Pos. 3'!F10="F",'Pos. 3'!F10=""),OR('Pos. 3'!N10="F",'Pos. 3'!N10=""),OR('Pos. 3'!R10="F",'Pos. 3'!R10=""),OR('Pos. 3'!V10="F",'Pos. 3'!V10=""),OR('Pos. 3'!Z10="F",'Pos. 3'!Z10=""),OR('Pos. 3'!AD10="F",'Pos. 3'!AD10=""),OR('Pos. 3'!AH10="F",'Pos. 3'!AH10=""),OR('Pos. 3'!AL10="F",'Pos. 3'!AL10=""),OR('Pos. 3'!AP10="F",'Pos. 3'!AP10="")),1,0)</f>
        <v>1</v>
      </c>
      <c r="U54" s="303" t="b">
        <f t="shared" si="7"/>
        <v>1</v>
      </c>
      <c r="V54" s="489">
        <f t="shared" si="5"/>
        <v>0</v>
      </c>
    </row>
    <row r="55" spans="1:22" x14ac:dyDescent="0.2">
      <c r="B55" s="273"/>
      <c r="C55" s="310"/>
      <c r="D55" s="273" t="s">
        <v>79</v>
      </c>
      <c r="E55" s="309" t="s">
        <v>80</v>
      </c>
      <c r="F55" s="309" t="s">
        <v>79</v>
      </c>
      <c r="G55" s="310" t="s">
        <v>79</v>
      </c>
      <c r="H55" s="448" t="str">
        <f t="shared" si="1"/>
        <v>Pos:</v>
      </c>
      <c r="I55" s="454"/>
      <c r="K55" s="303" t="s">
        <v>448</v>
      </c>
      <c r="L55" s="281">
        <f>IF(AND('Pos. 3'!$AM$88&lt;&gt;"",'Pos. 3'!$AE$84&lt;&gt;"",'Pos. 3'!$AM$87&lt;&gt;""),1,0)</f>
        <v>0</v>
      </c>
      <c r="M55" s="486"/>
      <c r="U55" s="303" t="b">
        <f t="shared" si="7"/>
        <v>0</v>
      </c>
      <c r="V55" s="489">
        <f t="shared" si="5"/>
        <v>1</v>
      </c>
    </row>
    <row r="56" spans="1:22" ht="15" customHeight="1" thickBot="1" x14ac:dyDescent="0.25">
      <c r="B56" s="273"/>
      <c r="C56" s="310" t="b">
        <v>1</v>
      </c>
      <c r="D56" s="273" t="s">
        <v>81</v>
      </c>
      <c r="E56" s="309" t="s">
        <v>82</v>
      </c>
      <c r="F56" s="309" t="s">
        <v>83</v>
      </c>
      <c r="G56" s="310" t="s">
        <v>147</v>
      </c>
      <c r="H56" s="448" t="str">
        <f t="shared" si="1"/>
        <v>Stück:</v>
      </c>
      <c r="I56" s="454"/>
      <c r="K56" s="303" t="s">
        <v>453</v>
      </c>
      <c r="L56" s="493">
        <f>IF(OR($C$41=TRUE,$C$42=TRUE,$C$43=TRUE,$C$44=TRUE,AND('Pos. 3'!F10="F",'Pos. 3'!J10="")),1,0)</f>
        <v>0</v>
      </c>
      <c r="M56" s="287">
        <f>SUM(L56:L57)</f>
        <v>0</v>
      </c>
      <c r="U56" s="303" t="b">
        <f>IF(M56=0,FALSE,TRUE)</f>
        <v>0</v>
      </c>
      <c r="V56" s="489">
        <f t="shared" si="5"/>
        <v>1</v>
      </c>
    </row>
    <row r="57" spans="1:22" x14ac:dyDescent="0.2">
      <c r="B57" s="273" t="s">
        <v>455</v>
      </c>
      <c r="C57" s="310" t="b">
        <v>0</v>
      </c>
      <c r="D57" s="273" t="s">
        <v>84</v>
      </c>
      <c r="E57" s="309" t="s">
        <v>85</v>
      </c>
      <c r="F57" s="309" t="s">
        <v>85</v>
      </c>
      <c r="G57" s="310" t="s">
        <v>193</v>
      </c>
      <c r="H57" s="448" t="str">
        <f t="shared" si="1"/>
        <v>Seite:</v>
      </c>
      <c r="I57" s="454"/>
      <c r="K57" s="303" t="s">
        <v>454</v>
      </c>
      <c r="L57" s="327" t="s">
        <v>809</v>
      </c>
      <c r="M57" s="288"/>
      <c r="O57" s="34" t="s">
        <v>888</v>
      </c>
      <c r="P57" s="370"/>
      <c r="Q57" s="370"/>
      <c r="R57" s="371"/>
      <c r="T57" s="308"/>
      <c r="U57" s="303"/>
      <c r="V57" s="489"/>
    </row>
    <row r="58" spans="1:22" x14ac:dyDescent="0.2">
      <c r="B58" s="273" t="s">
        <v>456</v>
      </c>
      <c r="C58" s="310" t="b">
        <v>0</v>
      </c>
      <c r="D58" s="273" t="s">
        <v>425</v>
      </c>
      <c r="E58" s="309" t="s">
        <v>426</v>
      </c>
      <c r="F58" s="309" t="s">
        <v>427</v>
      </c>
      <c r="G58" s="310" t="s">
        <v>428</v>
      </c>
      <c r="H58" s="448" t="str">
        <f t="shared" si="1"/>
        <v>Achsmass →</v>
      </c>
      <c r="I58" s="454"/>
      <c r="K58" s="303" t="s">
        <v>457</v>
      </c>
      <c r="L58" s="286">
        <f>IF(AND('Pos. 3'!$G$20=0,'Pos. 3'!$K$20=0,'Pos. 3'!$O$20=0,'Pos. 3'!$S$20=0,'Pos. 3'!$W$20=0,'Pos. 3'!$AA$20=0,'Pos. 3'!$AE$20=0,'Pos. 3'!$AI$20=0,'Pos. 3'!$AM$20=0),1,0)</f>
        <v>1</v>
      </c>
      <c r="M58" s="486"/>
      <c r="O58" s="372" t="s">
        <v>889</v>
      </c>
      <c r="P58" s="373" t="s">
        <v>890</v>
      </c>
      <c r="Q58" s="373" t="s">
        <v>891</v>
      </c>
      <c r="R58" s="374" t="s">
        <v>892</v>
      </c>
      <c r="T58" s="308" t="s">
        <v>690</v>
      </c>
      <c r="U58" s="303" t="b">
        <f>IF(AND(L62=1,'Pos. 3'!C11&gt;35),FALSE,TRUE)</f>
        <v>1</v>
      </c>
      <c r="V58" s="489">
        <f t="shared" si="5"/>
        <v>0</v>
      </c>
    </row>
    <row r="59" spans="1:22" x14ac:dyDescent="0.2">
      <c r="B59" s="273"/>
      <c r="C59" s="310"/>
      <c r="D59" s="273" t="s">
        <v>86</v>
      </c>
      <c r="E59" s="309" t="s">
        <v>87</v>
      </c>
      <c r="F59" s="309" t="s">
        <v>88</v>
      </c>
      <c r="G59" s="310" t="s">
        <v>146</v>
      </c>
      <c r="H59" s="448" t="str">
        <f t="shared" si="1"/>
        <v>VSG mit P4A</v>
      </c>
      <c r="I59" s="454"/>
      <c r="K59" s="303" t="s">
        <v>458</v>
      </c>
      <c r="L59" s="496">
        <f>IF(AND($C$49=FALSE,$C$50=FALSE,$C$51=FALSE),0,1)</f>
        <v>0</v>
      </c>
      <c r="M59" s="290">
        <f>SUM(L58:L59)</f>
        <v>1</v>
      </c>
      <c r="O59" s="317" t="s">
        <v>195</v>
      </c>
      <c r="P59" s="375">
        <f>IF(OR('Pos. 3'!$F$10='Sprachen &amp; Rückgabewerte(3)'!$B$10,'Pos. 3'!$F$10='Sprachen &amp; Rückgabewerte(3)'!B11),1,0)</f>
        <v>0</v>
      </c>
      <c r="Q59" s="318">
        <f>IF(P59=1,0,1)</f>
        <v>1</v>
      </c>
      <c r="R59" s="325">
        <f>IF(AND(P59=1,'Pos. 3'!$F$16=""),1,0)</f>
        <v>0</v>
      </c>
      <c r="U59" s="303" t="b">
        <f>IF(M59=0,FALSE,TRUE)</f>
        <v>1</v>
      </c>
      <c r="V59" s="489">
        <f t="shared" si="5"/>
        <v>0</v>
      </c>
    </row>
    <row r="60" spans="1:22" ht="15" customHeight="1" x14ac:dyDescent="0.2">
      <c r="B60" s="273" t="s">
        <v>229</v>
      </c>
      <c r="C60" s="310" t="b">
        <v>0</v>
      </c>
      <c r="D60" s="273" t="s">
        <v>89</v>
      </c>
      <c r="E60" s="309" t="s">
        <v>90</v>
      </c>
      <c r="F60" s="309" t="s">
        <v>289</v>
      </c>
      <c r="G60" s="310" t="s">
        <v>332</v>
      </c>
      <c r="H60" s="448" t="str">
        <f t="shared" si="1"/>
        <v>Insektenschutz</v>
      </c>
      <c r="I60" s="454"/>
      <c r="K60" s="303" t="s">
        <v>459</v>
      </c>
      <c r="L60" s="493">
        <f>IF(AND($C$46=TRUE,OR($C$57=TRUE,$C$58=TRUE)),1,0)</f>
        <v>0</v>
      </c>
      <c r="M60" s="544">
        <f>SUM(L60:L61)</f>
        <v>1</v>
      </c>
      <c r="O60" s="273" t="s">
        <v>196</v>
      </c>
      <c r="P60" s="376">
        <f>IF(OR('Pos. 3'!$J$10='Sprachen &amp; Rückgabewerte(3)'!$B$10,'Pos. 3'!$J$10='Sprachen &amp; Rückgabewerte(3)'!B11),1,0)</f>
        <v>0</v>
      </c>
      <c r="Q60" s="309">
        <f t="shared" ref="Q60:Q68" si="8">IF(P60=1,0,1)</f>
        <v>1</v>
      </c>
      <c r="R60" s="310">
        <f>IF(AND(P60=1,'Pos. 3'!$J$16=""),1,0)</f>
        <v>0</v>
      </c>
      <c r="U60" s="303" t="b">
        <f>IF(M60=0,FALSE,TRUE)</f>
        <v>1</v>
      </c>
      <c r="V60" s="489">
        <f t="shared" si="5"/>
        <v>0</v>
      </c>
    </row>
    <row r="61" spans="1:22" ht="12.75" customHeight="1" x14ac:dyDescent="0.2">
      <c r="B61" s="273" t="s">
        <v>230</v>
      </c>
      <c r="C61" s="310" t="b">
        <v>0</v>
      </c>
      <c r="D61" s="336" t="s">
        <v>145</v>
      </c>
      <c r="E61" s="497" t="s">
        <v>145</v>
      </c>
      <c r="F61" s="497" t="s">
        <v>145</v>
      </c>
      <c r="G61" s="498" t="s">
        <v>145</v>
      </c>
      <c r="H61" s="448" t="str">
        <f t="shared" si="1"/>
        <v>Standard = 1050mm</v>
      </c>
      <c r="I61" s="454"/>
      <c r="K61" s="303"/>
      <c r="L61" s="327">
        <f>IF(C46=FALSE,1,0)</f>
        <v>1</v>
      </c>
      <c r="M61" s="545"/>
      <c r="O61" s="273" t="s">
        <v>197</v>
      </c>
      <c r="P61" s="376">
        <f>IF(OR('Pos. 3'!$N$10='Sprachen &amp; Rückgabewerte(3)'!$B$10,'Pos. 3'!$N$10='Sprachen &amp; Rückgabewerte(3)'!B11),1,0)</f>
        <v>0</v>
      </c>
      <c r="Q61" s="309">
        <f t="shared" si="8"/>
        <v>1</v>
      </c>
      <c r="R61" s="310">
        <f>IF(AND(P61=1,'Pos. 3'!$N$16=""),1,0)</f>
        <v>0</v>
      </c>
      <c r="U61" s="303"/>
      <c r="V61" s="489"/>
    </row>
    <row r="62" spans="1:22" x14ac:dyDescent="0.2">
      <c r="B62" s="273" t="s">
        <v>231</v>
      </c>
      <c r="C62" s="310" t="b">
        <v>0</v>
      </c>
      <c r="D62" s="273" t="s">
        <v>140</v>
      </c>
      <c r="E62" s="309" t="s">
        <v>141</v>
      </c>
      <c r="F62" s="309" t="s">
        <v>142</v>
      </c>
      <c r="G62" s="310" t="s">
        <v>143</v>
      </c>
      <c r="H62" s="448" t="str">
        <f t="shared" si="1"/>
        <v>RC2: zwingend 1050mm</v>
      </c>
      <c r="I62" s="454"/>
      <c r="K62" s="303" t="s">
        <v>484</v>
      </c>
      <c r="L62" s="493">
        <f>IF(OR(AND('Pos. 3'!$F$10="L",'Pos. 3'!$J$10="R"),AND('Pos. 3'!$J$10="L",'Pos. 3'!$N$10="R"),AND('Pos. 3'!$N$10="L",'Pos. 3'!$R$10="R"),AND('Pos. 3'!$R$10="L",'Pos. 3'!$V$10="R"),AND('Pos. 3'!$V$10="L",'Pos. 3'!$Z$10="R"),AND('Pos. 3'!$Z$10="L",'Pos. 3'!$AD$10="R"),AND('Pos. 3'!$AD$10="L",'Pos. 3'!$AH$10="R"),AND('Pos. 3'!$AH$10="L",'Pos. 3'!$AL$10="R"),AND('Pos. 3'!$AL$10="L",'Pos. 3'!$AP$10="R"),AND('Pos. 3'!F10="F",'Pos. 3'!J10="R"),AND('Pos. 3'!J10="F",'Pos. 3'!N10="R"),AND('Pos. 3'!N10="F",'Pos. 3'!R10="R"),AND('Pos. 3'!R10="F",'Pos. 3'!V10="R"),AND('Pos. 3'!V10="F",'Pos. 3'!Z10="R"),AND('Pos. 3'!Z10="F",'Pos. 3'!AD10="R"),AND('Pos. 3'!AD10="F",'Pos. 3'!AH10="R"),AND('Pos. 3'!AH10="F",'Pos. 3'!AL10="R"),AND('Pos. 3'!AL10="F",'Pos. 3'!AP10="R"),AND('Pos. 3'!F10="L",'Pos. 3'!J10="F"),AND('Pos. 3'!J10="L",'Pos. 3'!N10="F"),AND('Pos. 3'!N10="L",'Pos. 3'!R10="F"),AND('Pos. 3'!R10="L",'Pos. 3'!V10="F"),AND('Pos. 3'!V10="L",'Pos. 3'!Z10="F"),AND('Pos. 3'!Z10="L",'Pos. 3'!AD10="F"),AND('Pos. 3'!AD10="L",'Pos. 3'!AH10="F"),AND('Pos. 3'!AH10="L",'Pos. 3'!AL10="F"),AND('Pos. 3'!AL10="L",'Pos. 3'!AP10="F")),1,0)</f>
        <v>0</v>
      </c>
      <c r="M62" s="287">
        <f>IF(AND(L58=0,SUM(L62:L65)=2),0,SUM(L62:L65))</f>
        <v>1</v>
      </c>
      <c r="O62" s="273" t="s">
        <v>198</v>
      </c>
      <c r="P62" s="376">
        <f>IF(OR('Pos. 3'!$R$10='Sprachen &amp; Rückgabewerte(3)'!$B$10,'Pos. 3'!$R$10='Sprachen &amp; Rückgabewerte(3)'!B11),1,0)</f>
        <v>0</v>
      </c>
      <c r="Q62" s="309">
        <f t="shared" si="8"/>
        <v>1</v>
      </c>
      <c r="R62" s="310">
        <f>IF(AND(P62=1,'Pos. 3'!$R$16=""),1,0)</f>
        <v>0</v>
      </c>
      <c r="U62" s="303" t="b">
        <f>IF(OR(M62=2,M62=3),FALSE,TRUE)</f>
        <v>1</v>
      </c>
      <c r="V62" s="489">
        <f t="shared" si="5"/>
        <v>0</v>
      </c>
    </row>
    <row r="63" spans="1:22" ht="15.75" customHeight="1" thickBot="1" x14ac:dyDescent="0.25">
      <c r="B63" s="473" t="s">
        <v>232</v>
      </c>
      <c r="C63" s="380" t="b">
        <v>0</v>
      </c>
      <c r="D63" s="273" t="s">
        <v>144</v>
      </c>
      <c r="E63" s="309" t="s">
        <v>144</v>
      </c>
      <c r="F63" s="309" t="s">
        <v>144</v>
      </c>
      <c r="G63" s="310" t="s">
        <v>144</v>
      </c>
      <c r="H63" s="448" t="str">
        <f t="shared" si="1"/>
        <v>min: RV=200 MVv=750</v>
      </c>
      <c r="I63" s="454"/>
      <c r="K63" s="303"/>
      <c r="L63" s="499">
        <f>IF(AND('Pos. 3'!G20="",'Pos. 3'!K20="",'Pos. 3'!O20="",'Pos. 3'!S20="",'Pos. 3'!W20="",'Pos. 3'!AA20="",'Pos. 3'!AE20="",'Pos. 3'!AI20="",'Pos. 3'!AM20=""),1,2)</f>
        <v>1</v>
      </c>
      <c r="M63" s="292"/>
      <c r="O63" s="273" t="s">
        <v>199</v>
      </c>
      <c r="P63" s="376">
        <f>IF(OR('Pos. 3'!$V$10='Sprachen &amp; Rückgabewerte(3)'!$B$10,'Pos. 3'!$V$10='Sprachen &amp; Rückgabewerte(3)'!B11),1,0)</f>
        <v>0</v>
      </c>
      <c r="Q63" s="309">
        <f t="shared" si="8"/>
        <v>1</v>
      </c>
      <c r="R63" s="310">
        <f>IF(AND(P63=1,'Pos. 3'!$V$16=""),1,0)</f>
        <v>0</v>
      </c>
      <c r="T63" s="308" t="s">
        <v>698</v>
      </c>
      <c r="U63" s="303" t="b">
        <f>IF('Pos. 3'!AX25="",FALSE,TRUE)</f>
        <v>0</v>
      </c>
      <c r="V63" s="489">
        <f>IF(U63=FALSE,1,0)</f>
        <v>1</v>
      </c>
    </row>
    <row r="64" spans="1:22" ht="15" customHeight="1" x14ac:dyDescent="0.2">
      <c r="B64" s="500" t="s">
        <v>549</v>
      </c>
      <c r="C64" s="501">
        <f>IF(OR($C$60=TRUE,$C$61=TRUE,$C$62=TRUE,$C$63=TRUE),1,0)</f>
        <v>0</v>
      </c>
      <c r="D64" s="273" t="s">
        <v>148</v>
      </c>
      <c r="E64" s="309" t="s">
        <v>234</v>
      </c>
      <c r="F64" s="309" t="s">
        <v>258</v>
      </c>
      <c r="G64" s="310" t="s">
        <v>272</v>
      </c>
      <c r="H64" s="448" t="str">
        <f t="shared" si="1"/>
        <v>Verschlussgriffe:</v>
      </c>
      <c r="I64" s="454"/>
      <c r="K64" s="303"/>
      <c r="L64" s="499">
        <f>IF(AND($C$45=FALSE,$C$46=FALSE,$C$47=FALSE,$C$48=FALSE),0,1)</f>
        <v>0</v>
      </c>
      <c r="M64" s="292"/>
      <c r="O64" s="273" t="s">
        <v>200</v>
      </c>
      <c r="P64" s="376">
        <f>IF(OR('Pos. 3'!$Z$10='Sprachen &amp; Rückgabewerte(3)'!$B$10,'Pos. 3'!$Z$10='Sprachen &amp; Rückgabewerte(3)'!B11),1,0)</f>
        <v>0</v>
      </c>
      <c r="Q64" s="309">
        <f t="shared" si="8"/>
        <v>1</v>
      </c>
      <c r="R64" s="310">
        <f>IF(AND(P64=1,'Pos. 3'!$Z$16=""),1,0)</f>
        <v>0</v>
      </c>
      <c r="T64" s="308" t="s">
        <v>705</v>
      </c>
      <c r="U64" s="303" t="b">
        <f>IF('Pos. 3'!AM87="",FALSE,TRUE)</f>
        <v>0</v>
      </c>
      <c r="V64" s="489">
        <f>IF(U64=FALSE,1,0)</f>
        <v>1</v>
      </c>
    </row>
    <row r="65" spans="2:23" ht="15.75" customHeight="1" thickBot="1" x14ac:dyDescent="0.25">
      <c r="B65" s="89"/>
      <c r="C65" s="502"/>
      <c r="D65" s="273" t="s">
        <v>152</v>
      </c>
      <c r="E65" s="309" t="s">
        <v>235</v>
      </c>
      <c r="F65" s="309" t="s">
        <v>290</v>
      </c>
      <c r="G65" s="310" t="s">
        <v>333</v>
      </c>
      <c r="H65" s="448" t="str">
        <f t="shared" si="1"/>
        <v>mit Verschlussraster (Druckknopf)</v>
      </c>
      <c r="I65" s="454"/>
      <c r="K65" s="303"/>
      <c r="L65" s="327">
        <f>IF(AND('Pos. 3'!H11="",'Pos. 3'!I11="",'Pos. 3'!L11="",'Pos. 3'!M11="",'Pos. 3'!P11="",'Pos. 3'!Q11="",'Pos. 3'!T11="",'Pos. 3'!U11="",'Pos. 3'!X11="",'Pos. 3'!Y11="",'Pos. 3'!AB11="",'Pos. 3'!AC11="",'Pos. 3'!AF11="",'Pos. 3'!AG11="",'Pos. 3'!AJ11="",'Pos. 3'!AK11="",'Pos. 3'!AN11="",'Pos. 3'!AO11=""),0,1)</f>
        <v>0</v>
      </c>
      <c r="M65" s="288"/>
      <c r="O65" s="273" t="s">
        <v>201</v>
      </c>
      <c r="P65" s="376">
        <f>IF(OR('Pos. 3'!$AD$10='Sprachen &amp; Rückgabewerte(3)'!$B$10,'Pos. 3'!$AD$10='Sprachen &amp; Rückgabewerte(3)'!B11),1,0)</f>
        <v>0</v>
      </c>
      <c r="Q65" s="309">
        <f t="shared" si="8"/>
        <v>1</v>
      </c>
      <c r="R65" s="310">
        <f>IF(AND(P65=1,'Pos. 3'!$AD$16=""),1,0)</f>
        <v>0</v>
      </c>
      <c r="T65" s="272" t="s">
        <v>936</v>
      </c>
      <c r="U65" s="303" t="b">
        <f>IF(AND(C51=TRUE,'Pos. 3'!V97=""),FALSE,TRUE)</f>
        <v>1</v>
      </c>
      <c r="V65" s="489">
        <f>IF(U65=FALSE,1,0)</f>
        <v>0</v>
      </c>
    </row>
    <row r="66" spans="2:23" ht="25.5" x14ac:dyDescent="0.2">
      <c r="B66" s="181" t="s">
        <v>550</v>
      </c>
      <c r="C66" s="502"/>
      <c r="D66" s="273" t="s">
        <v>406</v>
      </c>
      <c r="E66" s="309" t="s">
        <v>407</v>
      </c>
      <c r="F66" s="309" t="s">
        <v>409</v>
      </c>
      <c r="G66" s="310" t="s">
        <v>408</v>
      </c>
      <c r="H66" s="448" t="str">
        <f t="shared" si="1"/>
        <v>mit Verschlussraster (Zylinder)</v>
      </c>
      <c r="I66" s="454"/>
      <c r="K66" s="297" t="s">
        <v>553</v>
      </c>
      <c r="L66" s="493" t="b">
        <f>IF(AND($I$71=TRUE,'Pos. 3'!$AP$74="",'Pos. 3'!$AP$75="",'Pos. 3'!$AP$76=""),FALSE,TRUE)</f>
        <v>1</v>
      </c>
      <c r="M66" s="287" t="b">
        <f>IF(OR($L$66=FALSE,$L$67=FALSE,$L$68=FALSE,L69=FALSE),FALSE,TRUE)</f>
        <v>0</v>
      </c>
      <c r="O66" s="273" t="s">
        <v>202</v>
      </c>
      <c r="P66" s="376">
        <f>IF(OR('Pos. 3'!$AH$10='Sprachen &amp; Rückgabewerte(3)'!$B$10,'Pos. 3'!$AH$10='Sprachen &amp; Rückgabewerte(3)'!B11),1,0)</f>
        <v>0</v>
      </c>
      <c r="Q66" s="309">
        <f t="shared" si="8"/>
        <v>1</v>
      </c>
      <c r="R66" s="310">
        <f>IF(AND(P66=1,'Pos. 3'!$AH$16=""),1,0)</f>
        <v>0</v>
      </c>
      <c r="U66" s="303" t="b">
        <f>M66</f>
        <v>0</v>
      </c>
      <c r="V66" s="489">
        <f t="shared" si="5"/>
        <v>1</v>
      </c>
    </row>
    <row r="67" spans="2:23" ht="15" customHeight="1" x14ac:dyDescent="0.2">
      <c r="B67" s="503"/>
      <c r="C67" s="502"/>
      <c r="D67" s="273" t="s">
        <v>149</v>
      </c>
      <c r="E67" s="309" t="s">
        <v>236</v>
      </c>
      <c r="F67" s="309" t="s">
        <v>291</v>
      </c>
      <c r="G67" s="310" t="s">
        <v>334</v>
      </c>
      <c r="H67" s="448" t="str">
        <f t="shared" si="1"/>
        <v>ohne Verschlussraster</v>
      </c>
      <c r="I67" s="454"/>
      <c r="K67" s="297" t="s">
        <v>554</v>
      </c>
      <c r="L67" s="504" t="b">
        <f>IF('Pos. 3'!AN78="",FALSE,TRUE)</f>
        <v>0</v>
      </c>
      <c r="M67" s="292"/>
      <c r="O67" s="273" t="s">
        <v>203</v>
      </c>
      <c r="P67" s="376">
        <f>IF(OR('Pos. 3'!$AL$10='Sprachen &amp; Rückgabewerte(3)'!$B$10,'Pos. 3'!$AL$10='Sprachen &amp; Rückgabewerte(3)'!B11),1,0)</f>
        <v>0</v>
      </c>
      <c r="Q67" s="309">
        <f t="shared" si="8"/>
        <v>1</v>
      </c>
      <c r="R67" s="310">
        <f>IF(AND(P67=1,'Pos. 3'!$AL$16=""),1,0)</f>
        <v>0</v>
      </c>
      <c r="T67" s="308" t="s">
        <v>894</v>
      </c>
      <c r="U67" s="303" t="b">
        <f>IF(R69&gt;0,FALSE,TRUE)</f>
        <v>1</v>
      </c>
      <c r="V67" s="489">
        <f>IF(U67=FALSE,1,0)</f>
        <v>0</v>
      </c>
    </row>
    <row r="68" spans="2:23" ht="15" customHeight="1" x14ac:dyDescent="0.2">
      <c r="B68" s="448" t="str">
        <f>$H$112</f>
        <v>mit CFK</v>
      </c>
      <c r="C68" s="502"/>
      <c r="D68" s="273" t="s">
        <v>150</v>
      </c>
      <c r="E68" s="309" t="s">
        <v>237</v>
      </c>
      <c r="F68" s="309" t="s">
        <v>260</v>
      </c>
      <c r="G68" s="310" t="s">
        <v>335</v>
      </c>
      <c r="H68" s="448" t="str">
        <f t="shared" si="1"/>
        <v>2-Punkt Verriegelung</v>
      </c>
      <c r="I68" s="454"/>
      <c r="J68" s="272" t="str">
        <f>H68</f>
        <v>2-Punkt Verriegelung</v>
      </c>
      <c r="K68" s="297" t="s">
        <v>555</v>
      </c>
      <c r="L68" s="504" t="b">
        <f>IF('Pos. 3'!AN79="",FALSE,TRUE)</f>
        <v>0</v>
      </c>
      <c r="M68" s="292"/>
      <c r="O68" s="273" t="s">
        <v>204</v>
      </c>
      <c r="P68" s="376">
        <f>IF(OR('Pos. 3'!$AP$10='Sprachen &amp; Rückgabewerte(3)'!$B$10,'Pos. 3'!$AP$10='Sprachen &amp; Rückgabewerte(3)'!B11),1,0)</f>
        <v>0</v>
      </c>
      <c r="Q68" s="309">
        <f t="shared" si="8"/>
        <v>1</v>
      </c>
      <c r="R68" s="310">
        <f>IF(AND(P68=1,'Pos. 3'!$AP$16=""),1,0)</f>
        <v>0</v>
      </c>
      <c r="T68" s="308" t="s">
        <v>933</v>
      </c>
      <c r="U68" s="303" t="b">
        <f>IF('Pos. 3'!AQ96="",FALSE,TRUE)</f>
        <v>0</v>
      </c>
      <c r="V68" s="489">
        <f t="shared" ref="V68:V69" si="9">IF(U68=FALSE,1,0)</f>
        <v>1</v>
      </c>
      <c r="W68" s="505">
        <f>SUM(V68:V69)</f>
        <v>1</v>
      </c>
    </row>
    <row r="69" spans="2:23" ht="15" customHeight="1" thickBot="1" x14ac:dyDescent="0.25">
      <c r="B69" s="448" t="str">
        <f>$H$113</f>
        <v>ohne CFK</v>
      </c>
      <c r="C69" s="502"/>
      <c r="D69" s="273" t="s">
        <v>151</v>
      </c>
      <c r="E69" s="309" t="s">
        <v>238</v>
      </c>
      <c r="F69" s="309" t="s">
        <v>259</v>
      </c>
      <c r="G69" s="310" t="s">
        <v>336</v>
      </c>
      <c r="H69" s="448" t="str">
        <f t="shared" si="1"/>
        <v>3-Punkt Verriegelung</v>
      </c>
      <c r="I69" s="454"/>
      <c r="J69" s="272" t="str">
        <f>H69</f>
        <v>3-Punkt Verriegelung</v>
      </c>
      <c r="K69" s="297" t="s">
        <v>556</v>
      </c>
      <c r="L69" s="506" t="b">
        <f>IF('Pos. 3'!$AN$80&lt;&gt;"",TRUE,FALSE)</f>
        <v>0</v>
      </c>
      <c r="M69" s="288"/>
      <c r="O69" s="377"/>
      <c r="P69" s="378"/>
      <c r="Q69" s="379" t="s">
        <v>893</v>
      </c>
      <c r="R69" s="380">
        <f>IF(I20=TRUE,SUM(R59:R68),0)</f>
        <v>0</v>
      </c>
      <c r="T69" s="308" t="s">
        <v>934</v>
      </c>
      <c r="U69" s="303" t="b">
        <f>IF(AND('Pos. 3'!AQ96='Sprachen &amp; Rückgabewerte(3)'!H95,'Pos. 3'!AW96=""),FALSE,TRUE)</f>
        <v>1</v>
      </c>
      <c r="V69" s="489">
        <f t="shared" si="9"/>
        <v>0</v>
      </c>
    </row>
    <row r="70" spans="2:23" x14ac:dyDescent="0.2">
      <c r="B70" s="448"/>
      <c r="C70" s="502"/>
      <c r="D70" s="273" t="s">
        <v>233</v>
      </c>
      <c r="E70" s="309" t="s">
        <v>239</v>
      </c>
      <c r="F70" s="309" t="s">
        <v>261</v>
      </c>
      <c r="G70" s="310" t="s">
        <v>273</v>
      </c>
      <c r="H70" s="448" t="str">
        <f t="shared" si="1"/>
        <v>Befestigung:</v>
      </c>
      <c r="I70" s="454"/>
      <c r="K70" s="303" t="s">
        <v>579</v>
      </c>
      <c r="L70" s="507">
        <f>IF(AND(I19=TRUE,O51=1),1,0)</f>
        <v>0</v>
      </c>
      <c r="M70" s="290"/>
      <c r="U70" s="303" t="b">
        <f>IF(AND(I19=TRUE,O51&lt;&gt;1),FALSE,TRUE)</f>
        <v>1</v>
      </c>
      <c r="V70" s="489">
        <f t="shared" si="5"/>
        <v>0</v>
      </c>
    </row>
    <row r="71" spans="2:23" x14ac:dyDescent="0.2">
      <c r="B71" s="448" t="str">
        <f>$H$114</f>
        <v>mit Stahl</v>
      </c>
      <c r="C71" s="502"/>
      <c r="D71" s="273" t="s">
        <v>285</v>
      </c>
      <c r="E71" s="309" t="s">
        <v>286</v>
      </c>
      <c r="F71" s="309" t="s">
        <v>287</v>
      </c>
      <c r="G71" s="310" t="s">
        <v>274</v>
      </c>
      <c r="H71" s="448" t="str">
        <f t="shared" si="1"/>
        <v>Universalschrauben (A2):</v>
      </c>
      <c r="I71" s="454" t="b">
        <v>0</v>
      </c>
      <c r="K71" s="303" t="s">
        <v>619</v>
      </c>
      <c r="L71" s="507">
        <f>IF(OR('Pos. 3'!$F$10='Sprachen &amp; Rückgabewerte(3)'!$B$14,'Pos. 3'!$J$10='Sprachen &amp; Rückgabewerte(3)'!$B$14,'Pos. 3'!$N$10='Sprachen &amp; Rückgabewerte(3)'!B14,'Pos. 3'!$R$10='Sprachen &amp; Rückgabewerte(3)'!$B$14,'Pos. 3'!$V$10='Sprachen &amp; Rückgabewerte(3)'!$B$14,'Pos. 3'!$Z$10='Sprachen &amp; Rückgabewerte(3)'!$B$14,'Pos. 3'!$AD$10='Sprachen &amp; Rückgabewerte(3)'!$B$14,'Pos. 3'!$AH$10='Sprachen &amp; Rückgabewerte(3)'!$B$14,'Pos. 3'!$AL$10='Sprachen &amp; Rückgabewerte(3)'!$B$14,'Pos. 3'!$AP$10='Sprachen &amp; Rückgabewerte(3)'!$B$14),0,1)</f>
        <v>1</v>
      </c>
      <c r="M71" s="290">
        <f>IF(AND(L71=0,'Pos. 3'!AW48=""),0,1)</f>
        <v>1</v>
      </c>
      <c r="U71" s="303" t="b">
        <f>IF(M71=1,TRUE,FALSE)</f>
        <v>1</v>
      </c>
      <c r="V71" s="489">
        <f t="shared" si="5"/>
        <v>0</v>
      </c>
    </row>
    <row r="72" spans="2:23" x14ac:dyDescent="0.2">
      <c r="B72" s="448" t="str">
        <f>$H$115</f>
        <v>ohne Stahl</v>
      </c>
      <c r="C72" s="502"/>
      <c r="D72" s="273" t="s">
        <v>153</v>
      </c>
      <c r="E72" s="309" t="s">
        <v>153</v>
      </c>
      <c r="F72" s="309" t="s">
        <v>153</v>
      </c>
      <c r="G72" s="309" t="s">
        <v>153</v>
      </c>
      <c r="H72" s="448" t="str">
        <f t="shared" ref="H72:H88" si="10">IF($B$3=$A$3,D72,IF($B$3=$A$4,E72,IF($B$3=$A$5,F72,IF($B$3=$A$6,G72,""))))</f>
        <v>L=52mm</v>
      </c>
      <c r="I72" s="454"/>
      <c r="J72" s="272" t="str">
        <f>H72</f>
        <v>L=52mm</v>
      </c>
      <c r="K72" s="297" t="s">
        <v>683</v>
      </c>
      <c r="L72" s="298">
        <f>C95</f>
        <v>6</v>
      </c>
      <c r="M72" s="489"/>
      <c r="U72" s="303" t="b">
        <f>IF(AND(L72&gt;0,I50=TRUE),FALSE,TRUE)</f>
        <v>1</v>
      </c>
      <c r="V72" s="489">
        <f t="shared" si="5"/>
        <v>0</v>
      </c>
    </row>
    <row r="73" spans="2:23" x14ac:dyDescent="0.2">
      <c r="B73" s="448"/>
      <c r="C73" s="502"/>
      <c r="D73" s="273" t="s">
        <v>154</v>
      </c>
      <c r="E73" s="309" t="s">
        <v>154</v>
      </c>
      <c r="F73" s="309" t="s">
        <v>154</v>
      </c>
      <c r="G73" s="309" t="s">
        <v>154</v>
      </c>
      <c r="H73" s="448" t="str">
        <f t="shared" si="10"/>
        <v>L=82mm</v>
      </c>
      <c r="I73" s="454"/>
      <c r="J73" s="272" t="str">
        <f>H73</f>
        <v>L=82mm</v>
      </c>
      <c r="K73" s="297" t="s">
        <v>685</v>
      </c>
      <c r="L73" s="298">
        <f>A50</f>
        <v>0</v>
      </c>
      <c r="M73" s="489"/>
      <c r="U73" s="303" t="b">
        <f>IF(L73=0,TRUE,FALSE)</f>
        <v>1</v>
      </c>
      <c r="V73" s="489">
        <f t="shared" si="5"/>
        <v>0</v>
      </c>
    </row>
    <row r="74" spans="2:23" x14ac:dyDescent="0.2">
      <c r="B74" s="448" t="str">
        <f>$H$120</f>
        <v>mit AL.</v>
      </c>
      <c r="C74" s="502"/>
      <c r="D74" s="273" t="s">
        <v>155</v>
      </c>
      <c r="E74" s="309" t="s">
        <v>155</v>
      </c>
      <c r="F74" s="309" t="s">
        <v>155</v>
      </c>
      <c r="G74" s="309" t="s">
        <v>155</v>
      </c>
      <c r="H74" s="448" t="str">
        <f t="shared" si="10"/>
        <v>L=112mm</v>
      </c>
      <c r="I74" s="454"/>
      <c r="J74" s="272" t="str">
        <f>H74</f>
        <v>L=112mm</v>
      </c>
      <c r="K74" s="297" t="s">
        <v>306</v>
      </c>
      <c r="L74" s="298" t="b">
        <f>IF(AND(I51=TRUE,'Pos. 3'!AP86=""),FALSE,TRUE)</f>
        <v>1</v>
      </c>
      <c r="M74" s="489"/>
      <c r="U74" s="303" t="b">
        <f>L74</f>
        <v>1</v>
      </c>
      <c r="V74" s="489">
        <f t="shared" si="5"/>
        <v>0</v>
      </c>
    </row>
    <row r="75" spans="2:23" x14ac:dyDescent="0.2">
      <c r="B75" s="448" t="str">
        <f>$H$121</f>
        <v>ohne AL.</v>
      </c>
      <c r="C75" s="502"/>
      <c r="D75" s="273" t="s">
        <v>899</v>
      </c>
      <c r="E75" s="309" t="s">
        <v>900</v>
      </c>
      <c r="F75" s="309" t="s">
        <v>901</v>
      </c>
      <c r="G75" s="310" t="s">
        <v>902</v>
      </c>
      <c r="H75" s="448" t="str">
        <f t="shared" si="10"/>
        <v>(VE à 100 Stk.)</v>
      </c>
      <c r="I75" s="454"/>
      <c r="K75" s="297" t="s">
        <v>686</v>
      </c>
      <c r="L75" s="298" t="b">
        <f>IF(AND(I22=TRUE,'Pos. 3'!AL39=""),FALSE,TRUE)</f>
        <v>1</v>
      </c>
      <c r="M75" s="489"/>
      <c r="U75" s="303" t="b">
        <f>L75</f>
        <v>1</v>
      </c>
      <c r="V75" s="489">
        <f t="shared" si="5"/>
        <v>0</v>
      </c>
    </row>
    <row r="76" spans="2:23" x14ac:dyDescent="0.2">
      <c r="B76" s="448"/>
      <c r="D76" s="273" t="s">
        <v>156</v>
      </c>
      <c r="E76" s="309" t="s">
        <v>240</v>
      </c>
      <c r="F76" s="309" t="s">
        <v>262</v>
      </c>
      <c r="G76" s="310" t="s">
        <v>275</v>
      </c>
      <c r="H76" s="448" t="str">
        <f t="shared" si="10"/>
        <v>Sockelbefestigung:</v>
      </c>
      <c r="I76" s="454"/>
      <c r="K76" s="297" t="s">
        <v>687</v>
      </c>
      <c r="L76" s="298" t="b">
        <f>IF(AND(I45=TRUE,'Pos. 3'!AI57=""),FALSE,TRUE)</f>
        <v>1</v>
      </c>
      <c r="M76" s="489"/>
      <c r="U76" s="303" t="b">
        <f>L76</f>
        <v>1</v>
      </c>
      <c r="V76" s="489">
        <f t="shared" si="5"/>
        <v>0</v>
      </c>
    </row>
    <row r="77" spans="2:23" ht="13.5" thickBot="1" x14ac:dyDescent="0.25">
      <c r="B77" s="448" t="str">
        <f>$H$122</f>
        <v>mit AL. (&gt;2.5m)</v>
      </c>
      <c r="D77" s="273" t="s">
        <v>157</v>
      </c>
      <c r="E77" s="309" t="s">
        <v>241</v>
      </c>
      <c r="F77" s="309" t="s">
        <v>263</v>
      </c>
      <c r="G77" s="310" t="s">
        <v>276</v>
      </c>
      <c r="H77" s="448" t="str">
        <f t="shared" si="10"/>
        <v>Verstellschrauben M10 x</v>
      </c>
      <c r="I77" s="454"/>
      <c r="J77" s="272" t="str">
        <f>H80</f>
        <v>ohne</v>
      </c>
      <c r="K77" s="300" t="s">
        <v>688</v>
      </c>
      <c r="L77" s="301" t="b">
        <f>IF(OR('Pos. 3'!AE84='Sprachen &amp; Rückgabewerte(3)'!H88,AND('Pos. 3'!AE84='Sprachen &amp; Rückgabewerte(3)'!H89,'Pos. 3'!AE85&lt;&gt;"")),TRUE,FALSE)</f>
        <v>0</v>
      </c>
      <c r="M77" s="508"/>
      <c r="U77" s="303" t="b">
        <f>L77</f>
        <v>0</v>
      </c>
      <c r="V77" s="489">
        <f t="shared" si="5"/>
        <v>1</v>
      </c>
    </row>
    <row r="78" spans="2:23" ht="13.5" thickBot="1" x14ac:dyDescent="0.25">
      <c r="B78" s="495" t="str">
        <f>$H$123</f>
        <v>ohne AL. (&lt;2.5m)</v>
      </c>
      <c r="D78" s="273" t="s">
        <v>158</v>
      </c>
      <c r="E78" s="309" t="s">
        <v>158</v>
      </c>
      <c r="F78" s="309" t="s">
        <v>158</v>
      </c>
      <c r="G78" s="309" t="s">
        <v>158</v>
      </c>
      <c r="H78" s="448" t="str">
        <f t="shared" si="10"/>
        <v>L=70mm</v>
      </c>
      <c r="I78" s="454"/>
      <c r="J78" s="272" t="str">
        <f>H78</f>
        <v>L=70mm</v>
      </c>
      <c r="K78" s="34" t="s">
        <v>405</v>
      </c>
      <c r="L78" s="370"/>
      <c r="M78" s="370"/>
      <c r="N78" s="370"/>
      <c r="O78" s="371"/>
      <c r="T78" s="308" t="s">
        <v>952</v>
      </c>
      <c r="U78" s="303" t="b">
        <f>IF('Pos. 3'!AZ9="",FALSE,TRUE)</f>
        <v>0</v>
      </c>
      <c r="V78" s="489">
        <f t="shared" si="5"/>
        <v>1</v>
      </c>
      <c r="W78" s="505">
        <f>SUM(V78:V79)</f>
        <v>2</v>
      </c>
    </row>
    <row r="79" spans="2:23" ht="13.5" thickBot="1" x14ac:dyDescent="0.25">
      <c r="D79" s="273" t="s">
        <v>159</v>
      </c>
      <c r="E79" s="309" t="s">
        <v>159</v>
      </c>
      <c r="F79" s="309" t="s">
        <v>159</v>
      </c>
      <c r="G79" s="309" t="s">
        <v>159</v>
      </c>
      <c r="H79" s="448" t="str">
        <f t="shared" si="10"/>
        <v>L=100mm</v>
      </c>
      <c r="I79" s="454"/>
      <c r="J79" s="272" t="str">
        <f>H79</f>
        <v>L=100mm</v>
      </c>
      <c r="K79" s="509" t="str">
        <f>H65</f>
        <v>mit Verschlussraster (Druckknopf)</v>
      </c>
      <c r="L79" s="510"/>
      <c r="M79" s="511"/>
      <c r="N79" s="512" t="str">
        <f>IF(OR(C62=TRUE,C63=TRUE),K81,K79)</f>
        <v>mit Verschlussraster (Druckknopf)</v>
      </c>
      <c r="O79" s="513"/>
      <c r="T79" s="308" t="s">
        <v>953</v>
      </c>
      <c r="U79" s="303" t="b">
        <f>IF('Pos. 3'!AZ10="",FALSE,TRUE)</f>
        <v>0</v>
      </c>
      <c r="V79" s="489">
        <f t="shared" si="5"/>
        <v>1</v>
      </c>
    </row>
    <row r="80" spans="2:23" ht="13.5" thickBot="1" x14ac:dyDescent="0.25">
      <c r="B80" s="57" t="s">
        <v>578</v>
      </c>
      <c r="D80" s="273" t="s">
        <v>160</v>
      </c>
      <c r="E80" s="309" t="s">
        <v>242</v>
      </c>
      <c r="F80" s="309" t="s">
        <v>264</v>
      </c>
      <c r="G80" s="310" t="s">
        <v>277</v>
      </c>
      <c r="H80" s="448" t="str">
        <f t="shared" si="10"/>
        <v>ohne</v>
      </c>
      <c r="I80" s="454"/>
      <c r="J80" s="272" t="str">
        <f>H80</f>
        <v>ohne</v>
      </c>
      <c r="K80" s="514" t="str">
        <f>H67</f>
        <v>ohne Verschlussraster</v>
      </c>
      <c r="L80" s="515"/>
      <c r="M80" s="466"/>
      <c r="N80" s="516" t="str">
        <f>IF(OR(C62=TRUE,C63=TRUE),K82,K80)</f>
        <v>ohne Verschlussraster</v>
      </c>
      <c r="O80" s="517"/>
      <c r="U80" s="303"/>
      <c r="V80" s="489"/>
    </row>
    <row r="81" spans="1:22" x14ac:dyDescent="0.2">
      <c r="A81" s="518">
        <v>280</v>
      </c>
      <c r="B81" s="519" t="str">
        <f>""</f>
        <v/>
      </c>
      <c r="C81" s="520">
        <v>214</v>
      </c>
      <c r="D81" s="273" t="s">
        <v>161</v>
      </c>
      <c r="E81" s="309" t="s">
        <v>243</v>
      </c>
      <c r="F81" s="309" t="s">
        <v>265</v>
      </c>
      <c r="G81" s="310" t="s">
        <v>278</v>
      </c>
      <c r="H81" s="448" t="str">
        <f t="shared" si="10"/>
        <v>inklusive</v>
      </c>
      <c r="I81" s="454"/>
      <c r="J81" s="272" t="str">
        <f>H81</f>
        <v>inklusive</v>
      </c>
      <c r="K81" s="514" t="str">
        <f>H66</f>
        <v>mit Verschlussraster (Zylinder)</v>
      </c>
      <c r="L81" s="515"/>
      <c r="M81" s="466"/>
      <c r="N81" s="516"/>
      <c r="O81" s="517"/>
      <c r="U81" s="303"/>
      <c r="V81" s="489"/>
    </row>
    <row r="82" spans="1:22" ht="13.5" thickBot="1" x14ac:dyDescent="0.25">
      <c r="A82" s="521">
        <v>254</v>
      </c>
      <c r="B82" s="522">
        <v>85</v>
      </c>
      <c r="C82" s="523">
        <f>IF('Pos. 3'!$T$114='Sprachen &amp; Rückgabewerte(3)'!$J$146,130,144)</f>
        <v>144</v>
      </c>
      <c r="D82" s="273" t="s">
        <v>244</v>
      </c>
      <c r="E82" s="309" t="s">
        <v>245</v>
      </c>
      <c r="F82" s="309" t="s">
        <v>266</v>
      </c>
      <c r="G82" s="310" t="s">
        <v>245</v>
      </c>
      <c r="H82" s="448" t="str">
        <f t="shared" si="10"/>
        <v>Sockel 75</v>
      </c>
      <c r="I82" s="454"/>
      <c r="K82" s="524" t="str">
        <f>H161</f>
        <v>ohne Verschlussraster (Zylinder)</v>
      </c>
      <c r="L82" s="525"/>
      <c r="M82" s="526"/>
      <c r="N82" s="525"/>
      <c r="O82" s="527"/>
      <c r="U82" s="303"/>
      <c r="V82" s="489"/>
    </row>
    <row r="83" spans="1:22" ht="14.25" thickTop="1" thickBot="1" x14ac:dyDescent="0.25">
      <c r="A83" s="521">
        <v>254</v>
      </c>
      <c r="B83" s="522">
        <v>105</v>
      </c>
      <c r="C83" s="523">
        <f>IF('Pos. 3'!$T$114='Sprachen &amp; Rückgabewerte(3)'!$J$146,158,172)</f>
        <v>172</v>
      </c>
      <c r="D83" s="273" t="s">
        <v>160</v>
      </c>
      <c r="E83" s="309" t="s">
        <v>242</v>
      </c>
      <c r="F83" s="309" t="s">
        <v>264</v>
      </c>
      <c r="G83" s="310" t="s">
        <v>277</v>
      </c>
      <c r="H83" s="448" t="str">
        <f t="shared" si="10"/>
        <v>ohne</v>
      </c>
      <c r="I83" s="454"/>
      <c r="S83" s="272" t="s">
        <v>951</v>
      </c>
      <c r="T83" s="307" t="s">
        <v>689</v>
      </c>
      <c r="U83" s="304" t="b">
        <f>IF(V83&gt;0,FALSE,TRUE)</f>
        <v>0</v>
      </c>
      <c r="V83" s="508">
        <f>SUM(V41:V82)</f>
        <v>20</v>
      </c>
    </row>
    <row r="84" spans="1:22" ht="13.5" thickBot="1" x14ac:dyDescent="0.25">
      <c r="A84" s="528">
        <v>228</v>
      </c>
      <c r="B84" s="529">
        <v>110</v>
      </c>
      <c r="C84" s="530">
        <f>IF('Pos. 3'!$T$114='Sprachen &amp; Rückgabewerte(3)'!$J$146,186,200)</f>
        <v>200</v>
      </c>
      <c r="D84" s="273" t="s">
        <v>162</v>
      </c>
      <c r="E84" s="309" t="s">
        <v>246</v>
      </c>
      <c r="F84" s="309" t="s">
        <v>267</v>
      </c>
      <c r="G84" s="310" t="s">
        <v>279</v>
      </c>
      <c r="H84" s="448" t="str">
        <f t="shared" si="10"/>
        <v>Rahmenzusammenbau:</v>
      </c>
      <c r="I84" s="454"/>
    </row>
    <row r="85" spans="1:22" x14ac:dyDescent="0.2">
      <c r="D85" s="273" t="s">
        <v>163</v>
      </c>
      <c r="E85" s="309" t="s">
        <v>247</v>
      </c>
      <c r="F85" s="309" t="s">
        <v>268</v>
      </c>
      <c r="G85" s="310" t="s">
        <v>280</v>
      </c>
      <c r="H85" s="448" t="str">
        <f t="shared" si="10"/>
        <v>Gehrungsstoss (A)</v>
      </c>
      <c r="I85" s="454"/>
      <c r="J85" s="272" t="str">
        <f>H85</f>
        <v>Gehrungsstoss (A)</v>
      </c>
      <c r="L85" s="548" t="s">
        <v>632</v>
      </c>
      <c r="M85" s="549"/>
    </row>
    <row r="86" spans="1:22" ht="13.5" thickBot="1" x14ac:dyDescent="0.25">
      <c r="D86" s="273" t="s">
        <v>301</v>
      </c>
      <c r="E86" s="309" t="s">
        <v>248</v>
      </c>
      <c r="F86" s="309" t="s">
        <v>269</v>
      </c>
      <c r="G86" s="310" t="s">
        <v>467</v>
      </c>
      <c r="H86" s="448" t="str">
        <f t="shared" si="10"/>
        <v>Montagestoss (B)</v>
      </c>
      <c r="I86" s="454"/>
      <c r="J86" s="272" t="str">
        <f>H86</f>
        <v>Montagestoss (B)</v>
      </c>
      <c r="L86" s="531"/>
      <c r="M86" s="325"/>
    </row>
    <row r="87" spans="1:22" x14ac:dyDescent="0.2">
      <c r="B87" s="546" t="s">
        <v>608</v>
      </c>
      <c r="C87" s="547"/>
      <c r="D87" s="273" t="s">
        <v>164</v>
      </c>
      <c r="E87" s="309" t="s">
        <v>249</v>
      </c>
      <c r="F87" s="309" t="s">
        <v>309</v>
      </c>
      <c r="G87" s="310" t="s">
        <v>281</v>
      </c>
      <c r="H87" s="448" t="str">
        <f t="shared" si="10"/>
        <v>Logistik:</v>
      </c>
      <c r="I87" s="454"/>
      <c r="L87" s="532">
        <v>1</v>
      </c>
      <c r="M87" s="310" t="str">
        <f>CONCATENATE($H$154," ",L87)</f>
        <v>Kalenderwoche 1</v>
      </c>
    </row>
    <row r="88" spans="1:22" x14ac:dyDescent="0.2">
      <c r="B88" s="317" t="s">
        <v>609</v>
      </c>
      <c r="C88" s="363">
        <f>IF(AND(I50=TRUE,'Pos. 3'!T104&lt;&gt;""),0,1)</f>
        <v>1</v>
      </c>
      <c r="D88" s="273" t="s">
        <v>302</v>
      </c>
      <c r="E88" s="309" t="s">
        <v>693</v>
      </c>
      <c r="F88" s="309" t="s">
        <v>303</v>
      </c>
      <c r="G88" s="310" t="s">
        <v>482</v>
      </c>
      <c r="H88" s="448" t="str">
        <f t="shared" si="10"/>
        <v>ohne Glas-Sortierung</v>
      </c>
      <c r="I88" s="454"/>
      <c r="J88" s="272" t="str">
        <f>H88</f>
        <v>ohne Glas-Sortierung</v>
      </c>
      <c r="L88" s="532">
        <v>2</v>
      </c>
      <c r="M88" s="310" t="str">
        <f t="shared" ref="M88:M138" si="11">CONCATENATE($H$154," ",L88)</f>
        <v>Kalenderwoche 2</v>
      </c>
    </row>
    <row r="89" spans="1:22" x14ac:dyDescent="0.2">
      <c r="B89" s="273" t="s">
        <v>610</v>
      </c>
      <c r="C89" s="467">
        <f>IF(AND(I50=TRUE,'Pos. 3'!T106&lt;&gt;""),0,1)</f>
        <v>1</v>
      </c>
      <c r="D89" s="273" t="s">
        <v>165</v>
      </c>
      <c r="E89" s="309" t="s">
        <v>304</v>
      </c>
      <c r="F89" s="309" t="s">
        <v>305</v>
      </c>
      <c r="G89" s="310" t="s">
        <v>483</v>
      </c>
      <c r="H89" s="448" t="str">
        <f>IF($B$3=$A$3,D89,IF($B$3=$A$4,E89,IF($B$3=$A$5,F89,IF($B$3=$A$6,$G$89,""))))</f>
        <v>nach Stockwerk:</v>
      </c>
      <c r="I89" s="454"/>
      <c r="J89" s="272" t="str">
        <f>H89</f>
        <v>nach Stockwerk:</v>
      </c>
      <c r="L89" s="532">
        <v>3</v>
      </c>
      <c r="M89" s="310" t="str">
        <f t="shared" si="11"/>
        <v>Kalenderwoche 3</v>
      </c>
    </row>
    <row r="90" spans="1:22" x14ac:dyDescent="0.2">
      <c r="B90" s="273" t="s">
        <v>611</v>
      </c>
      <c r="C90" s="467">
        <f>IF(AND(I50=TRUE,'Pos. 3'!T108&lt;&gt;""),0,1)</f>
        <v>1</v>
      </c>
      <c r="D90" s="273" t="s">
        <v>251</v>
      </c>
      <c r="E90" s="309" t="s">
        <v>250</v>
      </c>
      <c r="F90" s="309" t="s">
        <v>270</v>
      </c>
      <c r="G90" s="310" t="s">
        <v>337</v>
      </c>
      <c r="H90" s="448" t="str">
        <f>IF($B$3=$A$3,D90,IF($B$3=$A$4,E90,IF($B$3=$A$5,F90,IF($B$3=$A$6,G90,""))))</f>
        <v>Wunschtermin:</v>
      </c>
      <c r="I90" s="454"/>
      <c r="L90" s="532">
        <v>4</v>
      </c>
      <c r="M90" s="310" t="str">
        <f t="shared" si="11"/>
        <v>Kalenderwoche 4</v>
      </c>
    </row>
    <row r="91" spans="1:22" x14ac:dyDescent="0.2">
      <c r="B91" s="273" t="s">
        <v>612</v>
      </c>
      <c r="C91" s="467">
        <f>IF(AND(I50=TRUE,'Pos. 3'!T110&lt;&gt;""),0,1)</f>
        <v>1</v>
      </c>
      <c r="D91" s="273" t="s">
        <v>354</v>
      </c>
      <c r="E91" s="309" t="s">
        <v>252</v>
      </c>
      <c r="F91" s="309" t="s">
        <v>355</v>
      </c>
      <c r="G91" s="310" t="s">
        <v>356</v>
      </c>
      <c r="H91" s="448" t="str">
        <f t="shared" ref="H91:H111" si="12">IF($B$3=$A$3,D91,IF($B$3=$A$4,E91,IF($B$3=$A$5,F91,IF($B$3=$A$6,G91,""))))</f>
        <v>Farbe Laufschiene + Schraubenarretierungen:</v>
      </c>
      <c r="I91" s="454"/>
      <c r="L91" s="532">
        <v>5</v>
      </c>
      <c r="M91" s="310" t="str">
        <f t="shared" si="11"/>
        <v>Kalenderwoche 5</v>
      </c>
    </row>
    <row r="92" spans="1:22" x14ac:dyDescent="0.2">
      <c r="B92" s="273" t="s">
        <v>613</v>
      </c>
      <c r="C92" s="467">
        <f>IF(AND(I50=TRUE,'Pos. 3'!T112&lt;&gt;""),0,1)</f>
        <v>1</v>
      </c>
      <c r="D92" s="273" t="s">
        <v>399</v>
      </c>
      <c r="E92" s="309" t="s">
        <v>400</v>
      </c>
      <c r="F92" s="309" t="s">
        <v>401</v>
      </c>
      <c r="G92" s="310" t="s">
        <v>402</v>
      </c>
      <c r="H92" s="448" t="str">
        <f t="shared" si="12"/>
        <v>Silber</v>
      </c>
      <c r="I92" s="454"/>
      <c r="J92" s="272" t="str">
        <f>H92</f>
        <v>Silber</v>
      </c>
      <c r="L92" s="532">
        <v>6</v>
      </c>
      <c r="M92" s="310" t="str">
        <f t="shared" si="11"/>
        <v>Kalenderwoche 6</v>
      </c>
    </row>
    <row r="93" spans="1:22" x14ac:dyDescent="0.2">
      <c r="B93" s="273" t="s">
        <v>614</v>
      </c>
      <c r="C93" s="467">
        <f>IF(AND(I50=TRUE,'Pos. 3'!T114&lt;&gt;""),0,1)</f>
        <v>1</v>
      </c>
      <c r="D93" s="273" t="s">
        <v>166</v>
      </c>
      <c r="E93" s="309" t="s">
        <v>253</v>
      </c>
      <c r="F93" s="309" t="s">
        <v>271</v>
      </c>
      <c r="G93" s="310" t="s">
        <v>282</v>
      </c>
      <c r="H93" s="448" t="str">
        <f t="shared" si="12"/>
        <v>Schwarz</v>
      </c>
      <c r="I93" s="454"/>
      <c r="J93" s="272" t="str">
        <f>H93</f>
        <v>Schwarz</v>
      </c>
      <c r="L93" s="532">
        <v>7</v>
      </c>
      <c r="M93" s="310" t="str">
        <f t="shared" si="11"/>
        <v>Kalenderwoche 7</v>
      </c>
      <c r="N93" s="533"/>
    </row>
    <row r="94" spans="1:22" x14ac:dyDescent="0.2">
      <c r="B94" s="273"/>
      <c r="C94" s="310"/>
      <c r="D94" s="273" t="s">
        <v>348</v>
      </c>
      <c r="E94" s="309" t="s">
        <v>552</v>
      </c>
      <c r="F94" s="309" t="s">
        <v>346</v>
      </c>
      <c r="G94" s="310" t="s">
        <v>349</v>
      </c>
      <c r="H94" s="448" t="str">
        <f t="shared" si="12"/>
        <v>Druckausgleichsventile :</v>
      </c>
      <c r="I94" s="454"/>
      <c r="L94" s="532">
        <v>8</v>
      </c>
      <c r="M94" s="310" t="str">
        <f t="shared" si="11"/>
        <v>Kalenderwoche 8</v>
      </c>
    </row>
    <row r="95" spans="1:22" ht="13.5" thickBot="1" x14ac:dyDescent="0.25">
      <c r="B95" s="218" t="s">
        <v>615</v>
      </c>
      <c r="C95" s="219">
        <f>SUM(C88:C93)</f>
        <v>6</v>
      </c>
      <c r="D95" s="273" t="s">
        <v>167</v>
      </c>
      <c r="E95" s="309" t="s">
        <v>172</v>
      </c>
      <c r="F95" s="309" t="s">
        <v>292</v>
      </c>
      <c r="G95" s="310" t="s">
        <v>283</v>
      </c>
      <c r="H95" s="448" t="str">
        <f t="shared" si="12"/>
        <v>Ja</v>
      </c>
      <c r="I95" s="454"/>
      <c r="J95" s="272" t="str">
        <f>H95</f>
        <v>Ja</v>
      </c>
      <c r="L95" s="532">
        <v>9</v>
      </c>
      <c r="M95" s="310" t="str">
        <f t="shared" si="11"/>
        <v>Kalenderwoche 9</v>
      </c>
    </row>
    <row r="96" spans="1:22" x14ac:dyDescent="0.2">
      <c r="D96" s="273" t="s">
        <v>168</v>
      </c>
      <c r="E96" s="309" t="s">
        <v>173</v>
      </c>
      <c r="F96" s="309" t="s">
        <v>822</v>
      </c>
      <c r="G96" s="310" t="s">
        <v>173</v>
      </c>
      <c r="H96" s="448" t="str">
        <f t="shared" si="12"/>
        <v>Nein</v>
      </c>
      <c r="I96" s="454"/>
      <c r="J96" s="272" t="str">
        <f>H96</f>
        <v>Nein</v>
      </c>
      <c r="L96" s="532">
        <v>10</v>
      </c>
      <c r="M96" s="310" t="str">
        <f t="shared" si="11"/>
        <v>Kalenderwoche 10</v>
      </c>
    </row>
    <row r="97" spans="4:14" x14ac:dyDescent="0.2">
      <c r="D97" s="273" t="s">
        <v>169</v>
      </c>
      <c r="E97" s="309" t="s">
        <v>174</v>
      </c>
      <c r="F97" s="309" t="s">
        <v>293</v>
      </c>
      <c r="G97" s="310" t="s">
        <v>284</v>
      </c>
      <c r="H97" s="448" t="str">
        <f t="shared" si="12"/>
        <v>Digitale Unterschrift:</v>
      </c>
      <c r="I97" s="454"/>
      <c r="L97" s="532">
        <v>11</v>
      </c>
      <c r="M97" s="310" t="str">
        <f t="shared" si="11"/>
        <v>Kalenderwoche 11</v>
      </c>
    </row>
    <row r="98" spans="4:14" x14ac:dyDescent="0.2">
      <c r="D98" s="273" t="s">
        <v>171</v>
      </c>
      <c r="E98" s="309" t="s">
        <v>254</v>
      </c>
      <c r="F98" s="309" t="s">
        <v>294</v>
      </c>
      <c r="G98" s="310" t="s">
        <v>338</v>
      </c>
      <c r="H98" s="448" t="str">
        <f t="shared" si="12"/>
        <v>Bestellung an:</v>
      </c>
      <c r="I98" s="454"/>
      <c r="L98" s="532">
        <v>12</v>
      </c>
      <c r="M98" s="310" t="str">
        <f t="shared" si="11"/>
        <v>Kalenderwoche 12</v>
      </c>
    </row>
    <row r="99" spans="4:14" x14ac:dyDescent="0.2">
      <c r="D99" s="273" t="s">
        <v>170</v>
      </c>
      <c r="E99" s="309" t="s">
        <v>170</v>
      </c>
      <c r="F99" s="309" t="s">
        <v>170</v>
      </c>
      <c r="G99" s="310" t="s">
        <v>170</v>
      </c>
      <c r="H99" s="448" t="str">
        <f t="shared" si="12"/>
        <v>orders@sky-frame.ch</v>
      </c>
      <c r="I99" s="454"/>
      <c r="L99" s="532">
        <v>13</v>
      </c>
      <c r="M99" s="310" t="str">
        <f t="shared" si="11"/>
        <v>Kalenderwoche 13</v>
      </c>
    </row>
    <row r="100" spans="4:14" x14ac:dyDescent="0.2">
      <c r="D100" s="273"/>
      <c r="E100" s="309"/>
      <c r="F100" s="309"/>
      <c r="G100" s="310"/>
      <c r="H100" s="448">
        <f t="shared" si="12"/>
        <v>0</v>
      </c>
      <c r="I100" s="454"/>
      <c r="L100" s="532">
        <v>14</v>
      </c>
      <c r="M100" s="310" t="str">
        <f t="shared" si="11"/>
        <v>Kalenderwoche 14</v>
      </c>
    </row>
    <row r="101" spans="4:14" x14ac:dyDescent="0.2">
      <c r="D101" s="273"/>
      <c r="E101" s="309"/>
      <c r="F101" s="309"/>
      <c r="G101" s="310"/>
      <c r="H101" s="448">
        <f t="shared" si="12"/>
        <v>0</v>
      </c>
      <c r="I101" s="454"/>
      <c r="L101" s="532">
        <v>15</v>
      </c>
      <c r="M101" s="310" t="str">
        <f t="shared" si="11"/>
        <v>Kalenderwoche 15</v>
      </c>
    </row>
    <row r="102" spans="4:14" ht="51" x14ac:dyDescent="0.2">
      <c r="D102" s="336" t="s">
        <v>470</v>
      </c>
      <c r="E102" s="497" t="s">
        <v>255</v>
      </c>
      <c r="F102" s="497" t="s">
        <v>674</v>
      </c>
      <c r="G102" s="498" t="s">
        <v>395</v>
      </c>
      <c r="H102" s="534" t="str">
        <f t="shared" si="12"/>
        <v>Diese Bestellung ist verbindlich und muss komplett ausgefüllt werden. Änderungen werden als Mehraufwand verrechnet.</v>
      </c>
      <c r="I102" s="454"/>
      <c r="L102" s="532">
        <v>16</v>
      </c>
      <c r="M102" s="310" t="str">
        <f t="shared" si="11"/>
        <v>Kalenderwoche 16</v>
      </c>
    </row>
    <row r="103" spans="4:14" ht="12.75" customHeight="1" x14ac:dyDescent="0.2">
      <c r="D103" s="336"/>
      <c r="E103" s="309"/>
      <c r="F103" s="309"/>
      <c r="G103" s="310"/>
      <c r="H103" s="448"/>
      <c r="I103" s="454"/>
      <c r="L103" s="532">
        <v>17</v>
      </c>
      <c r="M103" s="310" t="str">
        <f t="shared" si="11"/>
        <v>Kalenderwoche 17</v>
      </c>
      <c r="N103" s="533"/>
    </row>
    <row r="104" spans="4:14" ht="12.75" customHeight="1" x14ac:dyDescent="0.2">
      <c r="D104" s="273" t="s">
        <v>209</v>
      </c>
      <c r="E104" s="309" t="s">
        <v>681</v>
      </c>
      <c r="F104" s="309" t="s">
        <v>295</v>
      </c>
      <c r="G104" s="310" t="s">
        <v>339</v>
      </c>
      <c r="H104" s="448" t="str">
        <f t="shared" si="12"/>
        <v>A-Ecke 90°</v>
      </c>
      <c r="I104" s="454"/>
      <c r="L104" s="532">
        <v>18</v>
      </c>
      <c r="M104" s="310" t="str">
        <f t="shared" si="11"/>
        <v>Kalenderwoche 18</v>
      </c>
    </row>
    <row r="105" spans="4:14" ht="12.75" customHeight="1" x14ac:dyDescent="0.2">
      <c r="D105" s="273" t="s">
        <v>210</v>
      </c>
      <c r="E105" s="309" t="s">
        <v>680</v>
      </c>
      <c r="F105" s="309" t="s">
        <v>423</v>
      </c>
      <c r="G105" s="310" t="s">
        <v>340</v>
      </c>
      <c r="H105" s="448" t="str">
        <f t="shared" si="12"/>
        <v>I-Ecke 90°</v>
      </c>
      <c r="I105" s="454"/>
      <c r="L105" s="532">
        <v>19</v>
      </c>
      <c r="M105" s="310" t="str">
        <f t="shared" si="11"/>
        <v>Kalenderwoche 19</v>
      </c>
    </row>
    <row r="106" spans="4:14" ht="12.75" customHeight="1" x14ac:dyDescent="0.2">
      <c r="D106" s="273" t="s">
        <v>212</v>
      </c>
      <c r="E106" s="309" t="s">
        <v>679</v>
      </c>
      <c r="F106" s="309" t="s">
        <v>296</v>
      </c>
      <c r="G106" s="310" t="s">
        <v>341</v>
      </c>
      <c r="H106" s="448" t="str">
        <f t="shared" si="12"/>
        <v>A-Ecke≠90°</v>
      </c>
      <c r="I106" s="454"/>
      <c r="L106" s="532">
        <v>20</v>
      </c>
      <c r="M106" s="310" t="str">
        <f t="shared" si="11"/>
        <v>Kalenderwoche 20</v>
      </c>
    </row>
    <row r="107" spans="4:14" ht="12.75" customHeight="1" x14ac:dyDescent="0.2">
      <c r="D107" s="273" t="s">
        <v>213</v>
      </c>
      <c r="E107" s="309" t="s">
        <v>678</v>
      </c>
      <c r="F107" s="309" t="s">
        <v>424</v>
      </c>
      <c r="G107" s="310" t="s">
        <v>342</v>
      </c>
      <c r="H107" s="448" t="str">
        <f t="shared" si="12"/>
        <v>I-Ecke≠90°</v>
      </c>
      <c r="I107" s="454"/>
      <c r="L107" s="532">
        <v>21</v>
      </c>
      <c r="M107" s="310" t="str">
        <f t="shared" si="11"/>
        <v>Kalenderwoche 21</v>
      </c>
    </row>
    <row r="108" spans="4:14" ht="12.75" customHeight="1" x14ac:dyDescent="0.2">
      <c r="D108" s="273" t="s">
        <v>410</v>
      </c>
      <c r="E108" s="309" t="s">
        <v>411</v>
      </c>
      <c r="F108" s="309" t="s">
        <v>412</v>
      </c>
      <c r="G108" s="310" t="s">
        <v>413</v>
      </c>
      <c r="H108" s="448" t="str">
        <f t="shared" si="12"/>
        <v>Wert:</v>
      </c>
      <c r="I108" s="454"/>
      <c r="L108" s="532">
        <v>22</v>
      </c>
      <c r="M108" s="310" t="str">
        <f t="shared" si="11"/>
        <v>Kalenderwoche 22</v>
      </c>
    </row>
    <row r="109" spans="4:14" ht="12.75" customHeight="1" x14ac:dyDescent="0.2">
      <c r="D109" s="273" t="s">
        <v>257</v>
      </c>
      <c r="E109" s="309" t="s">
        <v>256</v>
      </c>
      <c r="F109" s="309" t="s">
        <v>297</v>
      </c>
      <c r="G109" s="309" t="s">
        <v>343</v>
      </c>
      <c r="H109" s="448" t="str">
        <f t="shared" si="12"/>
        <v>Bitte auswählen:</v>
      </c>
      <c r="I109" s="454"/>
      <c r="L109" s="532">
        <v>23</v>
      </c>
      <c r="M109" s="310" t="str">
        <f t="shared" si="11"/>
        <v>Kalenderwoche 23</v>
      </c>
    </row>
    <row r="110" spans="4:14" ht="12.75" customHeight="1" x14ac:dyDescent="0.2">
      <c r="D110" s="273" t="s">
        <v>317</v>
      </c>
      <c r="E110" s="309" t="s">
        <v>317</v>
      </c>
      <c r="F110" s="309" t="s">
        <v>317</v>
      </c>
      <c r="G110" s="309" t="s">
        <v>317</v>
      </c>
      <c r="H110" s="448" t="str">
        <f t="shared" si="12"/>
        <v>KABA (22)</v>
      </c>
      <c r="I110" s="454" t="b">
        <v>0</v>
      </c>
      <c r="L110" s="532">
        <v>24</v>
      </c>
      <c r="M110" s="310" t="str">
        <f t="shared" si="11"/>
        <v>Kalenderwoche 24</v>
      </c>
    </row>
    <row r="111" spans="4:14" ht="12.75" customHeight="1" x14ac:dyDescent="0.2">
      <c r="D111" s="273" t="s">
        <v>318</v>
      </c>
      <c r="E111" s="309" t="s">
        <v>318</v>
      </c>
      <c r="F111" s="309" t="s">
        <v>318</v>
      </c>
      <c r="G111" s="310" t="s">
        <v>318</v>
      </c>
      <c r="H111" s="448" t="str">
        <f t="shared" si="12"/>
        <v>PZ / Euro (17)</v>
      </c>
      <c r="I111" s="454" t="b">
        <v>0</v>
      </c>
      <c r="L111" s="532">
        <v>25</v>
      </c>
      <c r="M111" s="310" t="str">
        <f t="shared" si="11"/>
        <v>Kalenderwoche 25</v>
      </c>
    </row>
    <row r="112" spans="4:14" x14ac:dyDescent="0.2">
      <c r="D112" s="273" t="s">
        <v>357</v>
      </c>
      <c r="E112" s="309" t="s">
        <v>358</v>
      </c>
      <c r="F112" s="309" t="s">
        <v>359</v>
      </c>
      <c r="G112" s="310" t="s">
        <v>360</v>
      </c>
      <c r="H112" s="448" t="str">
        <f>IF($B$3=$A$3,D112,IF($B$3=$A$4,E112,IF($B$3=$A$5,F112,IF($B$3=$A$6,G112,""))))</f>
        <v>mit CFK</v>
      </c>
      <c r="I112" s="454"/>
      <c r="L112" s="532">
        <v>26</v>
      </c>
      <c r="M112" s="310" t="str">
        <f t="shared" si="11"/>
        <v>Kalenderwoche 26</v>
      </c>
    </row>
    <row r="113" spans="4:14" x14ac:dyDescent="0.2">
      <c r="D113" s="273" t="s">
        <v>361</v>
      </c>
      <c r="E113" s="309" t="s">
        <v>362</v>
      </c>
      <c r="F113" s="309" t="s">
        <v>363</v>
      </c>
      <c r="G113" s="310" t="s">
        <v>364</v>
      </c>
      <c r="H113" s="448" t="str">
        <f>IF($B$3=$A$3,D113,IF($B$3=$A$4,E113,IF($B$3=$A$5,F113,IF($B$3=$A$6,G113,""))))</f>
        <v>ohne CFK</v>
      </c>
      <c r="I113" s="454"/>
      <c r="L113" s="532">
        <v>27</v>
      </c>
      <c r="M113" s="310" t="str">
        <f t="shared" si="11"/>
        <v>Kalenderwoche 27</v>
      </c>
      <c r="N113" s="533"/>
    </row>
    <row r="114" spans="4:14" x14ac:dyDescent="0.2">
      <c r="D114" s="273" t="s">
        <v>365</v>
      </c>
      <c r="E114" s="309" t="s">
        <v>367</v>
      </c>
      <c r="F114" s="309" t="s">
        <v>369</v>
      </c>
      <c r="G114" s="310" t="s">
        <v>403</v>
      </c>
      <c r="H114" s="448" t="str">
        <f>IF($B$3=$A$3,D114,IF($B$3=$A$4,E114,IF($B$3=$A$5,F114,IF($B$3=$A$6,G114,""))))</f>
        <v>mit Stahl</v>
      </c>
      <c r="I114" s="454"/>
      <c r="L114" s="532">
        <v>28</v>
      </c>
      <c r="M114" s="310" t="str">
        <f t="shared" si="11"/>
        <v>Kalenderwoche 28</v>
      </c>
    </row>
    <row r="115" spans="4:14" x14ac:dyDescent="0.2">
      <c r="D115" s="273" t="s">
        <v>366</v>
      </c>
      <c r="E115" s="309" t="s">
        <v>368</v>
      </c>
      <c r="F115" s="309" t="s">
        <v>370</v>
      </c>
      <c r="G115" s="310" t="s">
        <v>404</v>
      </c>
      <c r="H115" s="448" t="str">
        <f>IF($B$3=$A$3,D115,IF($B$3=$A$4,E115,IF($B$3=$A$5,F115,IF($B$3=$A$6,G115,""))))</f>
        <v>ohne Stahl</v>
      </c>
      <c r="I115" s="454"/>
      <c r="L115" s="532">
        <v>29</v>
      </c>
      <c r="M115" s="310" t="str">
        <f t="shared" si="11"/>
        <v>Kalenderwoche 29</v>
      </c>
    </row>
    <row r="116" spans="4:14" x14ac:dyDescent="0.2">
      <c r="D116" s="273" t="s">
        <v>371</v>
      </c>
      <c r="E116" s="309" t="s">
        <v>374</v>
      </c>
      <c r="F116" s="309" t="s">
        <v>376</v>
      </c>
      <c r="G116" s="310" t="s">
        <v>379</v>
      </c>
      <c r="H116" s="448" t="str">
        <f>IF($B$3=$A$3,D116,IF($B$3=$A$4,E116,IF($B$3=$A$5,F116,IF($B$3=$A$6,G116,""))))</f>
        <v>Ganzglas-Ecke</v>
      </c>
      <c r="I116" s="454"/>
      <c r="L116" s="532">
        <v>30</v>
      </c>
      <c r="M116" s="310" t="str">
        <f t="shared" si="11"/>
        <v>Kalenderwoche 30</v>
      </c>
    </row>
    <row r="117" spans="4:14" x14ac:dyDescent="0.2">
      <c r="D117" s="273" t="s">
        <v>372</v>
      </c>
      <c r="E117" s="309" t="s">
        <v>677</v>
      </c>
      <c r="F117" s="309" t="s">
        <v>377</v>
      </c>
      <c r="G117" s="310" t="s">
        <v>380</v>
      </c>
      <c r="H117" s="448" t="str">
        <f t="shared" ref="H117:H180" si="13">IF($B$3=$A$3,D117,IF($B$3=$A$4,E117,IF($B$3=$A$5,F117,IF($B$3=$A$6,G117,""))))</f>
        <v>Ecke RC2 (WK2)</v>
      </c>
      <c r="I117" s="454"/>
      <c r="L117" s="532">
        <v>31</v>
      </c>
      <c r="M117" s="310" t="str">
        <f t="shared" si="11"/>
        <v>Kalenderwoche 31</v>
      </c>
    </row>
    <row r="118" spans="4:14" x14ac:dyDescent="0.2">
      <c r="D118" s="273" t="s">
        <v>373</v>
      </c>
      <c r="E118" s="309" t="s">
        <v>375</v>
      </c>
      <c r="F118" s="309" t="s">
        <v>378</v>
      </c>
      <c r="G118" s="310" t="s">
        <v>381</v>
      </c>
      <c r="H118" s="448" t="str">
        <f t="shared" si="13"/>
        <v>Standard (RC2 in Anlehnung)</v>
      </c>
      <c r="I118" s="454"/>
      <c r="L118" s="532">
        <v>32</v>
      </c>
      <c r="M118" s="310" t="str">
        <f t="shared" si="11"/>
        <v>Kalenderwoche 32</v>
      </c>
    </row>
    <row r="119" spans="4:14" x14ac:dyDescent="0.2">
      <c r="D119" s="273" t="s">
        <v>994</v>
      </c>
      <c r="E119" s="309" t="s">
        <v>995</v>
      </c>
      <c r="F119" s="309" t="s">
        <v>996</v>
      </c>
      <c r="G119" s="310" t="s">
        <v>997</v>
      </c>
      <c r="H119" s="448" t="str">
        <f t="shared" si="13"/>
        <v>RC2 mit Blech</v>
      </c>
      <c r="I119" s="454"/>
      <c r="L119" s="532">
        <v>33</v>
      </c>
      <c r="M119" s="310" t="str">
        <f t="shared" si="11"/>
        <v>Kalenderwoche 33</v>
      </c>
    </row>
    <row r="120" spans="4:14" x14ac:dyDescent="0.2">
      <c r="D120" s="273" t="s">
        <v>382</v>
      </c>
      <c r="E120" s="309" t="s">
        <v>387</v>
      </c>
      <c r="F120" s="309" t="s">
        <v>388</v>
      </c>
      <c r="G120" s="310" t="s">
        <v>391</v>
      </c>
      <c r="H120" s="448" t="str">
        <f t="shared" si="13"/>
        <v>mit AL.</v>
      </c>
      <c r="I120" s="454"/>
      <c r="L120" s="532">
        <v>34</v>
      </c>
      <c r="M120" s="310" t="str">
        <f t="shared" si="11"/>
        <v>Kalenderwoche 34</v>
      </c>
    </row>
    <row r="121" spans="4:14" x14ac:dyDescent="0.2">
      <c r="D121" s="273" t="s">
        <v>383</v>
      </c>
      <c r="E121" s="309" t="s">
        <v>386</v>
      </c>
      <c r="F121" s="309" t="s">
        <v>389</v>
      </c>
      <c r="G121" s="310" t="s">
        <v>392</v>
      </c>
      <c r="H121" s="448" t="str">
        <f t="shared" si="13"/>
        <v>ohne AL.</v>
      </c>
      <c r="I121" s="454"/>
      <c r="L121" s="532">
        <v>35</v>
      </c>
      <c r="M121" s="310" t="str">
        <f t="shared" si="11"/>
        <v>Kalenderwoche 35</v>
      </c>
    </row>
    <row r="122" spans="4:14" x14ac:dyDescent="0.2">
      <c r="D122" s="273" t="s">
        <v>384</v>
      </c>
      <c r="E122" s="309" t="s">
        <v>385</v>
      </c>
      <c r="F122" s="309" t="s">
        <v>390</v>
      </c>
      <c r="G122" s="310" t="s">
        <v>393</v>
      </c>
      <c r="H122" s="448" t="str">
        <f t="shared" si="13"/>
        <v>mit AL. (&gt;2.5m)</v>
      </c>
      <c r="I122" s="454"/>
      <c r="L122" s="532">
        <v>36</v>
      </c>
      <c r="M122" s="310" t="str">
        <f t="shared" si="11"/>
        <v>Kalenderwoche 36</v>
      </c>
    </row>
    <row r="123" spans="4:14" x14ac:dyDescent="0.2">
      <c r="D123" s="273" t="s">
        <v>651</v>
      </c>
      <c r="E123" s="309" t="s">
        <v>652</v>
      </c>
      <c r="F123" s="309" t="s">
        <v>653</v>
      </c>
      <c r="G123" s="310" t="s">
        <v>669</v>
      </c>
      <c r="H123" s="448" t="str">
        <f t="shared" si="13"/>
        <v>ohne AL. (&lt;2.5m)</v>
      </c>
      <c r="I123" s="454"/>
      <c r="L123" s="532">
        <v>37</v>
      </c>
      <c r="M123" s="310" t="str">
        <f t="shared" si="11"/>
        <v>Kalenderwoche 37</v>
      </c>
    </row>
    <row r="124" spans="4:14" x14ac:dyDescent="0.2">
      <c r="D124" s="273" t="s">
        <v>396</v>
      </c>
      <c r="E124" s="309" t="s">
        <v>676</v>
      </c>
      <c r="F124" s="309" t="s">
        <v>397</v>
      </c>
      <c r="G124" s="310" t="s">
        <v>398</v>
      </c>
      <c r="H124" s="448" t="str">
        <f t="shared" si="13"/>
        <v>Ecke:</v>
      </c>
      <c r="I124" s="454"/>
      <c r="L124" s="532">
        <v>38</v>
      </c>
      <c r="M124" s="310" t="str">
        <f t="shared" si="11"/>
        <v>Kalenderwoche 38</v>
      </c>
    </row>
    <row r="125" spans="4:14" x14ac:dyDescent="0.2">
      <c r="D125" s="273" t="s">
        <v>418</v>
      </c>
      <c r="E125" s="309" t="s">
        <v>418</v>
      </c>
      <c r="F125" s="309" t="s">
        <v>418</v>
      </c>
      <c r="G125" s="310" t="s">
        <v>418</v>
      </c>
      <c r="H125" s="448" t="str">
        <f t="shared" si="13"/>
        <v>NFRC (USA)</v>
      </c>
      <c r="I125" s="454" t="b">
        <v>0</v>
      </c>
      <c r="L125" s="532">
        <v>39</v>
      </c>
      <c r="M125" s="310" t="str">
        <f t="shared" si="11"/>
        <v>Kalenderwoche 39</v>
      </c>
    </row>
    <row r="126" spans="4:14" x14ac:dyDescent="0.2">
      <c r="D126" s="273" t="s">
        <v>429</v>
      </c>
      <c r="E126" s="309" t="s">
        <v>461</v>
      </c>
      <c r="F126" s="309" t="s">
        <v>464</v>
      </c>
      <c r="G126" s="310" t="s">
        <v>450</v>
      </c>
      <c r="H126" s="448" t="str">
        <f t="shared" si="13"/>
        <v>Bestellung vollständig ausfüllen.</v>
      </c>
      <c r="I126" s="454"/>
      <c r="L126" s="532">
        <v>40</v>
      </c>
      <c r="M126" s="310" t="str">
        <f t="shared" si="11"/>
        <v>Kalenderwoche 40</v>
      </c>
    </row>
    <row r="127" spans="4:14" x14ac:dyDescent="0.2">
      <c r="D127" s="273" t="s">
        <v>444</v>
      </c>
      <c r="E127" s="309" t="s">
        <v>462</v>
      </c>
      <c r="F127" s="309" t="s">
        <v>466</v>
      </c>
      <c r="G127" s="310" t="s">
        <v>451</v>
      </c>
      <c r="H127" s="448" t="str">
        <f t="shared" si="13"/>
        <v>Überprüfen ob keine roten Rahmen aufleuchten.</v>
      </c>
      <c r="I127" s="454"/>
      <c r="L127" s="532">
        <v>41</v>
      </c>
      <c r="M127" s="310" t="str">
        <f t="shared" si="11"/>
        <v>Kalenderwoche 41</v>
      </c>
    </row>
    <row r="128" spans="4:14" x14ac:dyDescent="0.2">
      <c r="D128" s="273" t="s">
        <v>445</v>
      </c>
      <c r="E128" s="309" t="s">
        <v>463</v>
      </c>
      <c r="F128" s="309" t="s">
        <v>465</v>
      </c>
      <c r="G128" s="310" t="s">
        <v>452</v>
      </c>
      <c r="H128" s="448" t="str">
        <f t="shared" si="13"/>
        <v>Bestellung senden an:</v>
      </c>
      <c r="I128" s="454"/>
      <c r="L128" s="532">
        <v>42</v>
      </c>
      <c r="M128" s="310" t="str">
        <f t="shared" si="11"/>
        <v>Kalenderwoche 42</v>
      </c>
    </row>
    <row r="129" spans="4:13" x14ac:dyDescent="0.2">
      <c r="D129" s="273" t="s">
        <v>443</v>
      </c>
      <c r="E129" s="309" t="s">
        <v>460</v>
      </c>
      <c r="F129" s="309" t="s">
        <v>460</v>
      </c>
      <c r="G129" s="310" t="s">
        <v>449</v>
      </c>
      <c r="H129" s="448" t="str">
        <f t="shared" si="13"/>
        <v>Anleitung:</v>
      </c>
      <c r="I129" s="454"/>
      <c r="L129" s="532">
        <v>43</v>
      </c>
      <c r="M129" s="310" t="str">
        <f t="shared" si="11"/>
        <v>Kalenderwoche 43</v>
      </c>
    </row>
    <row r="130" spans="4:13" x14ac:dyDescent="0.2">
      <c r="D130" s="273" t="s">
        <v>472</v>
      </c>
      <c r="E130" s="309" t="s">
        <v>471</v>
      </c>
      <c r="F130" s="309" t="s">
        <v>477</v>
      </c>
      <c r="G130" s="310" t="s">
        <v>621</v>
      </c>
      <c r="H130" s="448" t="str">
        <f t="shared" si="13"/>
        <v>Vertriebspartner:</v>
      </c>
      <c r="I130" s="454"/>
      <c r="L130" s="532">
        <v>44</v>
      </c>
      <c r="M130" s="310" t="str">
        <f t="shared" si="11"/>
        <v>Kalenderwoche 44</v>
      </c>
    </row>
    <row r="131" spans="4:13" x14ac:dyDescent="0.2">
      <c r="D131" s="273" t="s">
        <v>469</v>
      </c>
      <c r="E131" s="309" t="s">
        <v>479</v>
      </c>
      <c r="F131" s="309" t="s">
        <v>478</v>
      </c>
      <c r="G131" s="310" t="s">
        <v>481</v>
      </c>
      <c r="H131" s="448" t="str">
        <f t="shared" si="13"/>
        <v>Bemerkungen:</v>
      </c>
      <c r="I131" s="454"/>
      <c r="L131" s="532">
        <v>45</v>
      </c>
      <c r="M131" s="310" t="str">
        <f t="shared" si="11"/>
        <v>Kalenderwoche 45</v>
      </c>
    </row>
    <row r="132" spans="4:13" x14ac:dyDescent="0.2">
      <c r="D132" s="273" t="s">
        <v>485</v>
      </c>
      <c r="E132" s="309" t="s">
        <v>489</v>
      </c>
      <c r="F132" s="309" t="s">
        <v>490</v>
      </c>
      <c r="G132" s="310" t="s">
        <v>491</v>
      </c>
      <c r="H132" s="448" t="str">
        <f>IF($B$3=$A$3,D132,IF($B$3=$A$4,E132,IF($B$3=$A$5,F132,IF($B$3=$A$6,G132,""))))</f>
        <v>Öffnung angeben →</v>
      </c>
      <c r="I132" s="454"/>
      <c r="L132" s="532">
        <v>46</v>
      </c>
      <c r="M132" s="310" t="str">
        <f t="shared" si="11"/>
        <v>Kalenderwoche 46</v>
      </c>
    </row>
    <row r="133" spans="4:13" x14ac:dyDescent="0.2">
      <c r="D133" s="273" t="s">
        <v>541</v>
      </c>
      <c r="E133" s="309" t="s">
        <v>542</v>
      </c>
      <c r="F133" s="309" t="s">
        <v>544</v>
      </c>
      <c r="G133" s="310" t="s">
        <v>543</v>
      </c>
      <c r="H133" s="448" t="str">
        <f t="shared" si="13"/>
        <v>5-gleisig</v>
      </c>
      <c r="I133" s="454" t="b">
        <f>IF(AND(I12=TRUE,'Pos. 3'!AT5=1),TRUE,FALSE)</f>
        <v>0</v>
      </c>
      <c r="L133" s="532">
        <v>47</v>
      </c>
      <c r="M133" s="310" t="str">
        <f t="shared" si="11"/>
        <v>Kalenderwoche 47</v>
      </c>
    </row>
    <row r="134" spans="4:13" x14ac:dyDescent="0.2">
      <c r="D134" s="535" t="s">
        <v>546</v>
      </c>
      <c r="E134" s="309" t="s">
        <v>546</v>
      </c>
      <c r="F134" s="309" t="s">
        <v>546</v>
      </c>
      <c r="G134" s="310" t="s">
        <v>546</v>
      </c>
      <c r="H134" s="448" t="str">
        <f t="shared" si="13"/>
        <v>Features</v>
      </c>
      <c r="I134" s="454"/>
      <c r="J134" s="272" t="str">
        <f>H159</f>
        <v>Keine</v>
      </c>
      <c r="L134" s="532">
        <v>48</v>
      </c>
      <c r="M134" s="310" t="str">
        <f t="shared" si="11"/>
        <v>Kalenderwoche 48</v>
      </c>
    </row>
    <row r="135" spans="4:13" x14ac:dyDescent="0.2">
      <c r="D135" s="273" t="s">
        <v>560</v>
      </c>
      <c r="E135" s="309" t="s">
        <v>562</v>
      </c>
      <c r="F135" s="309" t="s">
        <v>563</v>
      </c>
      <c r="G135" s="310" t="s">
        <v>564</v>
      </c>
      <c r="H135" s="448" t="str">
        <f t="shared" si="13"/>
        <v>Oben Links</v>
      </c>
      <c r="I135" s="454"/>
      <c r="J135" s="272" t="str">
        <f>H135</f>
        <v>Oben Links</v>
      </c>
      <c r="L135" s="532">
        <v>49</v>
      </c>
      <c r="M135" s="310" t="str">
        <f t="shared" si="11"/>
        <v>Kalenderwoche 49</v>
      </c>
    </row>
    <row r="136" spans="4:13" x14ac:dyDescent="0.2">
      <c r="D136" s="273" t="s">
        <v>561</v>
      </c>
      <c r="E136" s="309" t="s">
        <v>565</v>
      </c>
      <c r="F136" s="309" t="s">
        <v>566</v>
      </c>
      <c r="G136" s="310" t="s">
        <v>567</v>
      </c>
      <c r="H136" s="448" t="str">
        <f t="shared" si="13"/>
        <v>Oben Rechts</v>
      </c>
      <c r="I136" s="454"/>
      <c r="J136" s="272" t="str">
        <f>H136</f>
        <v>Oben Rechts</v>
      </c>
      <c r="L136" s="532">
        <v>50</v>
      </c>
      <c r="M136" s="310" t="str">
        <f t="shared" si="11"/>
        <v>Kalenderwoche 50</v>
      </c>
    </row>
    <row r="137" spans="4:13" x14ac:dyDescent="0.2">
      <c r="D137" s="273" t="s">
        <v>568</v>
      </c>
      <c r="E137" s="309" t="s">
        <v>569</v>
      </c>
      <c r="F137" s="309" t="s">
        <v>570</v>
      </c>
      <c r="G137" s="310" t="s">
        <v>571</v>
      </c>
      <c r="H137" s="448" t="str">
        <f t="shared" si="13"/>
        <v>Lage Glasspinne (Ansicht von Aussen)</v>
      </c>
      <c r="I137" s="454"/>
      <c r="L137" s="532">
        <v>51</v>
      </c>
      <c r="M137" s="310" t="str">
        <f t="shared" si="11"/>
        <v>Kalenderwoche 51</v>
      </c>
    </row>
    <row r="138" spans="4:13" ht="13.5" thickBot="1" x14ac:dyDescent="0.25">
      <c r="D138" s="273" t="s">
        <v>572</v>
      </c>
      <c r="E138" s="309" t="s">
        <v>654</v>
      </c>
      <c r="F138" s="309" t="s">
        <v>624</v>
      </c>
      <c r="G138" s="310" t="s">
        <v>633</v>
      </c>
      <c r="H138" s="448" t="str">
        <f t="shared" si="13"/>
        <v>Rinnenbestellung</v>
      </c>
      <c r="I138" s="454"/>
      <c r="L138" s="536">
        <v>52</v>
      </c>
      <c r="M138" s="380" t="str">
        <f t="shared" si="11"/>
        <v>Kalenderwoche 52</v>
      </c>
    </row>
    <row r="139" spans="4:13" x14ac:dyDescent="0.2">
      <c r="D139" s="273" t="s">
        <v>606</v>
      </c>
      <c r="E139" s="309" t="s">
        <v>655</v>
      </c>
      <c r="F139" s="309" t="s">
        <v>645</v>
      </c>
      <c r="G139" s="310" t="s">
        <v>634</v>
      </c>
      <c r="H139" s="448" t="str">
        <f t="shared" si="13"/>
        <v>Wahl des Rinnensystems:</v>
      </c>
      <c r="I139" s="454"/>
    </row>
    <row r="140" spans="4:13" x14ac:dyDescent="0.2">
      <c r="D140" s="273" t="s">
        <v>605</v>
      </c>
      <c r="E140" s="309" t="s">
        <v>656</v>
      </c>
      <c r="F140" s="309" t="s">
        <v>646</v>
      </c>
      <c r="G140" s="310" t="s">
        <v>842</v>
      </c>
      <c r="H140" s="448" t="str">
        <f t="shared" si="13"/>
        <v>Einzug an der linken Anlagenseite:</v>
      </c>
      <c r="I140" s="454"/>
    </row>
    <row r="141" spans="4:13" x14ac:dyDescent="0.2">
      <c r="D141" s="273" t="s">
        <v>604</v>
      </c>
      <c r="E141" s="309" t="s">
        <v>657</v>
      </c>
      <c r="F141" s="309" t="s">
        <v>647</v>
      </c>
      <c r="G141" s="310" t="s">
        <v>843</v>
      </c>
      <c r="H141" s="448" t="str">
        <f t="shared" si="13"/>
        <v>Einzug an der rechten Anlagenseite:</v>
      </c>
      <c r="I141" s="454"/>
    </row>
    <row r="142" spans="4:13" x14ac:dyDescent="0.2">
      <c r="D142" s="273" t="s">
        <v>603</v>
      </c>
      <c r="E142" s="309" t="s">
        <v>658</v>
      </c>
      <c r="F142" s="309" t="s">
        <v>648</v>
      </c>
      <c r="G142" s="310" t="s">
        <v>635</v>
      </c>
      <c r="H142" s="448" t="str">
        <f t="shared" si="13"/>
        <v>Anschlussstutzen:</v>
      </c>
      <c r="I142" s="454"/>
    </row>
    <row r="143" spans="4:13" x14ac:dyDescent="0.2">
      <c r="D143" s="273" t="s">
        <v>573</v>
      </c>
      <c r="E143" s="309" t="s">
        <v>659</v>
      </c>
      <c r="F143" s="309" t="s">
        <v>625</v>
      </c>
      <c r="G143" s="310" t="s">
        <v>636</v>
      </c>
      <c r="H143" s="448" t="str">
        <f t="shared" si="13"/>
        <v>lose mitliefern</v>
      </c>
      <c r="I143" s="454"/>
      <c r="J143" s="272" t="str">
        <f>H143</f>
        <v>lose mitliefern</v>
      </c>
    </row>
    <row r="144" spans="4:13" x14ac:dyDescent="0.2">
      <c r="D144" s="273" t="s">
        <v>574</v>
      </c>
      <c r="E144" s="309" t="s">
        <v>660</v>
      </c>
      <c r="F144" s="309" t="s">
        <v>626</v>
      </c>
      <c r="G144" s="310" t="s">
        <v>637</v>
      </c>
      <c r="H144" s="448" t="str">
        <f t="shared" si="13"/>
        <v>vordefiniert</v>
      </c>
      <c r="I144" s="454"/>
      <c r="J144" s="272" t="str">
        <f>H144</f>
        <v>vordefiniert</v>
      </c>
    </row>
    <row r="145" spans="4:10" x14ac:dyDescent="0.2">
      <c r="D145" s="273" t="s">
        <v>607</v>
      </c>
      <c r="E145" s="309" t="s">
        <v>661</v>
      </c>
      <c r="F145" s="309" t="s">
        <v>649</v>
      </c>
      <c r="G145" s="310" t="s">
        <v>638</v>
      </c>
      <c r="H145" s="448" t="str">
        <f t="shared" si="13"/>
        <v>Anzahl Anschlussstutzen:</v>
      </c>
      <c r="I145" s="454"/>
    </row>
    <row r="146" spans="4:10" x14ac:dyDescent="0.2">
      <c r="D146" s="273" t="s">
        <v>575</v>
      </c>
      <c r="E146" s="309" t="s">
        <v>627</v>
      </c>
      <c r="F146" s="309" t="s">
        <v>627</v>
      </c>
      <c r="G146" s="310" t="s">
        <v>639</v>
      </c>
      <c r="H146" s="448" t="str">
        <f t="shared" si="13"/>
        <v>Typ A</v>
      </c>
      <c r="I146" s="454"/>
      <c r="J146" s="272" t="str">
        <f>H146</f>
        <v>Typ A</v>
      </c>
    </row>
    <row r="147" spans="4:10" x14ac:dyDescent="0.2">
      <c r="D147" s="273" t="s">
        <v>576</v>
      </c>
      <c r="E147" s="309" t="s">
        <v>628</v>
      </c>
      <c r="F147" s="309" t="s">
        <v>628</v>
      </c>
      <c r="G147" s="310" t="s">
        <v>640</v>
      </c>
      <c r="H147" s="448" t="str">
        <f t="shared" si="13"/>
        <v>Typ B</v>
      </c>
      <c r="I147" s="454"/>
      <c r="J147" s="272" t="str">
        <f>H147</f>
        <v>Typ B</v>
      </c>
    </row>
    <row r="148" spans="4:10" x14ac:dyDescent="0.2">
      <c r="D148" s="273" t="s">
        <v>911</v>
      </c>
      <c r="E148" s="309" t="s">
        <v>912</v>
      </c>
      <c r="F148" s="309" t="s">
        <v>913</v>
      </c>
      <c r="G148" s="310" t="s">
        <v>914</v>
      </c>
      <c r="H148" s="448" t="str">
        <f t="shared" si="13"/>
        <v>Abstände Ablaufstutzen (E):</v>
      </c>
      <c r="I148" s="454"/>
    </row>
    <row r="149" spans="4:10" x14ac:dyDescent="0.2">
      <c r="D149" s="273" t="s">
        <v>577</v>
      </c>
      <c r="E149" s="309" t="s">
        <v>662</v>
      </c>
      <c r="F149" s="309" t="s">
        <v>675</v>
      </c>
      <c r="G149" s="310" t="s">
        <v>641</v>
      </c>
      <c r="H149" s="448" t="str">
        <f t="shared" si="13"/>
        <v>Rinnenanschluss:</v>
      </c>
      <c r="I149" s="454"/>
    </row>
    <row r="150" spans="4:10" x14ac:dyDescent="0.2">
      <c r="D150" s="273" t="s">
        <v>616</v>
      </c>
      <c r="E150" s="309" t="s">
        <v>663</v>
      </c>
      <c r="F150" s="309" t="s">
        <v>650</v>
      </c>
      <c r="G150" s="310" t="s">
        <v>642</v>
      </c>
      <c r="H150" s="448" t="str">
        <f t="shared" si="13"/>
        <v>Farbe Panele:</v>
      </c>
      <c r="I150" s="454"/>
    </row>
    <row r="151" spans="4:10" x14ac:dyDescent="0.2">
      <c r="D151" s="273" t="s">
        <v>16</v>
      </c>
      <c r="E151" s="309" t="s">
        <v>16</v>
      </c>
      <c r="F151" s="309" t="s">
        <v>16</v>
      </c>
      <c r="G151" s="310" t="s">
        <v>16</v>
      </c>
      <c r="H151" s="448" t="str">
        <f t="shared" si="13"/>
        <v>Standard</v>
      </c>
      <c r="I151" s="454"/>
      <c r="J151" s="272" t="str">
        <f>H151</f>
        <v>Standard</v>
      </c>
    </row>
    <row r="152" spans="4:10" x14ac:dyDescent="0.2">
      <c r="D152" s="273" t="s">
        <v>617</v>
      </c>
      <c r="E152" s="309" t="s">
        <v>664</v>
      </c>
      <c r="F152" s="309" t="s">
        <v>629</v>
      </c>
      <c r="G152" s="310" t="s">
        <v>643</v>
      </c>
      <c r="H152" s="448" t="str">
        <f t="shared" si="13"/>
        <v>Rahmenfarbe</v>
      </c>
      <c r="I152" s="454"/>
      <c r="J152" s="272" t="str">
        <f>H152</f>
        <v>Rahmenfarbe</v>
      </c>
    </row>
    <row r="153" spans="4:10" x14ac:dyDescent="0.2">
      <c r="D153" s="273" t="s">
        <v>618</v>
      </c>
      <c r="E153" s="309" t="s">
        <v>665</v>
      </c>
      <c r="F153" s="309" t="s">
        <v>630</v>
      </c>
      <c r="G153" s="310" t="s">
        <v>644</v>
      </c>
      <c r="H153" s="448" t="str">
        <f t="shared" si="13"/>
        <v>Glas Satinato</v>
      </c>
      <c r="I153" s="454"/>
      <c r="J153" s="272" t="str">
        <f>H153</f>
        <v>Glas Satinato</v>
      </c>
    </row>
    <row r="154" spans="4:10" x14ac:dyDescent="0.2">
      <c r="D154" s="273" t="s">
        <v>631</v>
      </c>
      <c r="E154" s="309" t="s">
        <v>666</v>
      </c>
      <c r="F154" s="309" t="s">
        <v>667</v>
      </c>
      <c r="G154" s="310" t="s">
        <v>668</v>
      </c>
      <c r="H154" s="448" t="str">
        <f t="shared" si="13"/>
        <v>Kalenderwoche</v>
      </c>
      <c r="I154" s="454"/>
    </row>
    <row r="155" spans="4:10" x14ac:dyDescent="0.2">
      <c r="D155" s="273" t="s">
        <v>691</v>
      </c>
      <c r="E155" s="309" t="s">
        <v>699</v>
      </c>
      <c r="F155" s="309" t="s">
        <v>702</v>
      </c>
      <c r="G155" s="310" t="s">
        <v>814</v>
      </c>
      <c r="H155" s="448" t="str">
        <f>IF($B$3=$A$3,D155,IF($B$3=$A$4,E155,IF($B$3=$A$5,F155,IF($B$3=$A$6,G155,""))))</f>
        <v>Bestellformular unvollständig!</v>
      </c>
      <c r="I155" s="454"/>
    </row>
    <row r="156" spans="4:10" x14ac:dyDescent="0.2">
      <c r="D156" s="273" t="s">
        <v>701</v>
      </c>
      <c r="E156" s="309" t="s">
        <v>700</v>
      </c>
      <c r="F156" s="309" t="s">
        <v>703</v>
      </c>
      <c r="G156" s="310" t="s">
        <v>815</v>
      </c>
      <c r="H156" s="448" t="str">
        <f t="shared" si="13"/>
        <v>Bestellformular vollständig.</v>
      </c>
      <c r="I156" s="454"/>
    </row>
    <row r="157" spans="4:10" x14ac:dyDescent="0.2">
      <c r="D157" s="273" t="s">
        <v>696</v>
      </c>
      <c r="E157" s="309" t="s">
        <v>695</v>
      </c>
      <c r="F157" s="309" t="s">
        <v>694</v>
      </c>
      <c r="G157" s="310" t="s">
        <v>697</v>
      </c>
      <c r="H157" s="448" t="str">
        <f t="shared" si="13"/>
        <v>B2B-Login Projektnr:</v>
      </c>
      <c r="I157" s="454"/>
    </row>
    <row r="158" spans="4:10" ht="12.75" customHeight="1" x14ac:dyDescent="0.2">
      <c r="D158" s="323" t="s">
        <v>748</v>
      </c>
      <c r="E158" s="309" t="s">
        <v>749</v>
      </c>
      <c r="F158" s="309" t="s">
        <v>750</v>
      </c>
      <c r="G158" s="310" t="s">
        <v>751</v>
      </c>
      <c r="H158" s="448" t="str">
        <f t="shared" si="13"/>
        <v>OHNE Glas</v>
      </c>
      <c r="I158" s="454"/>
    </row>
    <row r="159" spans="4:10" ht="12.75" customHeight="1" x14ac:dyDescent="0.2">
      <c r="D159" s="273" t="s">
        <v>752</v>
      </c>
      <c r="E159" s="309" t="s">
        <v>753</v>
      </c>
      <c r="F159" s="309" t="s">
        <v>264</v>
      </c>
      <c r="G159" s="310" t="s">
        <v>277</v>
      </c>
      <c r="H159" s="448" t="str">
        <f t="shared" si="13"/>
        <v>Keine</v>
      </c>
      <c r="I159" s="454"/>
    </row>
    <row r="160" spans="4:10" ht="12.75" customHeight="1" x14ac:dyDescent="0.2">
      <c r="D160" s="273" t="s">
        <v>813</v>
      </c>
      <c r="E160" s="309" t="s">
        <v>812</v>
      </c>
      <c r="F160" s="309" t="s">
        <v>811</v>
      </c>
      <c r="G160" s="310" t="s">
        <v>810</v>
      </c>
      <c r="H160" s="448" t="str">
        <f t="shared" si="13"/>
        <v>Nur nach Rücksprache mit Sky-Frame!</v>
      </c>
      <c r="I160" s="454"/>
    </row>
    <row r="161" spans="4:10" x14ac:dyDescent="0.2">
      <c r="D161" s="273" t="s">
        <v>818</v>
      </c>
      <c r="E161" s="309" t="s">
        <v>819</v>
      </c>
      <c r="F161" s="309" t="s">
        <v>820</v>
      </c>
      <c r="G161" s="310" t="s">
        <v>821</v>
      </c>
      <c r="H161" s="448" t="str">
        <f t="shared" si="13"/>
        <v>ohne Verschlussraster (Zylinder)</v>
      </c>
      <c r="I161" s="454"/>
    </row>
    <row r="162" spans="4:10" x14ac:dyDescent="0.2">
      <c r="D162" s="273"/>
      <c r="E162" s="309"/>
      <c r="F162" s="309"/>
      <c r="G162" s="310"/>
      <c r="H162" s="448">
        <f t="shared" si="13"/>
        <v>0</v>
      </c>
      <c r="I162" s="454"/>
    </row>
    <row r="163" spans="4:10" x14ac:dyDescent="0.2">
      <c r="D163" s="273"/>
      <c r="E163" s="309"/>
      <c r="F163" s="309"/>
      <c r="G163" s="310"/>
      <c r="H163" s="448">
        <f t="shared" si="13"/>
        <v>0</v>
      </c>
      <c r="I163" s="454"/>
    </row>
    <row r="164" spans="4:10" x14ac:dyDescent="0.2">
      <c r="D164" s="273"/>
      <c r="E164" s="309"/>
      <c r="F164" s="309"/>
      <c r="G164" s="310"/>
      <c r="H164" s="448">
        <f t="shared" si="13"/>
        <v>0</v>
      </c>
      <c r="I164" s="454"/>
    </row>
    <row r="165" spans="4:10" x14ac:dyDescent="0.2">
      <c r="D165" s="273" t="s">
        <v>954</v>
      </c>
      <c r="E165" s="359" t="s">
        <v>955</v>
      </c>
      <c r="F165" s="359" t="s">
        <v>478</v>
      </c>
      <c r="G165" s="359" t="s">
        <v>956</v>
      </c>
      <c r="H165" s="448" t="str">
        <f t="shared" si="13"/>
        <v>Hinweise:</v>
      </c>
      <c r="I165" s="454"/>
    </row>
    <row r="166" spans="4:10" x14ac:dyDescent="0.2">
      <c r="D166" s="273" t="s">
        <v>832</v>
      </c>
      <c r="E166" s="360" t="s">
        <v>844</v>
      </c>
      <c r="F166" s="359" t="s">
        <v>852</v>
      </c>
      <c r="G166" s="360" t="s">
        <v>860</v>
      </c>
      <c r="H166" s="448" t="str">
        <f t="shared" si="13"/>
        <v>Angabe erstöffnender Flügel</v>
      </c>
      <c r="I166" s="454"/>
    </row>
    <row r="167" spans="4:10" ht="102" x14ac:dyDescent="0.2">
      <c r="D167" s="336" t="s">
        <v>840</v>
      </c>
      <c r="E167" s="361" t="s">
        <v>845</v>
      </c>
      <c r="F167" s="361" t="s">
        <v>853</v>
      </c>
      <c r="G167" s="361" t="s">
        <v>861</v>
      </c>
      <c r="H167" s="534" t="str">
        <f t="shared" si="13"/>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54"/>
    </row>
    <row r="168" spans="4:10" x14ac:dyDescent="0.2">
      <c r="D168" s="336" t="s">
        <v>841</v>
      </c>
      <c r="E168" s="360" t="s">
        <v>846</v>
      </c>
      <c r="F168" s="360" t="s">
        <v>854</v>
      </c>
      <c r="G168" s="361" t="s">
        <v>862</v>
      </c>
      <c r="H168" s="534" t="str">
        <f t="shared" si="13"/>
        <v>Eingabe Ecke ≠ 90° (von 60° - 160°)</v>
      </c>
      <c r="I168" s="454"/>
    </row>
    <row r="169" spans="4:10" ht="63.75" x14ac:dyDescent="0.2">
      <c r="D169" s="336" t="s">
        <v>833</v>
      </c>
      <c r="E169" s="361" t="s">
        <v>847</v>
      </c>
      <c r="F169" s="361" t="s">
        <v>855</v>
      </c>
      <c r="G169" s="361" t="s">
        <v>863</v>
      </c>
      <c r="H169" s="534" t="str">
        <f t="shared" si="13"/>
        <v xml:space="preserve">Um eine Ecke auszuwählen, welche grösser oder kleiner wie 90° ist, muss das dementsprechende Feld ausgewählt werden. Danach muss der gewünschte Wert angegeben werden. </v>
      </c>
      <c r="I169" s="454"/>
    </row>
    <row r="170" spans="4:10" ht="25.5" x14ac:dyDescent="0.2">
      <c r="D170" s="336" t="s">
        <v>835</v>
      </c>
      <c r="E170" s="360" t="s">
        <v>848</v>
      </c>
      <c r="F170" s="360" t="s">
        <v>856</v>
      </c>
      <c r="G170" s="361" t="s">
        <v>864</v>
      </c>
      <c r="H170" s="534" t="str">
        <f t="shared" si="13"/>
        <v>Breitenangabe bei Eckanlagen</v>
      </c>
      <c r="I170" s="454"/>
    </row>
    <row r="171" spans="4:10" ht="102" x14ac:dyDescent="0.2">
      <c r="D171" s="336" t="s">
        <v>836</v>
      </c>
      <c r="E171" s="361" t="s">
        <v>849</v>
      </c>
      <c r="F171" s="361" t="s">
        <v>857</v>
      </c>
      <c r="G171" s="361" t="s">
        <v>865</v>
      </c>
      <c r="H171" s="534" t="str">
        <f t="shared" si="13"/>
        <v>Wird eine Eckanlage eingegeben, erscheint bei der Angabe "Breite" automatisch ein neues Eingabefeld. Die Länge der einzelnen Fronten muss hier separat angegeben werden (Rahmenaussenmass). Die verschiedenen Fronten sind von links nach rechts anzugeben:</v>
      </c>
      <c r="I171" s="454"/>
    </row>
    <row r="172" spans="4:10" x14ac:dyDescent="0.2">
      <c r="D172" s="336" t="s">
        <v>838</v>
      </c>
      <c r="E172" s="360" t="s">
        <v>850</v>
      </c>
      <c r="F172" s="360" t="s">
        <v>858</v>
      </c>
      <c r="G172" s="361" t="s">
        <v>866</v>
      </c>
      <c r="H172" s="534" t="str">
        <f t="shared" si="13"/>
        <v>Rinnenlänge angeben</v>
      </c>
      <c r="I172" s="454"/>
    </row>
    <row r="173" spans="4:10" ht="140.25" x14ac:dyDescent="0.2">
      <c r="D173" s="336" t="s">
        <v>839</v>
      </c>
      <c r="E173" s="362" t="s">
        <v>851</v>
      </c>
      <c r="F173" s="361" t="s">
        <v>859</v>
      </c>
      <c r="G173" s="361" t="s">
        <v>867</v>
      </c>
      <c r="H173" s="534" t="str">
        <f t="shared" si="13"/>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54"/>
    </row>
    <row r="174" spans="4:10" x14ac:dyDescent="0.2">
      <c r="D174" s="336" t="s">
        <v>16</v>
      </c>
      <c r="E174" s="309" t="s">
        <v>16</v>
      </c>
      <c r="F174" s="309" t="s">
        <v>16</v>
      </c>
      <c r="G174" s="310" t="s">
        <v>16</v>
      </c>
      <c r="H174" s="534" t="str">
        <f t="shared" si="13"/>
        <v>Standard</v>
      </c>
      <c r="I174" s="454"/>
      <c r="J174" s="272" t="str">
        <f>H174</f>
        <v>Standard</v>
      </c>
    </row>
    <row r="175" spans="4:10" x14ac:dyDescent="0.2">
      <c r="D175" s="336" t="s">
        <v>871</v>
      </c>
      <c r="E175" s="309" t="s">
        <v>872</v>
      </c>
      <c r="F175" s="309" t="s">
        <v>873</v>
      </c>
      <c r="G175" s="310" t="s">
        <v>874</v>
      </c>
      <c r="H175" s="534" t="str">
        <f t="shared" si="13"/>
        <v>Seaside (Pool/Meer)</v>
      </c>
      <c r="I175" s="454"/>
      <c r="J175" s="272" t="str">
        <f>H175</f>
        <v>Seaside (Pool/Meer)</v>
      </c>
    </row>
    <row r="176" spans="4:10" x14ac:dyDescent="0.2">
      <c r="D176" s="273" t="s">
        <v>875</v>
      </c>
      <c r="E176" s="309" t="s">
        <v>876</v>
      </c>
      <c r="F176" s="309" t="s">
        <v>877</v>
      </c>
      <c r="G176" s="310" t="s">
        <v>878</v>
      </c>
      <c r="H176" s="534" t="str">
        <f t="shared" si="13"/>
        <v>Pulverlack Klasse:</v>
      </c>
      <c r="I176" s="454"/>
    </row>
    <row r="177" spans="4:10" x14ac:dyDescent="0.2">
      <c r="D177" s="273" t="s">
        <v>879</v>
      </c>
      <c r="E177" s="309" t="s">
        <v>879</v>
      </c>
      <c r="F177" s="309" t="s">
        <v>879</v>
      </c>
      <c r="G177" s="310" t="s">
        <v>879</v>
      </c>
      <c r="H177" s="534" t="str">
        <f t="shared" si="13"/>
        <v>Qualicoat 1</v>
      </c>
      <c r="I177" s="454"/>
      <c r="J177" s="272" t="str">
        <f>H177</f>
        <v>Qualicoat 1</v>
      </c>
    </row>
    <row r="178" spans="4:10" x14ac:dyDescent="0.2">
      <c r="D178" s="273" t="s">
        <v>880</v>
      </c>
      <c r="E178" s="309" t="s">
        <v>880</v>
      </c>
      <c r="F178" s="309" t="s">
        <v>880</v>
      </c>
      <c r="G178" s="310" t="s">
        <v>880</v>
      </c>
      <c r="H178" s="534" t="str">
        <f t="shared" si="13"/>
        <v>Qualicoat 2</v>
      </c>
      <c r="I178" s="454"/>
      <c r="J178" s="272" t="str">
        <f>H178</f>
        <v>Qualicoat 2</v>
      </c>
    </row>
    <row r="179" spans="4:10" x14ac:dyDescent="0.2">
      <c r="D179" s="273" t="s">
        <v>904</v>
      </c>
      <c r="E179" s="309" t="s">
        <v>905</v>
      </c>
      <c r="F179" s="309" t="s">
        <v>906</v>
      </c>
      <c r="G179" s="310" t="s">
        <v>915</v>
      </c>
      <c r="H179" s="534" t="str">
        <f t="shared" si="13"/>
        <v>Übersicht:</v>
      </c>
      <c r="I179" s="454"/>
    </row>
    <row r="180" spans="4:10" x14ac:dyDescent="0.2">
      <c r="D180" s="273" t="s">
        <v>895</v>
      </c>
      <c r="E180" s="309" t="s">
        <v>896</v>
      </c>
      <c r="F180" s="309" t="s">
        <v>897</v>
      </c>
      <c r="G180" s="310" t="s">
        <v>898</v>
      </c>
      <c r="H180" s="534" t="str">
        <f t="shared" si="13"/>
        <v>VE</v>
      </c>
      <c r="I180" s="454"/>
    </row>
    <row r="181" spans="4:10" x14ac:dyDescent="0.2">
      <c r="D181" s="273" t="s">
        <v>916</v>
      </c>
      <c r="E181" s="309" t="s">
        <v>958</v>
      </c>
      <c r="F181" s="309" t="s">
        <v>959</v>
      </c>
      <c r="G181" s="310" t="s">
        <v>960</v>
      </c>
      <c r="H181" s="534" t="str">
        <f t="shared" ref="H181:H209" si="14">IF($B$3=$A$3,D181,IF($B$3=$A$4,E181,IF($B$3=$A$5,F181,IF($B$3=$A$6,G181,""))))</f>
        <v>Sky-Frame Beratung vorhanden:</v>
      </c>
      <c r="I181" s="454"/>
    </row>
    <row r="182" spans="4:10" x14ac:dyDescent="0.2">
      <c r="D182" s="273" t="s">
        <v>917</v>
      </c>
      <c r="E182" s="309" t="s">
        <v>961</v>
      </c>
      <c r="F182" s="309" t="s">
        <v>962</v>
      </c>
      <c r="G182" s="310" t="s">
        <v>963</v>
      </c>
      <c r="H182" s="534" t="str">
        <f t="shared" si="14"/>
        <v>Beratungsnummer: (z.B. P123456)</v>
      </c>
      <c r="I182" s="454"/>
    </row>
    <row r="183" spans="4:10" x14ac:dyDescent="0.2">
      <c r="D183" s="273" t="s">
        <v>918</v>
      </c>
      <c r="E183" s="309" t="s">
        <v>919</v>
      </c>
      <c r="F183" s="309" t="s">
        <v>964</v>
      </c>
      <c r="G183" s="310" t="s">
        <v>965</v>
      </c>
      <c r="H183" s="534" t="str">
        <f t="shared" si="14"/>
        <v>Inch-Rechner</v>
      </c>
      <c r="I183" s="454"/>
    </row>
    <row r="184" spans="4:10" x14ac:dyDescent="0.2">
      <c r="D184" s="273" t="s">
        <v>920</v>
      </c>
      <c r="E184" s="309" t="s">
        <v>921</v>
      </c>
      <c r="F184" s="309" t="s">
        <v>966</v>
      </c>
      <c r="G184" s="310" t="s">
        <v>967</v>
      </c>
      <c r="H184" s="534" t="str">
        <f t="shared" si="14"/>
        <v>Fuss:</v>
      </c>
      <c r="I184" s="454"/>
    </row>
    <row r="185" spans="4:10" x14ac:dyDescent="0.2">
      <c r="D185" s="273" t="s">
        <v>922</v>
      </c>
      <c r="E185" s="309" t="s">
        <v>923</v>
      </c>
      <c r="F185" s="309" t="s">
        <v>968</v>
      </c>
      <c r="G185" s="310" t="s">
        <v>969</v>
      </c>
      <c r="H185" s="534" t="str">
        <f t="shared" si="14"/>
        <v>Zoll:</v>
      </c>
      <c r="I185" s="454"/>
    </row>
    <row r="186" spans="4:10" x14ac:dyDescent="0.2">
      <c r="D186" s="273" t="s">
        <v>924</v>
      </c>
      <c r="E186" s="309" t="s">
        <v>970</v>
      </c>
      <c r="F186" s="309" t="s">
        <v>971</v>
      </c>
      <c r="G186" s="310" t="s">
        <v>972</v>
      </c>
      <c r="H186" s="534" t="str">
        <f t="shared" si="14"/>
        <v>Bemassung Bahnhof</v>
      </c>
      <c r="I186" s="454"/>
    </row>
    <row r="187" spans="4:10" ht="102" x14ac:dyDescent="0.2">
      <c r="D187" s="446" t="s">
        <v>925</v>
      </c>
      <c r="E187" s="362" t="s">
        <v>973</v>
      </c>
      <c r="F187" s="362" t="s">
        <v>974</v>
      </c>
      <c r="G187" s="447" t="s">
        <v>937</v>
      </c>
      <c r="H187" s="534" t="str">
        <f t="shared" si="14"/>
        <v>Die Vermassung von Bahnhofanlagen funktioniert gleich wie bei normalen Rahmen. Bitte geben Sie uns als Rahmenmass das komplette Mass von Aussenkant Rahmen an. Für die Vermassung der Labyrinthposition geben Sie bitte das Mass bis Achse Labyrinth an.</v>
      </c>
      <c r="I187" s="454"/>
    </row>
    <row r="188" spans="4:10" x14ac:dyDescent="0.2">
      <c r="D188" s="273" t="s">
        <v>926</v>
      </c>
      <c r="E188" s="309" t="s">
        <v>975</v>
      </c>
      <c r="F188" s="309" t="s">
        <v>976</v>
      </c>
      <c r="G188" s="310" t="s">
        <v>977</v>
      </c>
      <c r="H188" s="534" t="str">
        <f t="shared" si="14"/>
        <v>Bahnhof Typ 1:</v>
      </c>
      <c r="I188" s="454"/>
    </row>
    <row r="189" spans="4:10" x14ac:dyDescent="0.2">
      <c r="D189" s="273" t="s">
        <v>927</v>
      </c>
      <c r="E189" s="309" t="s">
        <v>978</v>
      </c>
      <c r="F189" s="309" t="s">
        <v>979</v>
      </c>
      <c r="G189" s="310" t="s">
        <v>980</v>
      </c>
      <c r="H189" s="534" t="str">
        <f t="shared" si="14"/>
        <v>Bahnhof Typ 2:</v>
      </c>
      <c r="I189" s="454"/>
    </row>
    <row r="190" spans="4:10" x14ac:dyDescent="0.2">
      <c r="D190" s="273" t="s">
        <v>928</v>
      </c>
      <c r="E190" s="309" t="s">
        <v>253</v>
      </c>
      <c r="F190" s="309" t="s">
        <v>271</v>
      </c>
      <c r="G190" s="310" t="s">
        <v>282</v>
      </c>
      <c r="H190" s="534" t="str">
        <f t="shared" si="14"/>
        <v>schwarz</v>
      </c>
      <c r="I190" s="454"/>
    </row>
    <row r="191" spans="4:10" x14ac:dyDescent="0.2">
      <c r="D191" s="273" t="s">
        <v>617</v>
      </c>
      <c r="E191" s="309" t="s">
        <v>929</v>
      </c>
      <c r="F191" s="309" t="s">
        <v>930</v>
      </c>
      <c r="G191" s="310" t="s">
        <v>931</v>
      </c>
      <c r="H191" s="534" t="str">
        <f t="shared" si="14"/>
        <v>Rahmenfarbe</v>
      </c>
      <c r="I191" s="454"/>
    </row>
    <row r="192" spans="4:10" x14ac:dyDescent="0.2">
      <c r="D192" s="273" t="s">
        <v>928</v>
      </c>
      <c r="E192" s="309" t="s">
        <v>253</v>
      </c>
      <c r="F192" s="309" t="s">
        <v>271</v>
      </c>
      <c r="G192" s="310" t="s">
        <v>282</v>
      </c>
      <c r="H192" s="534" t="str">
        <f t="shared" si="14"/>
        <v>schwarz</v>
      </c>
      <c r="I192" s="454"/>
    </row>
    <row r="193" spans="4:9" x14ac:dyDescent="0.2">
      <c r="D193" s="273" t="s">
        <v>938</v>
      </c>
      <c r="E193" s="309" t="s">
        <v>939</v>
      </c>
      <c r="F193" s="309" t="s">
        <v>981</v>
      </c>
      <c r="G193" s="310" t="s">
        <v>982</v>
      </c>
      <c r="H193" s="534" t="str">
        <f t="shared" si="14"/>
        <v>Sonstiges:</v>
      </c>
      <c r="I193" s="454"/>
    </row>
    <row r="194" spans="4:9" x14ac:dyDescent="0.2">
      <c r="D194" s="273" t="s">
        <v>957</v>
      </c>
      <c r="E194" s="309" t="s">
        <v>940</v>
      </c>
      <c r="F194" s="309" t="s">
        <v>983</v>
      </c>
      <c r="G194" s="310" t="s">
        <v>984</v>
      </c>
      <c r="H194" s="534" t="str">
        <f t="shared" si="14"/>
        <v>Sichtbare Rahmenprofile (aussen):</v>
      </c>
      <c r="I194" s="454"/>
    </row>
    <row r="195" spans="4:9" x14ac:dyDescent="0.2">
      <c r="D195" s="273" t="s">
        <v>941</v>
      </c>
      <c r="E195" s="309" t="s">
        <v>942</v>
      </c>
      <c r="F195" s="309" t="s">
        <v>985</v>
      </c>
      <c r="G195" s="310" t="s">
        <v>986</v>
      </c>
      <c r="H195" s="534" t="str">
        <f t="shared" si="14"/>
        <v>Lieferung Glas und Rahmen:</v>
      </c>
      <c r="I195" s="454"/>
    </row>
    <row r="196" spans="4:9" x14ac:dyDescent="0.2">
      <c r="D196" s="273" t="s">
        <v>943</v>
      </c>
      <c r="E196" s="309" t="s">
        <v>944</v>
      </c>
      <c r="F196" s="309" t="s">
        <v>987</v>
      </c>
      <c r="G196" s="310" t="s">
        <v>988</v>
      </c>
      <c r="H196" s="534" t="str">
        <f t="shared" si="14"/>
        <v>zusammen</v>
      </c>
      <c r="I196" s="454"/>
    </row>
    <row r="197" spans="4:9" x14ac:dyDescent="0.2">
      <c r="D197" s="273" t="s">
        <v>945</v>
      </c>
      <c r="E197" s="309" t="s">
        <v>946</v>
      </c>
      <c r="F197" s="309" t="s">
        <v>989</v>
      </c>
      <c r="G197" s="310" t="s">
        <v>990</v>
      </c>
      <c r="H197" s="534" t="str">
        <f t="shared" si="14"/>
        <v>getrennt</v>
      </c>
      <c r="I197" s="454"/>
    </row>
    <row r="198" spans="4:9" x14ac:dyDescent="0.2">
      <c r="D198" s="273" t="s">
        <v>947</v>
      </c>
      <c r="E198" s="309" t="s">
        <v>948</v>
      </c>
      <c r="F198" s="309" t="s">
        <v>948</v>
      </c>
      <c r="G198" s="310" t="s">
        <v>991</v>
      </c>
      <c r="H198" s="534" t="str">
        <f t="shared" si="14"/>
        <v>sichtbar</v>
      </c>
      <c r="I198" s="454"/>
    </row>
    <row r="199" spans="4:9" x14ac:dyDescent="0.2">
      <c r="D199" s="273" t="s">
        <v>949</v>
      </c>
      <c r="E199" s="309" t="s">
        <v>950</v>
      </c>
      <c r="F199" s="309" t="s">
        <v>992</v>
      </c>
      <c r="G199" s="310" t="s">
        <v>993</v>
      </c>
      <c r="H199" s="534" t="str">
        <f t="shared" si="14"/>
        <v>nicht sichtbar</v>
      </c>
      <c r="I199" s="454"/>
    </row>
    <row r="200" spans="4:9" x14ac:dyDescent="0.2">
      <c r="D200" s="336"/>
      <c r="E200" s="309"/>
      <c r="F200" s="309"/>
      <c r="G200" s="310"/>
      <c r="H200" s="534">
        <f t="shared" si="14"/>
        <v>0</v>
      </c>
      <c r="I200" s="454"/>
    </row>
    <row r="201" spans="4:9" x14ac:dyDescent="0.2">
      <c r="D201" s="336"/>
      <c r="E201" s="309"/>
      <c r="F201" s="309"/>
      <c r="G201" s="310"/>
      <c r="H201" s="534">
        <f t="shared" si="14"/>
        <v>0</v>
      </c>
      <c r="I201" s="454"/>
    </row>
    <row r="202" spans="4:9" x14ac:dyDescent="0.2">
      <c r="D202" s="336"/>
      <c r="E202" s="309"/>
      <c r="F202" s="309"/>
      <c r="G202" s="310"/>
      <c r="H202" s="534">
        <f t="shared" si="14"/>
        <v>0</v>
      </c>
      <c r="I202" s="454"/>
    </row>
    <row r="203" spans="4:9" x14ac:dyDescent="0.2">
      <c r="D203" s="336"/>
      <c r="E203" s="309"/>
      <c r="F203" s="309"/>
      <c r="G203" s="310"/>
      <c r="H203" s="534">
        <f t="shared" si="14"/>
        <v>0</v>
      </c>
      <c r="I203" s="454"/>
    </row>
    <row r="204" spans="4:9" x14ac:dyDescent="0.2">
      <c r="D204" s="336"/>
      <c r="E204" s="309"/>
      <c r="F204" s="309"/>
      <c r="G204" s="310"/>
      <c r="H204" s="534">
        <f t="shared" si="14"/>
        <v>0</v>
      </c>
      <c r="I204" s="454"/>
    </row>
    <row r="205" spans="4:9" x14ac:dyDescent="0.2">
      <c r="D205" s="336"/>
      <c r="E205" s="309"/>
      <c r="F205" s="309"/>
      <c r="G205" s="310"/>
      <c r="H205" s="534">
        <f t="shared" si="14"/>
        <v>0</v>
      </c>
      <c r="I205" s="454"/>
    </row>
    <row r="206" spans="4:9" x14ac:dyDescent="0.2">
      <c r="D206" s="336"/>
      <c r="E206" s="309"/>
      <c r="F206" s="309"/>
      <c r="G206" s="310"/>
      <c r="H206" s="534">
        <f t="shared" si="14"/>
        <v>0</v>
      </c>
      <c r="I206" s="454"/>
    </row>
    <row r="207" spans="4:9" x14ac:dyDescent="0.2">
      <c r="D207" s="336"/>
      <c r="E207" s="309"/>
      <c r="F207" s="309"/>
      <c r="G207" s="310"/>
      <c r="H207" s="534">
        <f t="shared" si="14"/>
        <v>0</v>
      </c>
      <c r="I207" s="454"/>
    </row>
    <row r="208" spans="4:9" x14ac:dyDescent="0.2">
      <c r="D208" s="336"/>
      <c r="E208" s="309"/>
      <c r="F208" s="309"/>
      <c r="G208" s="310"/>
      <c r="H208" s="534">
        <f t="shared" si="14"/>
        <v>0</v>
      </c>
      <c r="I208" s="454"/>
    </row>
    <row r="209" spans="4:9" x14ac:dyDescent="0.2">
      <c r="D209" s="336"/>
      <c r="E209" s="309"/>
      <c r="F209" s="309"/>
      <c r="G209" s="310"/>
      <c r="H209" s="534">
        <f t="shared" si="14"/>
        <v>0</v>
      </c>
      <c r="I209" s="454"/>
    </row>
  </sheetData>
  <mergeCells count="4">
    <mergeCell ref="N40:P40"/>
    <mergeCell ref="M60:M61"/>
    <mergeCell ref="L85:M85"/>
    <mergeCell ref="B87:C87"/>
  </mergeCells>
  <dataValidations count="1">
    <dataValidation type="list" allowBlank="1" showInputMessage="1" showErrorMessage="1" sqref="P38" xr:uid="{3EB4245F-CF21-4524-8AF3-567B13579839}">
      <formula1>$O$45:$O$46</formula1>
    </dataValidation>
  </dataValidations>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3A2E7-9CA4-4B72-A2A5-FD63F250A3F3}">
  <sheetPr>
    <tabColor theme="7" tint="0.59999389629810485"/>
    <pageSetUpPr fitToPage="1"/>
  </sheetPr>
  <dimension ref="A1:BL305"/>
  <sheetViews>
    <sheetView showGridLines="0" zoomScale="85" zoomScaleNormal="85" zoomScaleSheetLayoutView="100" workbookViewId="0">
      <selection activeCell="Y5" sqref="Y5:AF5"/>
    </sheetView>
  </sheetViews>
  <sheetFormatPr baseColWidth="10" defaultColWidth="11.42578125" defaultRowHeight="12.75" x14ac:dyDescent="0.2"/>
  <cols>
    <col min="1" max="1" width="12.42578125" style="136" customWidth="1"/>
    <col min="2" max="2" width="3.7109375" style="136" customWidth="1"/>
    <col min="3" max="3" width="2.85546875" style="136" customWidth="1"/>
    <col min="4" max="4" width="1.28515625" style="136" customWidth="1"/>
    <col min="5" max="44" width="3.28515625" style="136" customWidth="1"/>
    <col min="45" max="45" width="1.42578125" style="136" customWidth="1"/>
    <col min="46" max="46" width="4.5703125" style="136" customWidth="1"/>
    <col min="47" max="47" width="3.7109375" style="136" customWidth="1"/>
    <col min="48" max="48" width="7.28515625" style="136" customWidth="1"/>
    <col min="49" max="50" width="11.42578125" style="136"/>
    <col min="51" max="51" width="20.28515625" style="136" customWidth="1"/>
    <col min="52" max="53" width="10.140625" style="136" customWidth="1"/>
    <col min="54" max="54" width="9.5703125" style="136" customWidth="1"/>
    <col min="55" max="55" width="11.42578125" style="136"/>
    <col min="56" max="56" width="5.5703125" style="136" customWidth="1"/>
    <col min="57" max="57" width="4.5703125" style="136" customWidth="1"/>
    <col min="58" max="58" width="1.85546875" style="136" customWidth="1"/>
    <col min="59" max="59" width="5.7109375" style="136" customWidth="1"/>
    <col min="60" max="60" width="6.28515625" style="136" customWidth="1"/>
    <col min="61" max="61" width="5.85546875" style="136" customWidth="1"/>
    <col min="62" max="64" width="0" style="136" hidden="1" customWidth="1"/>
    <col min="65" max="16384" width="11.42578125" style="136"/>
  </cols>
  <sheetData>
    <row r="1" spans="1:64" ht="13.5" thickBot="1" x14ac:dyDescent="0.25">
      <c r="A1" s="153" t="s">
        <v>493</v>
      </c>
      <c r="C1" s="61"/>
      <c r="AW1" s="154"/>
    </row>
    <row r="2" spans="1:64" ht="13.5" thickTop="1" x14ac:dyDescent="0.2">
      <c r="B2" s="198">
        <v>3</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109"/>
      <c r="AW2" s="423"/>
      <c r="AX2" s="233"/>
      <c r="AY2" s="233"/>
      <c r="AZ2" s="233"/>
      <c r="BA2" s="233"/>
      <c r="BB2" s="364" t="str">
        <f>CONCATENATE(ROUND(SUM(I46:K49)*Z42/1000000,2)*AJ6,"m²")</f>
        <v>0m²</v>
      </c>
      <c r="BD2" s="232"/>
      <c r="BE2" s="233"/>
      <c r="BF2" s="233"/>
      <c r="BG2" s="233"/>
      <c r="BH2" s="233"/>
      <c r="BI2" s="234"/>
    </row>
    <row r="3" spans="1:64" ht="36.75" customHeight="1" x14ac:dyDescent="0.3">
      <c r="B3" s="197"/>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137"/>
      <c r="AR3" s="84"/>
      <c r="AS3" s="84"/>
      <c r="AT3" s="138" t="s">
        <v>706</v>
      </c>
      <c r="AU3" s="111"/>
      <c r="AW3" s="235"/>
      <c r="AX3" s="236" t="str">
        <f>'Sprachen &amp; Rückgabewerte(3)'!$H$2</f>
        <v>Sprache:</v>
      </c>
      <c r="AY3" s="61"/>
      <c r="AZ3" s="61"/>
      <c r="BA3" s="61"/>
      <c r="BB3" s="381" t="str">
        <f>IF(AJ6&gt;1,CONCATENATE(AH6," ",AJ6),"")</f>
        <v/>
      </c>
      <c r="BD3" s="235"/>
      <c r="BE3" s="415" t="str">
        <f>'Sprachen &amp; Rückgabewerte(3)'!H183</f>
        <v>Inch-Rechner</v>
      </c>
      <c r="BF3" s="415"/>
      <c r="BG3" s="61"/>
      <c r="BH3" s="61"/>
      <c r="BI3" s="237"/>
    </row>
    <row r="4" spans="1:64" ht="19.5" customHeight="1" x14ac:dyDescent="0.2">
      <c r="B4" s="107"/>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109"/>
      <c r="AW4" s="235"/>
      <c r="AX4" s="61"/>
      <c r="AY4" s="61"/>
      <c r="AZ4" s="61"/>
      <c r="BA4" s="61"/>
      <c r="BB4" s="237"/>
      <c r="BD4" s="235"/>
      <c r="BE4" s="150" t="str">
        <f>'Sprachen &amp; Rückgabewerte(3)'!H184</f>
        <v>Fuss:</v>
      </c>
      <c r="BF4" s="150"/>
      <c r="BG4" s="150" t="str">
        <f>'Sprachen &amp; Rückgabewerte(3)'!H185</f>
        <v>Zoll:</v>
      </c>
      <c r="BH4" s="61"/>
      <c r="BI4" s="237"/>
    </row>
    <row r="5" spans="1:64" x14ac:dyDescent="0.2">
      <c r="B5" s="60"/>
      <c r="C5" s="121"/>
      <c r="D5" s="122"/>
      <c r="E5" s="123" t="str">
        <f>'Sprachen &amp; Rückgabewerte(3)'!H4</f>
        <v>BESTELLUNG</v>
      </c>
      <c r="F5" s="122"/>
      <c r="G5" s="122"/>
      <c r="H5" s="122"/>
      <c r="I5" s="122"/>
      <c r="J5" s="122"/>
      <c r="K5" s="122"/>
      <c r="L5" s="122"/>
      <c r="M5" s="122"/>
      <c r="N5" s="122"/>
      <c r="O5" s="122"/>
      <c r="P5" s="122"/>
      <c r="Q5" s="122"/>
      <c r="R5" s="124"/>
      <c r="S5" s="669" t="str">
        <f>'Sprachen &amp; Rückgabewerte(3)'!$H$130</f>
        <v>Vertriebspartner:</v>
      </c>
      <c r="T5" s="670"/>
      <c r="U5" s="670"/>
      <c r="V5" s="670"/>
      <c r="W5" s="670"/>
      <c r="X5" s="671"/>
      <c r="Y5" s="672"/>
      <c r="Z5" s="673"/>
      <c r="AA5" s="673"/>
      <c r="AB5" s="673"/>
      <c r="AC5" s="673"/>
      <c r="AD5" s="673"/>
      <c r="AE5" s="673"/>
      <c r="AF5" s="674"/>
      <c r="AG5" s="139"/>
      <c r="AH5" s="125" t="str">
        <f>'Sprachen &amp; Rückgabewerte(3)'!H55</f>
        <v>Pos:</v>
      </c>
      <c r="AI5" s="140"/>
      <c r="AJ5" s="663"/>
      <c r="AK5" s="664"/>
      <c r="AL5" s="665"/>
      <c r="AM5" s="139"/>
      <c r="AN5" s="125" t="str">
        <f>'Sprachen &amp; Rückgabewerte(3)'!$H$10</f>
        <v>2-gleisig</v>
      </c>
      <c r="AO5" s="140"/>
      <c r="AP5" s="140"/>
      <c r="AQ5" s="140"/>
      <c r="AR5" s="140"/>
      <c r="AS5" s="140"/>
      <c r="AT5" s="183"/>
      <c r="AU5" s="110"/>
      <c r="AW5" s="235"/>
      <c r="AX5" s="61"/>
      <c r="AY5" s="61"/>
      <c r="AZ5" s="61"/>
      <c r="BA5" s="61"/>
      <c r="BB5" s="237"/>
      <c r="BD5" s="235"/>
      <c r="BE5" s="552"/>
      <c r="BF5" s="554" t="str">
        <f>"'"</f>
        <v>'</v>
      </c>
      <c r="BG5" s="555"/>
      <c r="BH5" s="416"/>
      <c r="BI5" s="237"/>
      <c r="BJ5" s="136">
        <f>BE5*304.8</f>
        <v>0</v>
      </c>
      <c r="BK5" s="136">
        <f>BG5*25.4</f>
        <v>0</v>
      </c>
      <c r="BL5" s="136">
        <f>IF(AND(BH5="",BH6=""),0,25.4*BH5/BH6)</f>
        <v>0</v>
      </c>
    </row>
    <row r="6" spans="1:64" ht="12" customHeight="1" x14ac:dyDescent="0.2">
      <c r="B6" s="60"/>
      <c r="C6" s="126"/>
      <c r="D6" s="127"/>
      <c r="E6" s="67"/>
      <c r="F6" s="127" t="str">
        <f>'Sprachen &amp; Rückgabewerte(3)'!$H$5</f>
        <v>Gemäss Zeichnung Nr.:</v>
      </c>
      <c r="G6" s="127"/>
      <c r="H6" s="127"/>
      <c r="I6" s="127"/>
      <c r="J6" s="127"/>
      <c r="K6" s="127"/>
      <c r="L6" s="141"/>
      <c r="M6" s="681"/>
      <c r="N6" s="682"/>
      <c r="O6" s="682"/>
      <c r="P6" s="682"/>
      <c r="Q6" s="683"/>
      <c r="R6" s="128"/>
      <c r="S6" s="129" t="str">
        <f>'Sprachen &amp; Rückgabewerte(3)'!$H$7</f>
        <v xml:space="preserve">Objekt: </v>
      </c>
      <c r="T6" s="127"/>
      <c r="U6" s="127"/>
      <c r="V6" s="127"/>
      <c r="W6" s="127"/>
      <c r="X6" s="90"/>
      <c r="Y6" s="666"/>
      <c r="Z6" s="667"/>
      <c r="AA6" s="667"/>
      <c r="AB6" s="667"/>
      <c r="AC6" s="667"/>
      <c r="AD6" s="667"/>
      <c r="AE6" s="667"/>
      <c r="AF6" s="668"/>
      <c r="AG6" s="128"/>
      <c r="AH6" s="129" t="str">
        <f>'Sprachen &amp; Rückgabewerte(3)'!H56</f>
        <v>Stück:</v>
      </c>
      <c r="AI6" s="127"/>
      <c r="AJ6" s="675"/>
      <c r="AK6" s="676"/>
      <c r="AL6" s="677"/>
      <c r="AM6" s="112"/>
      <c r="AN6" s="129" t="str">
        <f>IF($AT$5="",'Sprachen &amp; Rückgabewerte(3)'!$H$11,'Sprachen &amp; Rückgabewerte(3)'!$H$12)</f>
        <v>3-gleisig</v>
      </c>
      <c r="AO6" s="127"/>
      <c r="AP6" s="127"/>
      <c r="AQ6" s="127"/>
      <c r="AR6" s="127"/>
      <c r="AS6" s="127"/>
      <c r="AT6" s="128"/>
      <c r="AU6" s="110"/>
      <c r="AW6" s="235"/>
      <c r="AX6" s="61"/>
      <c r="AY6" s="61"/>
      <c r="AZ6" s="61"/>
      <c r="BA6" s="61"/>
      <c r="BB6" s="237"/>
      <c r="BD6" s="235"/>
      <c r="BE6" s="553"/>
      <c r="BF6" s="554"/>
      <c r="BG6" s="556"/>
      <c r="BH6" s="417"/>
      <c r="BI6" s="237"/>
    </row>
    <row r="7" spans="1:64" ht="12" customHeight="1" x14ac:dyDescent="0.2">
      <c r="B7" s="60"/>
      <c r="C7" s="126"/>
      <c r="D7" s="127"/>
      <c r="E7" s="67"/>
      <c r="F7" s="127" t="str">
        <f>'Sprachen &amp; Rückgabewerte(3)'!$H$6</f>
        <v>Gemäss Skizze: (Ansicht von Aussen)</v>
      </c>
      <c r="G7" s="127"/>
      <c r="H7" s="127"/>
      <c r="I7" s="127"/>
      <c r="J7" s="127"/>
      <c r="K7" s="127"/>
      <c r="L7" s="127"/>
      <c r="M7" s="127"/>
      <c r="N7" s="127"/>
      <c r="O7" s="127"/>
      <c r="P7" s="127"/>
      <c r="Q7" s="127"/>
      <c r="R7" s="128"/>
      <c r="S7" s="129" t="str">
        <f>'Sprachen &amp; Rückgabewerte(3)'!$H$8</f>
        <v>Bestelldatum:</v>
      </c>
      <c r="T7" s="127"/>
      <c r="U7" s="127"/>
      <c r="V7" s="127"/>
      <c r="W7" s="127"/>
      <c r="X7" s="90"/>
      <c r="Y7" s="678"/>
      <c r="Z7" s="679"/>
      <c r="AA7" s="679"/>
      <c r="AB7" s="679"/>
      <c r="AC7" s="679"/>
      <c r="AD7" s="679"/>
      <c r="AE7" s="679"/>
      <c r="AF7" s="680"/>
      <c r="AG7" s="142"/>
      <c r="AH7" s="129" t="str">
        <f>'Sprachen &amp; Rückgabewerte(3)'!H57</f>
        <v>Seite:</v>
      </c>
      <c r="AI7" s="143"/>
      <c r="AJ7" s="663"/>
      <c r="AK7" s="664"/>
      <c r="AL7" s="665"/>
      <c r="AM7" s="112"/>
      <c r="AN7" s="129"/>
      <c r="AO7" s="90"/>
      <c r="AP7" s="141"/>
      <c r="AQ7" s="141"/>
      <c r="AR7" s="141"/>
      <c r="AS7" s="141"/>
      <c r="AT7" s="128"/>
      <c r="AU7" s="110"/>
      <c r="AW7" s="235"/>
      <c r="AX7" s="441" t="str">
        <f>'Sprachen &amp; Rückgabewerte(3)'!H193</f>
        <v>Sonstiges:</v>
      </c>
      <c r="AY7" s="61"/>
      <c r="AZ7" s="61"/>
      <c r="BA7" s="61"/>
      <c r="BB7" s="237"/>
      <c r="BD7" s="235"/>
      <c r="BE7" s="61"/>
      <c r="BF7" s="61"/>
      <c r="BG7" s="61"/>
      <c r="BH7" s="61"/>
      <c r="BI7" s="237"/>
    </row>
    <row r="8" spans="1:64" ht="7.5" customHeight="1" thickBot="1" x14ac:dyDescent="0.25">
      <c r="B8" s="60"/>
      <c r="C8" s="130"/>
      <c r="D8" s="131"/>
      <c r="E8" s="131"/>
      <c r="F8" s="131"/>
      <c r="G8" s="131"/>
      <c r="H8" s="131"/>
      <c r="I8" s="131"/>
      <c r="J8" s="131"/>
      <c r="K8" s="131"/>
      <c r="L8" s="131"/>
      <c r="M8" s="131"/>
      <c r="N8" s="131"/>
      <c r="O8" s="131"/>
      <c r="P8" s="131"/>
      <c r="Q8" s="131"/>
      <c r="R8" s="132"/>
      <c r="S8" s="130"/>
      <c r="T8" s="131"/>
      <c r="U8" s="131"/>
      <c r="V8" s="131"/>
      <c r="W8" s="131"/>
      <c r="X8" s="131"/>
      <c r="Y8" s="131"/>
      <c r="Z8" s="131"/>
      <c r="AA8" s="131"/>
      <c r="AB8" s="131"/>
      <c r="AC8" s="131"/>
      <c r="AD8" s="131"/>
      <c r="AE8" s="131"/>
      <c r="AF8" s="131"/>
      <c r="AG8" s="132"/>
      <c r="AH8" s="130"/>
      <c r="AI8" s="131"/>
      <c r="AJ8" s="131"/>
      <c r="AK8" s="131"/>
      <c r="AL8" s="131"/>
      <c r="AM8" s="113"/>
      <c r="AN8" s="130"/>
      <c r="AO8" s="131"/>
      <c r="AP8" s="131"/>
      <c r="AQ8" s="131"/>
      <c r="AR8" s="131"/>
      <c r="AS8" s="131"/>
      <c r="AT8" s="132"/>
      <c r="AU8" s="110"/>
      <c r="AW8" s="235"/>
      <c r="AX8" s="442"/>
      <c r="AY8" s="61"/>
      <c r="AZ8" s="61"/>
      <c r="BA8" s="61"/>
      <c r="BB8" s="237"/>
      <c r="BD8" s="235"/>
      <c r="BE8" s="61"/>
      <c r="BF8" s="61"/>
      <c r="BG8" s="61"/>
      <c r="BH8" s="61"/>
      <c r="BI8" s="237"/>
    </row>
    <row r="9" spans="1:64" ht="15" customHeight="1" thickTop="1" x14ac:dyDescent="0.2">
      <c r="A9" s="645" t="str">
        <f>IF('Sprachen &amp; Rückgabewerte(3)'!L62=1,'Sprachen &amp; Rückgabewerte(3)'!$H$132,"")</f>
        <v/>
      </c>
      <c r="B9" s="220"/>
      <c r="C9" s="60"/>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3"/>
      <c r="AN9" s="61"/>
      <c r="AO9" s="61"/>
      <c r="AP9" s="61"/>
      <c r="AQ9" s="61"/>
      <c r="AR9" s="61"/>
      <c r="AS9" s="61"/>
      <c r="AT9" s="110"/>
      <c r="AU9" s="110"/>
      <c r="AW9" s="235"/>
      <c r="AX9" s="442" t="str">
        <f>'Sprachen &amp; Rückgabewerte(3)'!H194</f>
        <v>Sichtbare Rahmenprofile (aussen):</v>
      </c>
      <c r="AY9" s="61"/>
      <c r="AZ9" s="550"/>
      <c r="BA9" s="551"/>
      <c r="BB9" s="237"/>
      <c r="BD9" s="235"/>
      <c r="BE9" s="557">
        <f>ROUND(SUM(BJ5,BK5,BL5),1)</f>
        <v>0</v>
      </c>
      <c r="BF9" s="558"/>
      <c r="BG9" s="559"/>
      <c r="BH9" s="150" t="s">
        <v>176</v>
      </c>
      <c r="BI9" s="237"/>
    </row>
    <row r="10" spans="1:64" ht="15" customHeight="1" thickBot="1" x14ac:dyDescent="0.25">
      <c r="A10" s="646"/>
      <c r="B10" s="220"/>
      <c r="C10" s="60"/>
      <c r="D10" s="61"/>
      <c r="E10" s="61"/>
      <c r="F10" s="652"/>
      <c r="G10" s="653"/>
      <c r="H10" s="61"/>
      <c r="I10" s="61"/>
      <c r="J10" s="652"/>
      <c r="K10" s="653"/>
      <c r="L10" s="61"/>
      <c r="M10" s="61"/>
      <c r="N10" s="652"/>
      <c r="O10" s="653"/>
      <c r="P10" s="61"/>
      <c r="Q10" s="61"/>
      <c r="R10" s="652"/>
      <c r="S10" s="653"/>
      <c r="T10" s="61"/>
      <c r="U10" s="61"/>
      <c r="V10" s="652"/>
      <c r="W10" s="653"/>
      <c r="X10" s="61"/>
      <c r="Y10" s="61"/>
      <c r="Z10" s="652"/>
      <c r="AA10" s="653"/>
      <c r="AB10" s="61"/>
      <c r="AC10" s="61"/>
      <c r="AD10" s="652"/>
      <c r="AE10" s="653"/>
      <c r="AF10" s="61"/>
      <c r="AG10" s="61"/>
      <c r="AH10" s="652"/>
      <c r="AI10" s="653"/>
      <c r="AJ10" s="61"/>
      <c r="AK10" s="61"/>
      <c r="AL10" s="652"/>
      <c r="AM10" s="653"/>
      <c r="AN10" s="61"/>
      <c r="AO10" s="61"/>
      <c r="AP10" s="652"/>
      <c r="AQ10" s="653"/>
      <c r="AR10" s="61"/>
      <c r="AS10" s="61"/>
      <c r="AT10" s="110"/>
      <c r="AU10" s="110"/>
      <c r="AW10" s="235"/>
      <c r="AX10" s="442" t="str">
        <f>'Sprachen &amp; Rückgabewerte(3)'!H195</f>
        <v>Lieferung Glas und Rahmen:</v>
      </c>
      <c r="AY10" s="61"/>
      <c r="AZ10" s="550"/>
      <c r="BA10" s="551"/>
      <c r="BB10" s="237"/>
      <c r="BD10" s="251"/>
      <c r="BE10" s="241"/>
      <c r="BF10" s="241"/>
      <c r="BG10" s="241"/>
      <c r="BH10" s="241"/>
      <c r="BI10" s="243"/>
    </row>
    <row r="11" spans="1:64" ht="15" customHeight="1" thickTop="1" thickBot="1" x14ac:dyDescent="0.25">
      <c r="A11" s="647"/>
      <c r="B11" s="220"/>
      <c r="C11" s="231">
        <f>COUNTBLANK(E11:AO11)</f>
        <v>37</v>
      </c>
      <c r="D11" s="61"/>
      <c r="E11" s="67"/>
      <c r="F11" s="67"/>
      <c r="G11" s="67"/>
      <c r="H11" s="156"/>
      <c r="I11" s="156"/>
      <c r="J11" s="67"/>
      <c r="K11" s="67"/>
      <c r="L11" s="156"/>
      <c r="M11" s="156"/>
      <c r="N11" s="67"/>
      <c r="O11" s="67"/>
      <c r="P11" s="156"/>
      <c r="Q11" s="156"/>
      <c r="R11" s="67"/>
      <c r="S11" s="67"/>
      <c r="T11" s="156"/>
      <c r="U11" s="156"/>
      <c r="V11" s="67"/>
      <c r="W11" s="67"/>
      <c r="X11" s="156"/>
      <c r="Y11" s="156"/>
      <c r="Z11" s="67"/>
      <c r="AA11" s="67"/>
      <c r="AB11" s="156"/>
      <c r="AC11" s="156"/>
      <c r="AD11" s="67"/>
      <c r="AE11" s="67"/>
      <c r="AF11" s="156"/>
      <c r="AG11" s="156"/>
      <c r="AH11" s="67"/>
      <c r="AI11" s="67"/>
      <c r="AJ11" s="156"/>
      <c r="AK11" s="156"/>
      <c r="AL11" s="67"/>
      <c r="AM11" s="67"/>
      <c r="AN11" s="156"/>
      <c r="AO11" s="156"/>
      <c r="AP11" s="67"/>
      <c r="AQ11" s="67"/>
      <c r="AR11" s="67"/>
      <c r="AS11" s="61"/>
      <c r="AT11" s="110"/>
      <c r="AU11" s="110"/>
      <c r="AW11" s="235"/>
      <c r="AX11" s="61"/>
      <c r="AY11" s="61"/>
      <c r="AZ11" s="61"/>
      <c r="BA11" s="61"/>
      <c r="BB11" s="237"/>
    </row>
    <row r="12" spans="1:64" ht="13.5" customHeight="1" thickTop="1" x14ac:dyDescent="0.2">
      <c r="B12" s="60"/>
      <c r="C12" s="60"/>
      <c r="D12" s="61"/>
      <c r="E12" s="94"/>
      <c r="F12" s="82"/>
      <c r="G12" s="82"/>
      <c r="H12" s="83" t="str">
        <f>IF(F10&lt;&gt;"",IF(AND(F10&gt;0,F10&lt;&gt;"F"),CONCATENATE('Sprachen &amp; Rückgabewerte(3)'!$C$28," ",'Sprachen &amp; Rückgabewerte(3)'!$C$29," ",'Sprachen &amp; Rückgabewerte(3)'!$C$30),'Sprachen &amp; Rückgabewerte(3)'!$C$30),"")</f>
        <v/>
      </c>
      <c r="I12" s="94"/>
      <c r="J12" s="82"/>
      <c r="K12" s="82"/>
      <c r="L12" s="83" t="str">
        <f>IF(J10&lt;&gt;"",IF(AND(J10&gt;0,J10&lt;&gt;"F"),CONCATENATE('Sprachen &amp; Rückgabewerte(3)'!$C$28," ",'Sprachen &amp; Rückgabewerte(3)'!$C$29," ",'Sprachen &amp; Rückgabewerte(3)'!$C$30),'Sprachen &amp; Rückgabewerte(3)'!$C$30),"")</f>
        <v/>
      </c>
      <c r="M12" s="94"/>
      <c r="N12" s="82"/>
      <c r="O12" s="82"/>
      <c r="P12" s="83" t="str">
        <f>IF(N10&lt;&gt;"",IF(AND(N10&gt;0,N10&lt;&gt;"F"),CONCATENATE('Sprachen &amp; Rückgabewerte(3)'!$C$28," ",'Sprachen &amp; Rückgabewerte(3)'!$C$29," ",'Sprachen &amp; Rückgabewerte(3)'!$C$30),'Sprachen &amp; Rückgabewerte(3)'!$C$30),"")</f>
        <v/>
      </c>
      <c r="Q12" s="94"/>
      <c r="R12" s="82"/>
      <c r="S12" s="82"/>
      <c r="T12" s="83" t="str">
        <f>IF(R10&lt;&gt;"",IF(AND(R10&gt;0,R10&lt;&gt;"F"),CONCATENATE('Sprachen &amp; Rückgabewerte(3)'!$C$28," ",'Sprachen &amp; Rückgabewerte(3)'!$C$29," ",'Sprachen &amp; Rückgabewerte(3)'!$C$30),'Sprachen &amp; Rückgabewerte(3)'!$C$30),"")</f>
        <v/>
      </c>
      <c r="U12" s="94"/>
      <c r="V12" s="82"/>
      <c r="W12" s="82"/>
      <c r="X12" s="83" t="str">
        <f>IF(V10&lt;&gt;"",IF(AND(V10&gt;0,V10&lt;&gt;"F"),CONCATENATE('Sprachen &amp; Rückgabewerte(3)'!$C$28," ",'Sprachen &amp; Rückgabewerte(3)'!$C$29," ",'Sprachen &amp; Rückgabewerte(3)'!$C$30),'Sprachen &amp; Rückgabewerte(3)'!$C$30),"")</f>
        <v/>
      </c>
      <c r="Y12" s="94"/>
      <c r="Z12" s="82"/>
      <c r="AA12" s="82"/>
      <c r="AB12" s="83" t="str">
        <f>IF(Z10&lt;&gt;"",IF(AND(Z10&gt;0,Z10&lt;&gt;"F"),CONCATENATE('Sprachen &amp; Rückgabewerte(3)'!$C$28," ",'Sprachen &amp; Rückgabewerte(3)'!$C$29," ",'Sprachen &amp; Rückgabewerte(3)'!$C$30),'Sprachen &amp; Rückgabewerte(3)'!$C$30),"")</f>
        <v/>
      </c>
      <c r="AC12" s="94"/>
      <c r="AD12" s="82"/>
      <c r="AE12" s="82"/>
      <c r="AF12" s="83" t="str">
        <f>IF(AD10&lt;&gt;"",IF(AND(AD10&gt;0,AD10&lt;&gt;"F"),CONCATENATE('Sprachen &amp; Rückgabewerte(3)'!$C$28," ",'Sprachen &amp; Rückgabewerte(3)'!$C$29," ",'Sprachen &amp; Rückgabewerte(3)'!$C$30),'Sprachen &amp; Rückgabewerte(3)'!$C$30),"")</f>
        <v/>
      </c>
      <c r="AG12" s="94"/>
      <c r="AH12" s="82"/>
      <c r="AI12" s="82"/>
      <c r="AJ12" s="83" t="str">
        <f>IF(AH10&lt;&gt;"",IF(AND(AH10&gt;0,AH10&lt;&gt;"F"),CONCATENATE('Sprachen &amp; Rückgabewerte(3)'!$C$28," ",'Sprachen &amp; Rückgabewerte(3)'!$C$29," ",'Sprachen &amp; Rückgabewerte(3)'!$C$30),'Sprachen &amp; Rückgabewerte(3)'!$C$30),"")</f>
        <v/>
      </c>
      <c r="AK12" s="94"/>
      <c r="AL12" s="82"/>
      <c r="AM12" s="82"/>
      <c r="AN12" s="83" t="str">
        <f>IF(AL10&lt;&gt;"",IF(AND(AL10&gt;0,AL10&lt;&gt;"F"),CONCATENATE('Sprachen &amp; Rückgabewerte(3)'!$C$28," ",'Sprachen &amp; Rückgabewerte(3)'!$C$29," ",'Sprachen &amp; Rückgabewerte(3)'!$C$30),'Sprachen &amp; Rückgabewerte(3)'!$C$30),"")</f>
        <v/>
      </c>
      <c r="AO12" s="94"/>
      <c r="AP12" s="82"/>
      <c r="AQ12" s="82"/>
      <c r="AR12" s="83" t="str">
        <f>IF(AP10&lt;&gt;"",IF(AND(AP10&gt;0,AP10&lt;&gt;"F"),CONCATENATE('Sprachen &amp; Rückgabewerte(3)'!$C$28," ",'Sprachen &amp; Rückgabewerte(3)'!$C$29," ",'Sprachen &amp; Rückgabewerte(3)'!$C$30),'Sprachen &amp; Rückgabewerte(3)'!$C$30),"")</f>
        <v/>
      </c>
      <c r="AS12" s="144"/>
      <c r="AT12" s="110"/>
      <c r="AU12" s="110"/>
      <c r="AW12" s="235"/>
      <c r="AX12" s="238"/>
      <c r="AY12" s="61"/>
      <c r="AZ12" s="61"/>
      <c r="BA12" s="61"/>
      <c r="BB12" s="237"/>
    </row>
    <row r="13" spans="1:64" ht="13.5" customHeight="1" x14ac:dyDescent="0.2">
      <c r="B13" s="60"/>
      <c r="C13" s="60"/>
      <c r="D13" s="61"/>
      <c r="E13" s="648" t="str">
        <f>IF(AND('Sprachen &amp; Rückgabewerte(3)'!$I$30=TRUE,$F$10="R"),'Sprachen &amp; Rückgabewerte(3)'!H60,"")</f>
        <v/>
      </c>
      <c r="F13" s="61"/>
      <c r="G13" s="61"/>
      <c r="H13" s="650" t="str">
        <f>IF(AND('Sprachen &amp; Rückgabewerte(3)'!$I$31=TRUE,$F$10="L",$J$10=""),'Sprachen &amp; Rückgabewerte(3)'!$H$60,"")</f>
        <v/>
      </c>
      <c r="I13" s="60"/>
      <c r="J13" s="61"/>
      <c r="K13" s="61"/>
      <c r="L13" s="650" t="str">
        <f>IF(AND('Sprachen &amp; Rückgabewerte(3)'!$I$31=TRUE,$J$10="L",$N$10=""),'Sprachen &amp; Rückgabewerte(3)'!$H$60,"")</f>
        <v/>
      </c>
      <c r="M13" s="60"/>
      <c r="N13" s="61"/>
      <c r="O13" s="61"/>
      <c r="P13" s="650" t="str">
        <f>IF(AND('Sprachen &amp; Rückgabewerte(3)'!$I$31=TRUE,$N$10="L",$R$10=""),'Sprachen &amp; Rückgabewerte(3)'!$H$60,"")</f>
        <v/>
      </c>
      <c r="Q13" s="60"/>
      <c r="R13" s="61"/>
      <c r="S13" s="61"/>
      <c r="T13" s="650" t="str">
        <f>IF(AND('Sprachen &amp; Rückgabewerte(3)'!$I$31=TRUE,$R$10="L",$V$10=""),'Sprachen &amp; Rückgabewerte(3)'!$H$60,"")</f>
        <v/>
      </c>
      <c r="U13" s="60"/>
      <c r="V13" s="61"/>
      <c r="W13" s="61"/>
      <c r="X13" s="650" t="str">
        <f>IF(AND('Sprachen &amp; Rückgabewerte(3)'!$I$31=TRUE,$V$10="L",$Z$10=""),'Sprachen &amp; Rückgabewerte(3)'!$H$60,"")</f>
        <v/>
      </c>
      <c r="Y13" s="60"/>
      <c r="Z13" s="61"/>
      <c r="AA13" s="61"/>
      <c r="AB13" s="650" t="str">
        <f>IF(AND('Sprachen &amp; Rückgabewerte(3)'!$I$31=TRUE,$Z$10="L",$AD$10=""),'Sprachen &amp; Rückgabewerte(3)'!$H$60,"")</f>
        <v/>
      </c>
      <c r="AC13" s="60"/>
      <c r="AD13" s="61"/>
      <c r="AE13" s="61"/>
      <c r="AF13" s="650" t="str">
        <f>IF(AND('Sprachen &amp; Rückgabewerte(3)'!$I$31=TRUE,$AD$10="L",$AH$10=""),'Sprachen &amp; Rückgabewerte(3)'!$H$60,"")</f>
        <v/>
      </c>
      <c r="AG13" s="60"/>
      <c r="AH13" s="61"/>
      <c r="AI13" s="61"/>
      <c r="AJ13" s="650" t="str">
        <f>IF(AND('Sprachen &amp; Rückgabewerte(3)'!$I$31=TRUE,$AH$10="L",$AL$10=""),'Sprachen &amp; Rückgabewerte(3)'!$H$60,"")</f>
        <v/>
      </c>
      <c r="AK13" s="60"/>
      <c r="AL13" s="61"/>
      <c r="AM13" s="61"/>
      <c r="AN13" s="650" t="str">
        <f>IF(AND('Sprachen &amp; Rückgabewerte(3)'!$I$31=TRUE,$AL$10="L",$AP$10=""),'Sprachen &amp; Rückgabewerte(3)'!$H$60,"")</f>
        <v/>
      </c>
      <c r="AO13" s="60"/>
      <c r="AP13" s="61"/>
      <c r="AQ13" s="61"/>
      <c r="AR13" s="650" t="str">
        <f>IF(AND('Sprachen &amp; Rückgabewerte(3)'!$I$31=TRUE,$AP$10="L"),'Sprachen &amp; Rückgabewerte(3)'!$H$60,"")</f>
        <v/>
      </c>
      <c r="AS13" s="145"/>
      <c r="AT13" s="110"/>
      <c r="AU13" s="110"/>
      <c r="AW13" s="235"/>
      <c r="AX13" s="61"/>
      <c r="AY13" s="61"/>
      <c r="AZ13" s="61"/>
      <c r="BA13" s="61"/>
      <c r="BB13" s="237"/>
    </row>
    <row r="14" spans="1:64" ht="13.5" customHeight="1" x14ac:dyDescent="0.2">
      <c r="B14" s="60"/>
      <c r="C14" s="60"/>
      <c r="D14" s="61"/>
      <c r="E14" s="648"/>
      <c r="F14" s="660" t="str">
        <f>IF(F10='Sprachen &amp; Rückgabewerte(3)'!$B$9,'Sprachen &amp; Rückgabewerte(3)'!$C$9,IF(F10='Sprachen &amp; Rückgabewerte(3)'!$B$10,'Sprachen &amp; Rückgabewerte(3)'!$C$10,IF(F10='Sprachen &amp; Rückgabewerte(3)'!$B$11,'Sprachen &amp; Rückgabewerte(3)'!$C$11,IF(F10='Sprachen &amp; Rückgabewerte(3)'!$B$12,'Sprachen &amp; Rückgabewerte(3)'!$C$12,IF(F10='Sprachen &amp; Rückgabewerte(3)'!$B$13,'Sprachen &amp; Rückgabewerte(3)'!$C$13,IF(F10='Sprachen &amp; Rückgabewerte(3)'!$B$14,'Sprachen &amp; Rückgabewerte(3)'!$C$14,""))))))</f>
        <v/>
      </c>
      <c r="G14" s="660"/>
      <c r="H14" s="650"/>
      <c r="I14" s="60"/>
      <c r="J14" s="660" t="str">
        <f>IF(J10='Sprachen &amp; Rückgabewerte(3)'!$B$9,'Sprachen &amp; Rückgabewerte(3)'!$C$9,IF(J10='Sprachen &amp; Rückgabewerte(3)'!$B$10,'Sprachen &amp; Rückgabewerte(3)'!$C$10,IF(J10='Sprachen &amp; Rückgabewerte(3)'!$B$11,'Sprachen &amp; Rückgabewerte(3)'!$C$11,IF(J10='Sprachen &amp; Rückgabewerte(3)'!$B$12,'Sprachen &amp; Rückgabewerte(3)'!$C$12,IF(J10='Sprachen &amp; Rückgabewerte(3)'!$B$13,'Sprachen &amp; Rückgabewerte(3)'!$C$13,IF(J10='Sprachen &amp; Rückgabewerte(3)'!$B$14,'Sprachen &amp; Rückgabewerte(3)'!$C$14,""))))))</f>
        <v/>
      </c>
      <c r="K14" s="660"/>
      <c r="L14" s="650"/>
      <c r="M14" s="60"/>
      <c r="N14" s="660" t="str">
        <f>IF(N10='Sprachen &amp; Rückgabewerte(3)'!$B$9,'Sprachen &amp; Rückgabewerte(3)'!$C$9,IF(N10='Sprachen &amp; Rückgabewerte(3)'!$B$10,'Sprachen &amp; Rückgabewerte(3)'!$C$10,IF(N10='Sprachen &amp; Rückgabewerte(3)'!$B$11,'Sprachen &amp; Rückgabewerte(3)'!$C$11,IF(N10='Sprachen &amp; Rückgabewerte(3)'!$B$12,'Sprachen &amp; Rückgabewerte(3)'!$C$12,IF(N10='Sprachen &amp; Rückgabewerte(3)'!$B$13,'Sprachen &amp; Rückgabewerte(3)'!$C$13,IF(N10='Sprachen &amp; Rückgabewerte(3)'!$B$14,'Sprachen &amp; Rückgabewerte(3)'!$C$14,""))))))</f>
        <v/>
      </c>
      <c r="O14" s="660"/>
      <c r="P14" s="650"/>
      <c r="Q14" s="60"/>
      <c r="R14" s="660" t="str">
        <f>IF(R10='Sprachen &amp; Rückgabewerte(3)'!$B$9,'Sprachen &amp; Rückgabewerte(3)'!$C$9,IF(R10='Sprachen &amp; Rückgabewerte(3)'!$B$10,'Sprachen &amp; Rückgabewerte(3)'!$C$10,IF(R10='Sprachen &amp; Rückgabewerte(3)'!$B$11,'Sprachen &amp; Rückgabewerte(3)'!$C$11,IF(R10='Sprachen &amp; Rückgabewerte(3)'!$B$12,'Sprachen &amp; Rückgabewerte(3)'!$C$12,IF(R10='Sprachen &amp; Rückgabewerte(3)'!$B$13,'Sprachen &amp; Rückgabewerte(3)'!$C$13,IF(R10='Sprachen &amp; Rückgabewerte(3)'!$B$14,'Sprachen &amp; Rückgabewerte(3)'!$C$14,""))))))</f>
        <v/>
      </c>
      <c r="S14" s="660"/>
      <c r="T14" s="650"/>
      <c r="U14" s="60"/>
      <c r="V14" s="660" t="str">
        <f>IF(V10='Sprachen &amp; Rückgabewerte(3)'!$B$9,'Sprachen &amp; Rückgabewerte(3)'!$C$9,IF(V10='Sprachen &amp; Rückgabewerte(3)'!$B$10,'Sprachen &amp; Rückgabewerte(3)'!$C$10,IF(V10='Sprachen &amp; Rückgabewerte(3)'!$B$11,'Sprachen &amp; Rückgabewerte(3)'!$C$11,IF(V10='Sprachen &amp; Rückgabewerte(3)'!$B$12,'Sprachen &amp; Rückgabewerte(3)'!$C$12,IF(V10='Sprachen &amp; Rückgabewerte(3)'!$B$13,'Sprachen &amp; Rückgabewerte(3)'!$C$13,IF(V10='Sprachen &amp; Rückgabewerte(3)'!$B$14,'Sprachen &amp; Rückgabewerte(3)'!$C$14,""))))))</f>
        <v/>
      </c>
      <c r="W14" s="660"/>
      <c r="X14" s="650"/>
      <c r="Y14" s="60"/>
      <c r="Z14" s="660" t="str">
        <f>IF(Z10='Sprachen &amp; Rückgabewerte(3)'!$B$9,'Sprachen &amp; Rückgabewerte(3)'!$C$9,IF(Z10='Sprachen &amp; Rückgabewerte(3)'!$B$10,'Sprachen &amp; Rückgabewerte(3)'!$C$10,IF(Z10='Sprachen &amp; Rückgabewerte(3)'!$B$11,'Sprachen &amp; Rückgabewerte(3)'!$C$11,IF(Z10='Sprachen &amp; Rückgabewerte(3)'!$B$12,'Sprachen &amp; Rückgabewerte(3)'!$C$12,IF(Z10='Sprachen &amp; Rückgabewerte(3)'!$B$13,'Sprachen &amp; Rückgabewerte(3)'!$C$13,IF(Z10='Sprachen &amp; Rückgabewerte(3)'!$B$14,'Sprachen &amp; Rückgabewerte(3)'!$C$14,""))))))</f>
        <v/>
      </c>
      <c r="AA14" s="660"/>
      <c r="AB14" s="650"/>
      <c r="AC14" s="60"/>
      <c r="AD14" s="660" t="str">
        <f>IF(AD10='Sprachen &amp; Rückgabewerte(3)'!$B$9,'Sprachen &amp; Rückgabewerte(3)'!$C$9,IF(AD10='Sprachen &amp; Rückgabewerte(3)'!$B$10,'Sprachen &amp; Rückgabewerte(3)'!$C$10,IF(AD10='Sprachen &amp; Rückgabewerte(3)'!$B$11,'Sprachen &amp; Rückgabewerte(3)'!$C$11,IF(AD10='Sprachen &amp; Rückgabewerte(3)'!$B$12,'Sprachen &amp; Rückgabewerte(3)'!$C$12,IF(AD10='Sprachen &amp; Rückgabewerte(3)'!$B$13,'Sprachen &amp; Rückgabewerte(3)'!$C$13,IF(AD10='Sprachen &amp; Rückgabewerte(3)'!$B$14,'Sprachen &amp; Rückgabewerte(3)'!$C$14,""))))))</f>
        <v/>
      </c>
      <c r="AE14" s="660"/>
      <c r="AF14" s="650"/>
      <c r="AG14" s="60"/>
      <c r="AH14" s="660" t="str">
        <f>IF(AH10='Sprachen &amp; Rückgabewerte(3)'!$B$9,'Sprachen &amp; Rückgabewerte(3)'!$C$9,IF(AH10='Sprachen &amp; Rückgabewerte(3)'!$B$10,'Sprachen &amp; Rückgabewerte(3)'!$C$10,IF(AH10='Sprachen &amp; Rückgabewerte(3)'!$B$11,'Sprachen &amp; Rückgabewerte(3)'!$C$11,IF(AH10='Sprachen &amp; Rückgabewerte(3)'!$B$12,'Sprachen &amp; Rückgabewerte(3)'!$C$12,IF(AH10='Sprachen &amp; Rückgabewerte(3)'!$B$13,'Sprachen &amp; Rückgabewerte(3)'!$C$13,IF(AH10='Sprachen &amp; Rückgabewerte(3)'!$B$14,'Sprachen &amp; Rückgabewerte(3)'!$C$14,""))))))</f>
        <v/>
      </c>
      <c r="AI14" s="660"/>
      <c r="AJ14" s="650"/>
      <c r="AK14" s="60"/>
      <c r="AL14" s="660" t="str">
        <f>IF(AL10='Sprachen &amp; Rückgabewerte(3)'!$B$9,'Sprachen &amp; Rückgabewerte(3)'!$C$9,IF(AL10='Sprachen &amp; Rückgabewerte(3)'!$B$10,'Sprachen &amp; Rückgabewerte(3)'!$C$10,IF(AL10='Sprachen &amp; Rückgabewerte(3)'!$B$11,'Sprachen &amp; Rückgabewerte(3)'!$C$11,IF(AL10='Sprachen &amp; Rückgabewerte(3)'!$B$12,'Sprachen &amp; Rückgabewerte(3)'!$C$12,IF(AL10='Sprachen &amp; Rückgabewerte(3)'!$B$13,'Sprachen &amp; Rückgabewerte(3)'!$C$13,IF(AL10='Sprachen &amp; Rückgabewerte(3)'!$B$14,'Sprachen &amp; Rückgabewerte(3)'!$C$14,""))))))</f>
        <v/>
      </c>
      <c r="AM14" s="660"/>
      <c r="AN14" s="650"/>
      <c r="AO14" s="60"/>
      <c r="AP14" s="660" t="str">
        <f>IF(AP10='Sprachen &amp; Rückgabewerte(3)'!$B$9,'Sprachen &amp; Rückgabewerte(3)'!$C$9,IF(AP10='Sprachen &amp; Rückgabewerte(3)'!$B$10,'Sprachen &amp; Rückgabewerte(3)'!$C$10,IF(AP10='Sprachen &amp; Rückgabewerte(3)'!$B$11,'Sprachen &amp; Rückgabewerte(3)'!$C$11,IF(AP10='Sprachen &amp; Rückgabewerte(3)'!$B$12,'Sprachen &amp; Rückgabewerte(3)'!$C$12,IF(AP10='Sprachen &amp; Rückgabewerte(3)'!$B$13,'Sprachen &amp; Rückgabewerte(3)'!$C$13,IF(AP10='Sprachen &amp; Rückgabewerte(3)'!$B$14,'Sprachen &amp; Rückgabewerte(3)'!$C$14,""))))))</f>
        <v/>
      </c>
      <c r="AQ14" s="660"/>
      <c r="AR14" s="650"/>
      <c r="AS14" s="144"/>
      <c r="AT14" s="110"/>
      <c r="AU14" s="110"/>
      <c r="AW14" s="235"/>
      <c r="AX14" s="149" t="str">
        <f>'Sprachen &amp; Rückgabewerte(3)'!H131</f>
        <v>Bemerkungen:</v>
      </c>
      <c r="AY14" s="61"/>
      <c r="AZ14" s="61"/>
      <c r="BA14" s="61"/>
      <c r="BB14" s="237"/>
    </row>
    <row r="15" spans="1:64" ht="13.5" customHeight="1" x14ac:dyDescent="0.2">
      <c r="B15" s="60"/>
      <c r="C15" s="60"/>
      <c r="D15" s="61"/>
      <c r="E15" s="648"/>
      <c r="F15" s="660"/>
      <c r="G15" s="660"/>
      <c r="H15" s="650"/>
      <c r="I15" s="60"/>
      <c r="J15" s="660"/>
      <c r="K15" s="660"/>
      <c r="L15" s="650"/>
      <c r="M15" s="60"/>
      <c r="N15" s="660"/>
      <c r="O15" s="660"/>
      <c r="P15" s="650"/>
      <c r="Q15" s="60"/>
      <c r="R15" s="660"/>
      <c r="S15" s="660"/>
      <c r="T15" s="650"/>
      <c r="U15" s="60"/>
      <c r="V15" s="660"/>
      <c r="W15" s="660"/>
      <c r="X15" s="650"/>
      <c r="Y15" s="60"/>
      <c r="Z15" s="660"/>
      <c r="AA15" s="660"/>
      <c r="AB15" s="650"/>
      <c r="AC15" s="60"/>
      <c r="AD15" s="660"/>
      <c r="AE15" s="660"/>
      <c r="AF15" s="650"/>
      <c r="AG15" s="60"/>
      <c r="AH15" s="660"/>
      <c r="AI15" s="660"/>
      <c r="AJ15" s="650"/>
      <c r="AK15" s="60"/>
      <c r="AL15" s="660"/>
      <c r="AM15" s="660"/>
      <c r="AN15" s="650"/>
      <c r="AO15" s="60"/>
      <c r="AP15" s="660"/>
      <c r="AQ15" s="660"/>
      <c r="AR15" s="650"/>
      <c r="AS15" s="61"/>
      <c r="AT15" s="110"/>
      <c r="AU15" s="110"/>
      <c r="AW15" s="235"/>
      <c r="AX15" s="684" t="s">
        <v>480</v>
      </c>
      <c r="AY15" s="685"/>
      <c r="AZ15" s="685"/>
      <c r="BA15" s="686"/>
      <c r="BB15" s="237"/>
    </row>
    <row r="16" spans="1:64" ht="13.5" customHeight="1" x14ac:dyDescent="0.2">
      <c r="B16" s="60"/>
      <c r="C16" s="60"/>
      <c r="D16" s="61"/>
      <c r="E16" s="648"/>
      <c r="F16" s="654"/>
      <c r="G16" s="654"/>
      <c r="H16" s="650"/>
      <c r="I16" s="60"/>
      <c r="J16" s="654"/>
      <c r="K16" s="654"/>
      <c r="L16" s="650"/>
      <c r="M16" s="60"/>
      <c r="N16" s="654"/>
      <c r="O16" s="654"/>
      <c r="P16" s="650"/>
      <c r="Q16" s="60"/>
      <c r="R16" s="654"/>
      <c r="S16" s="654"/>
      <c r="T16" s="650"/>
      <c r="U16" s="60"/>
      <c r="V16" s="654"/>
      <c r="W16" s="654"/>
      <c r="X16" s="650"/>
      <c r="Y16" s="60"/>
      <c r="Z16" s="654"/>
      <c r="AA16" s="654"/>
      <c r="AB16" s="650"/>
      <c r="AC16" s="60"/>
      <c r="AD16" s="654"/>
      <c r="AE16" s="654"/>
      <c r="AF16" s="650"/>
      <c r="AG16" s="60"/>
      <c r="AH16" s="654"/>
      <c r="AI16" s="654"/>
      <c r="AJ16" s="650"/>
      <c r="AK16" s="60"/>
      <c r="AL16" s="654"/>
      <c r="AM16" s="654"/>
      <c r="AN16" s="650"/>
      <c r="AO16" s="60"/>
      <c r="AP16" s="654"/>
      <c r="AQ16" s="654"/>
      <c r="AR16" s="650"/>
      <c r="AS16" s="61"/>
      <c r="AT16" s="110"/>
      <c r="AU16" s="110"/>
      <c r="AW16" s="239"/>
      <c r="AX16" s="687"/>
      <c r="AY16" s="688"/>
      <c r="AZ16" s="688"/>
      <c r="BA16" s="689"/>
      <c r="BB16" s="237"/>
    </row>
    <row r="17" spans="1:54" ht="13.5" customHeight="1" x14ac:dyDescent="0.2">
      <c r="B17" s="60"/>
      <c r="C17" s="60"/>
      <c r="D17" s="61"/>
      <c r="E17" s="648"/>
      <c r="F17" s="654"/>
      <c r="G17" s="654"/>
      <c r="H17" s="650"/>
      <c r="I17" s="60"/>
      <c r="J17" s="654"/>
      <c r="K17" s="654"/>
      <c r="L17" s="650"/>
      <c r="M17" s="60"/>
      <c r="N17" s="654"/>
      <c r="O17" s="654"/>
      <c r="P17" s="650"/>
      <c r="Q17" s="60"/>
      <c r="R17" s="654"/>
      <c r="S17" s="654"/>
      <c r="T17" s="650"/>
      <c r="U17" s="60"/>
      <c r="V17" s="654"/>
      <c r="W17" s="654"/>
      <c r="X17" s="650"/>
      <c r="Y17" s="60"/>
      <c r="Z17" s="654"/>
      <c r="AA17" s="654"/>
      <c r="AB17" s="650"/>
      <c r="AC17" s="60"/>
      <c r="AD17" s="654"/>
      <c r="AE17" s="654"/>
      <c r="AF17" s="650"/>
      <c r="AG17" s="60"/>
      <c r="AH17" s="654"/>
      <c r="AI17" s="654"/>
      <c r="AJ17" s="650"/>
      <c r="AK17" s="60"/>
      <c r="AL17" s="654"/>
      <c r="AM17" s="654"/>
      <c r="AN17" s="650"/>
      <c r="AO17" s="60"/>
      <c r="AP17" s="654"/>
      <c r="AQ17" s="654"/>
      <c r="AR17" s="650"/>
      <c r="AS17" s="61"/>
      <c r="AT17" s="110"/>
      <c r="AU17" s="110"/>
      <c r="AW17" s="239"/>
      <c r="AX17" s="687"/>
      <c r="AY17" s="688"/>
      <c r="AZ17" s="688"/>
      <c r="BA17" s="689"/>
      <c r="BB17" s="237"/>
    </row>
    <row r="18" spans="1:54" ht="13.5" customHeight="1" x14ac:dyDescent="0.2">
      <c r="B18" s="60"/>
      <c r="C18" s="60"/>
      <c r="D18" s="61"/>
      <c r="E18" s="648"/>
      <c r="F18" s="445"/>
      <c r="G18" s="445"/>
      <c r="H18" s="650"/>
      <c r="I18" s="60"/>
      <c r="J18" s="445"/>
      <c r="K18" s="445"/>
      <c r="L18" s="650"/>
      <c r="M18" s="60"/>
      <c r="N18" s="445"/>
      <c r="O18" s="445"/>
      <c r="P18" s="650"/>
      <c r="Q18" s="60"/>
      <c r="R18" s="445"/>
      <c r="S18" s="445"/>
      <c r="T18" s="650"/>
      <c r="U18" s="60"/>
      <c r="V18" s="445"/>
      <c r="W18" s="445"/>
      <c r="X18" s="650"/>
      <c r="Y18" s="60"/>
      <c r="Z18" s="445"/>
      <c r="AA18" s="445"/>
      <c r="AB18" s="650"/>
      <c r="AC18" s="60"/>
      <c r="AD18" s="445"/>
      <c r="AE18" s="445"/>
      <c r="AF18" s="650"/>
      <c r="AG18" s="60"/>
      <c r="AH18" s="445"/>
      <c r="AI18" s="445"/>
      <c r="AJ18" s="650"/>
      <c r="AK18" s="60"/>
      <c r="AL18" s="445"/>
      <c r="AM18" s="445"/>
      <c r="AN18" s="650"/>
      <c r="AO18" s="60"/>
      <c r="AP18" s="445"/>
      <c r="AQ18" s="445"/>
      <c r="AR18" s="650"/>
      <c r="AS18" s="61"/>
      <c r="AT18" s="110"/>
      <c r="AU18" s="110"/>
      <c r="AW18" s="239"/>
      <c r="AX18" s="690"/>
      <c r="AY18" s="691"/>
      <c r="AZ18" s="691"/>
      <c r="BA18" s="692"/>
      <c r="BB18" s="237"/>
    </row>
    <row r="19" spans="1:54" ht="13.5" customHeight="1" x14ac:dyDescent="0.2">
      <c r="B19" s="60"/>
      <c r="C19" s="60"/>
      <c r="D19" s="61"/>
      <c r="E19" s="649"/>
      <c r="F19" s="84"/>
      <c r="G19" s="84"/>
      <c r="H19" s="651"/>
      <c r="I19" s="68"/>
      <c r="J19" s="84"/>
      <c r="K19" s="84"/>
      <c r="L19" s="651"/>
      <c r="M19" s="68"/>
      <c r="N19" s="84"/>
      <c r="O19" s="84"/>
      <c r="P19" s="651"/>
      <c r="Q19" s="68"/>
      <c r="R19" s="84"/>
      <c r="S19" s="84"/>
      <c r="T19" s="651"/>
      <c r="U19" s="68"/>
      <c r="V19" s="84"/>
      <c r="W19" s="84"/>
      <c r="X19" s="651"/>
      <c r="Y19" s="68"/>
      <c r="Z19" s="84"/>
      <c r="AA19" s="84"/>
      <c r="AB19" s="651"/>
      <c r="AC19" s="68"/>
      <c r="AD19" s="84"/>
      <c r="AE19" s="84"/>
      <c r="AF19" s="651"/>
      <c r="AG19" s="68"/>
      <c r="AH19" s="84"/>
      <c r="AI19" s="84"/>
      <c r="AJ19" s="651"/>
      <c r="AK19" s="68"/>
      <c r="AL19" s="84"/>
      <c r="AM19" s="84"/>
      <c r="AN19" s="651"/>
      <c r="AO19" s="68"/>
      <c r="AP19" s="84"/>
      <c r="AQ19" s="84"/>
      <c r="AR19" s="651"/>
      <c r="AS19" s="61"/>
      <c r="AT19" s="110"/>
      <c r="AU19" s="110"/>
      <c r="AW19" s="239"/>
      <c r="AX19" s="694" t="str">
        <f>IF('Sprachen &amp; Rückgabewerte(3)'!U83=FALSE,'Sprachen &amp; Rückgabewerte(3)'!H155,'Sprachen &amp; Rückgabewerte(3)'!H156)</f>
        <v>Bestellformular unvollständig!</v>
      </c>
      <c r="AY19" s="694"/>
      <c r="AZ19" s="694"/>
      <c r="BA19" s="694"/>
      <c r="BB19" s="237"/>
    </row>
    <row r="20" spans="1:54" ht="13.5" customHeight="1" thickBot="1" x14ac:dyDescent="0.25">
      <c r="B20" s="60"/>
      <c r="C20" s="60"/>
      <c r="D20" s="61"/>
      <c r="E20" s="61"/>
      <c r="F20" s="90" t="str">
        <f>'Sprachen &amp; Rückgabewerte(3)'!$H$124</f>
        <v>Ecke:</v>
      </c>
      <c r="G20" s="658"/>
      <c r="H20" s="658"/>
      <c r="I20" s="659"/>
      <c r="J20" s="659"/>
      <c r="K20" s="659"/>
      <c r="L20" s="659"/>
      <c r="M20" s="659"/>
      <c r="N20" s="659"/>
      <c r="O20" s="659"/>
      <c r="P20" s="659"/>
      <c r="Q20" s="659"/>
      <c r="R20" s="659"/>
      <c r="S20" s="659"/>
      <c r="T20" s="659"/>
      <c r="U20" s="659"/>
      <c r="V20" s="659"/>
      <c r="W20" s="659"/>
      <c r="X20" s="659"/>
      <c r="Y20" s="659"/>
      <c r="Z20" s="659"/>
      <c r="AA20" s="659"/>
      <c r="AB20" s="659"/>
      <c r="AC20" s="659"/>
      <c r="AD20" s="659"/>
      <c r="AE20" s="659"/>
      <c r="AF20" s="659"/>
      <c r="AG20" s="659"/>
      <c r="AH20" s="659"/>
      <c r="AI20" s="659"/>
      <c r="AJ20" s="659"/>
      <c r="AK20" s="659"/>
      <c r="AL20" s="659"/>
      <c r="AM20" s="659"/>
      <c r="AN20" s="659"/>
      <c r="AO20" s="658"/>
      <c r="AP20" s="658"/>
      <c r="AQ20" s="61"/>
      <c r="AR20" s="62"/>
      <c r="AS20" s="61"/>
      <c r="AT20" s="110"/>
      <c r="AU20" s="110"/>
      <c r="AW20" s="240"/>
      <c r="AX20" s="695"/>
      <c r="AY20" s="695"/>
      <c r="AZ20" s="695"/>
      <c r="BA20" s="695"/>
      <c r="BB20" s="243"/>
    </row>
    <row r="21" spans="1:54" ht="13.5" customHeight="1" thickTop="1" thickBot="1" x14ac:dyDescent="0.25">
      <c r="B21" s="60"/>
      <c r="C21" s="60"/>
      <c r="D21" s="61"/>
      <c r="E21" s="64"/>
      <c r="F21" s="90" t="str">
        <f>IF(OR(G20='Sprachen &amp; Rückgabewerte(3)'!$H$106,G20='Sprachen &amp; Rückgabewerte(3)'!$H$107,K20='Sprachen &amp; Rückgabewerte(3)'!$H$106,K20='Sprachen &amp; Rückgabewerte(3)'!$H$107,O20='Sprachen &amp; Rückgabewerte(3)'!$H$106,O20='Sprachen &amp; Rückgabewerte(3)'!$H$107,S20='Sprachen &amp; Rückgabewerte(3)'!$H$106,S20='Sprachen &amp; Rückgabewerte(3)'!$H$107,W20='Sprachen &amp; Rückgabewerte(3)'!$H$106,W20='Sprachen &amp; Rückgabewerte(3)'!$H$107,AA20='Sprachen &amp; Rückgabewerte(3)'!$H$106,AA20='Sprachen &amp; Rückgabewerte(3)'!$H$107,AE20='Sprachen &amp; Rückgabewerte(3)'!$H$106,AE20='Sprachen &amp; Rückgabewerte(3)'!$H$107,AI20='Sprachen &amp; Rückgabewerte(3)'!$H$106,AI20='Sprachen &amp; Rückgabewerte(3)'!$H$107,AM20='Sprachen &amp; Rückgabewerte(3)'!$H$106,AM20='Sprachen &amp; Rückgabewerte(3)'!$H$107),'Sprachen &amp; Rückgabewerte(3)'!$H$108,"")</f>
        <v/>
      </c>
      <c r="G21" s="65"/>
      <c r="H21" s="656">
        <v>85</v>
      </c>
      <c r="I21" s="656"/>
      <c r="J21" s="66"/>
      <c r="K21" s="66"/>
      <c r="L21" s="656"/>
      <c r="M21" s="656"/>
      <c r="N21" s="657"/>
      <c r="O21" s="657"/>
      <c r="P21" s="656"/>
      <c r="Q21" s="656"/>
      <c r="R21" s="693"/>
      <c r="S21" s="693"/>
      <c r="T21" s="656"/>
      <c r="U21" s="656"/>
      <c r="V21" s="657"/>
      <c r="W21" s="657"/>
      <c r="X21" s="656"/>
      <c r="Y21" s="656"/>
      <c r="Z21" s="657"/>
      <c r="AA21" s="657"/>
      <c r="AB21" s="656"/>
      <c r="AC21" s="656"/>
      <c r="AD21" s="657"/>
      <c r="AE21" s="657"/>
      <c r="AF21" s="656"/>
      <c r="AG21" s="656"/>
      <c r="AH21" s="657"/>
      <c r="AI21" s="657"/>
      <c r="AJ21" s="656"/>
      <c r="AK21" s="656"/>
      <c r="AL21" s="657"/>
      <c r="AM21" s="657"/>
      <c r="AN21" s="656"/>
      <c r="AO21" s="656"/>
      <c r="AP21" s="61"/>
      <c r="AQ21" s="61"/>
      <c r="AR21" s="62"/>
      <c r="AS21" s="61"/>
      <c r="AT21" s="110"/>
      <c r="AU21" s="110"/>
      <c r="AW21" s="146"/>
      <c r="AY21" s="184"/>
      <c r="AZ21" s="184"/>
      <c r="BA21" s="184"/>
    </row>
    <row r="22" spans="1:54" ht="9.75" customHeight="1" thickTop="1" x14ac:dyDescent="0.2">
      <c r="B22" s="60"/>
      <c r="C22" s="60"/>
      <c r="D22" s="61"/>
      <c r="E22" s="655"/>
      <c r="F22" s="655"/>
      <c r="G22" s="655"/>
      <c r="H22" s="655"/>
      <c r="I22" s="655"/>
      <c r="J22" s="655"/>
      <c r="K22" s="655"/>
      <c r="L22" s="655"/>
      <c r="M22" s="655"/>
      <c r="N22" s="655"/>
      <c r="O22" s="655"/>
      <c r="P22" s="655"/>
      <c r="Q22" s="655"/>
      <c r="R22" s="655"/>
      <c r="S22" s="655"/>
      <c r="T22" s="655"/>
      <c r="U22" s="655"/>
      <c r="V22" s="655"/>
      <c r="W22" s="655"/>
      <c r="X22" s="655"/>
      <c r="Y22" s="655"/>
      <c r="Z22" s="655"/>
      <c r="AA22" s="655"/>
      <c r="AB22" s="655"/>
      <c r="AC22" s="655"/>
      <c r="AD22" s="655"/>
      <c r="AE22" s="655"/>
      <c r="AF22" s="655"/>
      <c r="AG22" s="655"/>
      <c r="AH22" s="655"/>
      <c r="AI22" s="655"/>
      <c r="AJ22" s="655"/>
      <c r="AK22" s="655"/>
      <c r="AL22" s="655"/>
      <c r="AM22" s="655"/>
      <c r="AN22" s="655"/>
      <c r="AO22" s="655"/>
      <c r="AP22" s="655"/>
      <c r="AQ22" s="655"/>
      <c r="AR22" s="655"/>
      <c r="AS22" s="61"/>
      <c r="AT22" s="110"/>
      <c r="AU22" s="110"/>
      <c r="AW22" s="232"/>
      <c r="AX22" s="696" t="str">
        <f>'Sprachen &amp; Rückgabewerte(3)'!H157</f>
        <v>B2B-Login Projektnr:</v>
      </c>
      <c r="AY22" s="696"/>
      <c r="AZ22" s="696"/>
      <c r="BA22" s="696"/>
      <c r="BB22" s="234"/>
    </row>
    <row r="23" spans="1:54" ht="9.9499999999999993" customHeight="1" x14ac:dyDescent="0.2">
      <c r="B23" s="60"/>
      <c r="C23" s="60"/>
      <c r="D23" s="61"/>
      <c r="E23" s="571"/>
      <c r="F23" s="571"/>
      <c r="G23" s="571"/>
      <c r="H23" s="571"/>
      <c r="I23" s="571"/>
      <c r="J23" s="571"/>
      <c r="K23" s="571"/>
      <c r="L23" s="571"/>
      <c r="M23" s="571"/>
      <c r="N23" s="571"/>
      <c r="O23" s="571"/>
      <c r="P23" s="571"/>
      <c r="Q23" s="571"/>
      <c r="R23" s="571"/>
      <c r="S23" s="571"/>
      <c r="T23" s="571"/>
      <c r="U23" s="571"/>
      <c r="V23" s="571"/>
      <c r="W23" s="571"/>
      <c r="X23" s="571"/>
      <c r="Y23" s="571"/>
      <c r="Z23" s="571"/>
      <c r="AA23" s="571"/>
      <c r="AB23" s="571"/>
      <c r="AC23" s="571"/>
      <c r="AD23" s="571"/>
      <c r="AE23" s="571"/>
      <c r="AF23" s="571"/>
      <c r="AG23" s="571"/>
      <c r="AH23" s="571"/>
      <c r="AI23" s="571"/>
      <c r="AJ23" s="571"/>
      <c r="AK23" s="571"/>
      <c r="AL23" s="571"/>
      <c r="AM23" s="571"/>
      <c r="AN23" s="571"/>
      <c r="AO23" s="571"/>
      <c r="AP23" s="571"/>
      <c r="AQ23" s="571"/>
      <c r="AR23" s="571"/>
      <c r="AS23" s="67"/>
      <c r="AT23" s="110"/>
      <c r="AU23" s="110"/>
      <c r="AW23" s="235"/>
      <c r="AX23" s="697"/>
      <c r="AY23" s="697"/>
      <c r="AZ23" s="697"/>
      <c r="BA23" s="697"/>
      <c r="BB23" s="237"/>
    </row>
    <row r="24" spans="1:54" ht="9.9499999999999993" customHeight="1" x14ac:dyDescent="0.2">
      <c r="B24" s="60"/>
      <c r="C24" s="60"/>
      <c r="D24" s="61"/>
      <c r="E24" s="571"/>
      <c r="F24" s="571"/>
      <c r="G24" s="571"/>
      <c r="H24" s="571"/>
      <c r="I24" s="571"/>
      <c r="J24" s="571"/>
      <c r="K24" s="571"/>
      <c r="L24" s="571"/>
      <c r="M24" s="571"/>
      <c r="N24" s="571"/>
      <c r="O24" s="571"/>
      <c r="P24" s="571"/>
      <c r="Q24" s="571"/>
      <c r="R24" s="571"/>
      <c r="S24" s="571"/>
      <c r="T24" s="571"/>
      <c r="U24" s="571"/>
      <c r="V24" s="571"/>
      <c r="W24" s="571"/>
      <c r="X24" s="571"/>
      <c r="Y24" s="571"/>
      <c r="Z24" s="571"/>
      <c r="AA24" s="571"/>
      <c r="AB24" s="571"/>
      <c r="AC24" s="571"/>
      <c r="AD24" s="571"/>
      <c r="AE24" s="571"/>
      <c r="AF24" s="571"/>
      <c r="AG24" s="571"/>
      <c r="AH24" s="571"/>
      <c r="AI24" s="571"/>
      <c r="AJ24" s="571"/>
      <c r="AK24" s="571"/>
      <c r="AL24" s="571"/>
      <c r="AM24" s="571"/>
      <c r="AN24" s="571"/>
      <c r="AO24" s="571"/>
      <c r="AP24" s="571"/>
      <c r="AQ24" s="571"/>
      <c r="AR24" s="571"/>
      <c r="AS24" s="67"/>
      <c r="AT24" s="110"/>
      <c r="AU24" s="110"/>
      <c r="AW24" s="235"/>
      <c r="AX24" s="697"/>
      <c r="AY24" s="697"/>
      <c r="AZ24" s="697"/>
      <c r="BA24" s="697"/>
      <c r="BB24" s="237"/>
    </row>
    <row r="25" spans="1:54" ht="9.9499999999999993" customHeight="1" x14ac:dyDescent="0.2">
      <c r="B25" s="60"/>
      <c r="C25" s="60"/>
      <c r="D25" s="61"/>
      <c r="E25" s="571"/>
      <c r="F25" s="571"/>
      <c r="G25" s="571"/>
      <c r="H25" s="571"/>
      <c r="I25" s="571"/>
      <c r="J25" s="571"/>
      <c r="K25" s="571"/>
      <c r="L25" s="571"/>
      <c r="M25" s="571"/>
      <c r="N25" s="571"/>
      <c r="O25" s="571"/>
      <c r="P25" s="571"/>
      <c r="Q25" s="571"/>
      <c r="R25" s="571"/>
      <c r="S25" s="571"/>
      <c r="T25" s="571"/>
      <c r="U25" s="571"/>
      <c r="V25" s="571"/>
      <c r="W25" s="571"/>
      <c r="X25" s="571"/>
      <c r="Y25" s="571"/>
      <c r="Z25" s="571"/>
      <c r="AA25" s="571"/>
      <c r="AB25" s="571"/>
      <c r="AC25" s="571"/>
      <c r="AD25" s="571"/>
      <c r="AE25" s="571"/>
      <c r="AF25" s="571"/>
      <c r="AG25" s="571"/>
      <c r="AH25" s="571"/>
      <c r="AI25" s="571"/>
      <c r="AJ25" s="571"/>
      <c r="AK25" s="571"/>
      <c r="AL25" s="571"/>
      <c r="AM25" s="571"/>
      <c r="AN25" s="571"/>
      <c r="AO25" s="571"/>
      <c r="AP25" s="571"/>
      <c r="AQ25" s="571"/>
      <c r="AR25" s="571"/>
      <c r="AS25" s="67"/>
      <c r="AT25" s="110"/>
      <c r="AU25" s="110"/>
      <c r="AW25" s="235"/>
      <c r="AX25" s="565"/>
      <c r="AY25" s="566"/>
      <c r="AZ25" s="567"/>
      <c r="BA25" s="184"/>
      <c r="BB25" s="237"/>
    </row>
    <row r="26" spans="1:54" ht="9.9499999999999993" customHeight="1" x14ac:dyDescent="0.2">
      <c r="B26" s="60"/>
      <c r="C26" s="60"/>
      <c r="D26" s="61"/>
      <c r="E26" s="571"/>
      <c r="F26" s="571"/>
      <c r="G26" s="571"/>
      <c r="H26" s="571"/>
      <c r="I26" s="571"/>
      <c r="J26" s="571"/>
      <c r="K26" s="571"/>
      <c r="L26" s="571"/>
      <c r="M26" s="571"/>
      <c r="N26" s="571"/>
      <c r="O26" s="571"/>
      <c r="P26" s="571"/>
      <c r="Q26" s="571"/>
      <c r="R26" s="571"/>
      <c r="S26" s="571"/>
      <c r="T26" s="571"/>
      <c r="U26" s="571"/>
      <c r="V26" s="571"/>
      <c r="W26" s="571"/>
      <c r="X26" s="571"/>
      <c r="Y26" s="571"/>
      <c r="Z26" s="571"/>
      <c r="AA26" s="571"/>
      <c r="AB26" s="571"/>
      <c r="AC26" s="571"/>
      <c r="AD26" s="571"/>
      <c r="AE26" s="571"/>
      <c r="AF26" s="571"/>
      <c r="AG26" s="571"/>
      <c r="AH26" s="571"/>
      <c r="AI26" s="571"/>
      <c r="AJ26" s="571"/>
      <c r="AK26" s="571"/>
      <c r="AL26" s="571"/>
      <c r="AM26" s="571"/>
      <c r="AN26" s="571"/>
      <c r="AO26" s="571"/>
      <c r="AP26" s="571"/>
      <c r="AQ26" s="571"/>
      <c r="AR26" s="571"/>
      <c r="AS26" s="67"/>
      <c r="AT26" s="110"/>
      <c r="AU26" s="110"/>
      <c r="AW26" s="235"/>
      <c r="AX26" s="568"/>
      <c r="AY26" s="569"/>
      <c r="AZ26" s="570"/>
      <c r="BA26" s="184"/>
      <c r="BB26" s="237"/>
    </row>
    <row r="27" spans="1:54" ht="15.75" customHeight="1" thickBot="1" x14ac:dyDescent="0.25">
      <c r="B27" s="60"/>
      <c r="C27" s="60"/>
      <c r="D27" s="61"/>
      <c r="E27" s="91"/>
      <c r="F27" s="92"/>
      <c r="G27" s="92"/>
      <c r="H27" s="93"/>
      <c r="I27" s="91"/>
      <c r="J27" s="92"/>
      <c r="K27" s="92"/>
      <c r="L27" s="93"/>
      <c r="M27" s="91"/>
      <c r="N27" s="92"/>
      <c r="O27" s="92"/>
      <c r="P27" s="93"/>
      <c r="Q27" s="91"/>
      <c r="R27" s="92"/>
      <c r="S27" s="92"/>
      <c r="T27" s="93"/>
      <c r="U27" s="91"/>
      <c r="V27" s="92"/>
      <c r="W27" s="92"/>
      <c r="X27" s="93"/>
      <c r="Y27" s="91"/>
      <c r="Z27" s="92"/>
      <c r="AA27" s="92"/>
      <c r="AB27" s="93"/>
      <c r="AC27" s="91"/>
      <c r="AD27" s="92"/>
      <c r="AE27" s="92"/>
      <c r="AF27" s="93"/>
      <c r="AG27" s="91"/>
      <c r="AH27" s="92"/>
      <c r="AI27" s="92"/>
      <c r="AJ27" s="93"/>
      <c r="AK27" s="91"/>
      <c r="AL27" s="92"/>
      <c r="AM27" s="92"/>
      <c r="AN27" s="93"/>
      <c r="AO27" s="91"/>
      <c r="AP27" s="92"/>
      <c r="AQ27" s="92"/>
      <c r="AR27" s="93"/>
      <c r="AS27" s="67"/>
      <c r="AT27" s="110"/>
      <c r="AU27" s="110"/>
      <c r="AW27" s="235"/>
      <c r="AX27" s="311"/>
      <c r="AY27" s="184"/>
      <c r="AZ27" s="184"/>
      <c r="BA27" s="184"/>
      <c r="BB27" s="237"/>
    </row>
    <row r="28" spans="1:54" ht="18" customHeight="1" thickBot="1" x14ac:dyDescent="0.25">
      <c r="A28" s="151" t="str">
        <f>IF('Sprachen &amp; Rückgabewerte(3)'!$I$13=TRUE,'Sprachen &amp; Rückgabewerte(3)'!$H$58,"")</f>
        <v/>
      </c>
      <c r="B28" s="220"/>
      <c r="C28" s="60"/>
      <c r="D28" s="84"/>
      <c r="E28" s="572"/>
      <c r="F28" s="573"/>
      <c r="G28" s="573"/>
      <c r="H28" s="574"/>
      <c r="I28" s="572"/>
      <c r="J28" s="573"/>
      <c r="K28" s="573"/>
      <c r="L28" s="574"/>
      <c r="M28" s="572"/>
      <c r="N28" s="573"/>
      <c r="O28" s="573"/>
      <c r="P28" s="574"/>
      <c r="Q28" s="572"/>
      <c r="R28" s="573"/>
      <c r="S28" s="573"/>
      <c r="T28" s="574"/>
      <c r="U28" s="572"/>
      <c r="V28" s="573"/>
      <c r="W28" s="573"/>
      <c r="X28" s="574"/>
      <c r="Y28" s="572"/>
      <c r="Z28" s="573"/>
      <c r="AA28" s="573"/>
      <c r="AB28" s="574"/>
      <c r="AC28" s="572"/>
      <c r="AD28" s="573"/>
      <c r="AE28" s="573"/>
      <c r="AF28" s="574"/>
      <c r="AG28" s="572"/>
      <c r="AH28" s="573"/>
      <c r="AI28" s="573"/>
      <c r="AJ28" s="574"/>
      <c r="AK28" s="572"/>
      <c r="AL28" s="573"/>
      <c r="AM28" s="573"/>
      <c r="AN28" s="574"/>
      <c r="AO28" s="572"/>
      <c r="AP28" s="573"/>
      <c r="AQ28" s="573"/>
      <c r="AR28" s="574"/>
      <c r="AS28" s="68"/>
      <c r="AT28" s="110"/>
      <c r="AU28" s="110"/>
      <c r="AW28" s="251"/>
      <c r="AX28" s="241"/>
      <c r="AY28" s="242"/>
      <c r="AZ28" s="242"/>
      <c r="BA28" s="242"/>
      <c r="BB28" s="243"/>
    </row>
    <row r="29" spans="1:54" ht="7.5" customHeight="1" x14ac:dyDescent="0.2">
      <c r="B29" s="60"/>
      <c r="C29" s="60"/>
      <c r="D29" s="61"/>
      <c r="E29" s="69"/>
      <c r="F29" s="70"/>
      <c r="G29" s="70"/>
      <c r="H29" s="71"/>
      <c r="I29" s="70"/>
      <c r="J29" s="70"/>
      <c r="K29" s="70"/>
      <c r="L29" s="71"/>
      <c r="M29" s="70"/>
      <c r="N29" s="70"/>
      <c r="O29" s="70"/>
      <c r="P29" s="71"/>
      <c r="Q29" s="70"/>
      <c r="R29" s="70"/>
      <c r="S29" s="70"/>
      <c r="T29" s="71"/>
      <c r="U29" s="70"/>
      <c r="V29" s="70"/>
      <c r="W29" s="70"/>
      <c r="X29" s="71"/>
      <c r="Y29" s="70"/>
      <c r="Z29" s="70"/>
      <c r="AA29" s="70"/>
      <c r="AB29" s="71"/>
      <c r="AC29" s="70"/>
      <c r="AD29" s="70"/>
      <c r="AE29" s="70"/>
      <c r="AF29" s="71"/>
      <c r="AG29" s="70"/>
      <c r="AH29" s="70"/>
      <c r="AI29" s="70"/>
      <c r="AJ29" s="71"/>
      <c r="AK29" s="69"/>
      <c r="AL29" s="70"/>
      <c r="AM29" s="70"/>
      <c r="AN29" s="71"/>
      <c r="AO29" s="69"/>
      <c r="AP29" s="70"/>
      <c r="AQ29" s="70"/>
      <c r="AR29" s="71"/>
      <c r="AS29" s="61"/>
      <c r="AT29" s="110"/>
      <c r="AU29" s="110"/>
      <c r="AY29" s="184"/>
      <c r="AZ29" s="184"/>
      <c r="BA29" s="184"/>
    </row>
    <row r="30" spans="1:54" ht="10.5" customHeight="1" x14ac:dyDescent="0.2">
      <c r="B30" s="60"/>
      <c r="C30" s="68"/>
      <c r="D30" s="84"/>
      <c r="E30" s="444"/>
      <c r="F30" s="444"/>
      <c r="G30" s="444"/>
      <c r="H30" s="444"/>
      <c r="I30" s="444"/>
      <c r="J30" s="444"/>
      <c r="K30" s="444"/>
      <c r="L30" s="444"/>
      <c r="M30" s="444"/>
      <c r="N30" s="444"/>
      <c r="O30" s="444"/>
      <c r="P30" s="444"/>
      <c r="Q30" s="444"/>
      <c r="R30" s="444"/>
      <c r="S30" s="444"/>
      <c r="T30" s="444"/>
      <c r="U30" s="444"/>
      <c r="V30" s="444"/>
      <c r="W30" s="444"/>
      <c r="X30" s="444"/>
      <c r="Y30" s="444"/>
      <c r="Z30" s="444"/>
      <c r="AA30" s="444"/>
      <c r="AB30" s="444"/>
      <c r="AC30" s="444"/>
      <c r="AD30" s="444"/>
      <c r="AE30" s="444"/>
      <c r="AF30" s="444"/>
      <c r="AG30" s="444"/>
      <c r="AH30" s="444"/>
      <c r="AI30" s="444"/>
      <c r="AJ30" s="444"/>
      <c r="AK30" s="444"/>
      <c r="AL30" s="444"/>
      <c r="AM30" s="444"/>
      <c r="AN30" s="444"/>
      <c r="AO30" s="444"/>
      <c r="AP30" s="444"/>
      <c r="AQ30" s="444"/>
      <c r="AR30" s="444"/>
      <c r="AS30" s="84"/>
      <c r="AT30" s="111"/>
      <c r="AU30" s="110"/>
      <c r="AW30" s="588" t="str">
        <f>IF('Sprachen &amp; Rückgabewerte(3)'!$I$19=TRUE,'Sprachen &amp; Rückgabewerte(3)'!$H$137,"")</f>
        <v/>
      </c>
      <c r="AX30" s="589"/>
      <c r="AY30" s="589"/>
      <c r="AZ30" s="589"/>
      <c r="BA30" s="590"/>
    </row>
    <row r="31" spans="1:54" ht="11.25" customHeight="1" x14ac:dyDescent="0.2">
      <c r="B31" s="60"/>
      <c r="C31" s="61"/>
      <c r="D31" s="61"/>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61"/>
      <c r="AL31" s="61"/>
      <c r="AM31" s="63"/>
      <c r="AN31" s="61"/>
      <c r="AO31" s="61"/>
      <c r="AP31" s="61"/>
      <c r="AQ31" s="61"/>
      <c r="AR31" s="61"/>
      <c r="AS31" s="61"/>
      <c r="AT31" s="61"/>
      <c r="AU31" s="110"/>
      <c r="AW31" s="591"/>
      <c r="AX31" s="592"/>
      <c r="AY31" s="592"/>
      <c r="AZ31" s="592"/>
      <c r="BA31" s="593"/>
    </row>
    <row r="32" spans="1:54" ht="12.75" customHeight="1" x14ac:dyDescent="0.2">
      <c r="B32" s="60"/>
      <c r="C32" s="107"/>
      <c r="D32" s="82"/>
      <c r="E32" s="82"/>
      <c r="F32" s="82"/>
      <c r="G32" s="82"/>
      <c r="H32" s="82"/>
      <c r="I32" s="82"/>
      <c r="J32" s="82"/>
      <c r="K32" s="82"/>
      <c r="L32" s="82"/>
      <c r="M32" s="82"/>
      <c r="N32" s="82"/>
      <c r="O32" s="82"/>
      <c r="P32" s="82"/>
      <c r="Q32" s="82"/>
      <c r="R32" s="82"/>
      <c r="S32" s="82"/>
      <c r="T32" s="82"/>
      <c r="U32" s="82"/>
      <c r="V32" s="82"/>
      <c r="W32" s="82"/>
      <c r="X32" s="82"/>
      <c r="Y32" s="82"/>
      <c r="Z32" s="82"/>
      <c r="AA32" s="82"/>
      <c r="AB32" s="109"/>
      <c r="AC32" s="61"/>
      <c r="AD32" s="107"/>
      <c r="AE32" s="116" t="str">
        <f>'Sprachen &amp; Rückgabewerte(3)'!$H$134</f>
        <v>Features</v>
      </c>
      <c r="AF32" s="116"/>
      <c r="AG32" s="82"/>
      <c r="AH32" s="82"/>
      <c r="AI32" s="82"/>
      <c r="AJ32" s="82"/>
      <c r="AK32" s="82"/>
      <c r="AL32" s="82"/>
      <c r="AM32" s="133"/>
      <c r="AN32" s="82"/>
      <c r="AO32" s="82"/>
      <c r="AP32" s="82"/>
      <c r="AQ32" s="82"/>
      <c r="AR32" s="82"/>
      <c r="AS32" s="82"/>
      <c r="AT32" s="109"/>
      <c r="AU32" s="199"/>
      <c r="AV32" s="109"/>
      <c r="AW32" s="591"/>
      <c r="AX32" s="592"/>
      <c r="AY32" s="592"/>
      <c r="AZ32" s="592"/>
      <c r="BA32" s="593"/>
    </row>
    <row r="33" spans="2:53" ht="12.75" customHeight="1" x14ac:dyDescent="0.2">
      <c r="B33" s="60"/>
      <c r="C33" s="60"/>
      <c r="D33" s="72"/>
      <c r="E33" s="443"/>
      <c r="F33" s="442" t="str">
        <f>'Sprachen &amp; Rückgabewerte(3)'!$H$13</f>
        <v>Teilung Achsmasse</v>
      </c>
      <c r="G33" s="72"/>
      <c r="H33" s="72"/>
      <c r="I33" s="72"/>
      <c r="J33" s="72"/>
      <c r="K33" s="72"/>
      <c r="L33" s="72"/>
      <c r="M33" s="72"/>
      <c r="N33" s="72"/>
      <c r="O33" s="72"/>
      <c r="P33" s="72"/>
      <c r="Q33" s="72"/>
      <c r="R33" s="72"/>
      <c r="S33" s="72"/>
      <c r="T33" s="72"/>
      <c r="U33" s="72"/>
      <c r="V33" s="72"/>
      <c r="W33" s="72"/>
      <c r="X33" s="72"/>
      <c r="Y33" s="72"/>
      <c r="Z33" s="72"/>
      <c r="AA33" s="72"/>
      <c r="AB33" s="118"/>
      <c r="AC33" s="72"/>
      <c r="AD33" s="117"/>
      <c r="AE33" s="72"/>
      <c r="AF33" s="72" t="str">
        <f>'Sprachen &amp; Rückgabewerte(3)'!$H$15</f>
        <v>Standard</v>
      </c>
      <c r="AH33" s="72"/>
      <c r="AI33" s="72"/>
      <c r="AJ33" s="72"/>
      <c r="AK33" s="72"/>
      <c r="AL33" s="72"/>
      <c r="AM33" s="72"/>
      <c r="AN33" s="443"/>
      <c r="AO33" s="72" t="str">
        <f>'Sprachen &amp; Rückgabewerte(3)'!$H$25</f>
        <v>Pool</v>
      </c>
      <c r="AQ33" s="72"/>
      <c r="AR33" s="72"/>
      <c r="AS33" s="442"/>
      <c r="AT33" s="110"/>
      <c r="AU33" s="110"/>
      <c r="AW33" s="185" t="str">
        <f>IF(AND(F$10&gt;0,'Sprachen &amp; Rückgabewerte(3)'!$I$19=TRUE),CONCATENATE("Pos. ",'Pos. 3'!$B$2,".1"),"")</f>
        <v/>
      </c>
      <c r="AX33" s="734"/>
      <c r="AY33" s="735"/>
      <c r="AZ33" s="184"/>
      <c r="BA33" s="186"/>
    </row>
    <row r="34" spans="2:53" ht="12.75" customHeight="1" x14ac:dyDescent="0.2">
      <c r="B34" s="60"/>
      <c r="C34" s="60"/>
      <c r="D34" s="72"/>
      <c r="E34" s="443"/>
      <c r="F34" s="73" t="str">
        <f>'Sprachen &amp; Rückgabewerte(3)'!$H$14</f>
        <v>alle Gläser gleiche Breite (Empfehlung)</v>
      </c>
      <c r="G34" s="72"/>
      <c r="H34" s="72"/>
      <c r="I34" s="72"/>
      <c r="J34" s="72"/>
      <c r="K34" s="72"/>
      <c r="L34" s="72"/>
      <c r="M34" s="72"/>
      <c r="N34" s="72"/>
      <c r="O34" s="72"/>
      <c r="P34" s="72"/>
      <c r="Q34" s="72"/>
      <c r="R34" s="72"/>
      <c r="S34" s="72"/>
      <c r="T34" s="72"/>
      <c r="U34" s="72"/>
      <c r="V34" s="72"/>
      <c r="W34" s="72"/>
      <c r="X34" s="72"/>
      <c r="Y34" s="72"/>
      <c r="Z34" s="72"/>
      <c r="AA34" s="72"/>
      <c r="AB34" s="118"/>
      <c r="AC34" s="72"/>
      <c r="AD34" s="117"/>
      <c r="AE34" s="72"/>
      <c r="AF34" s="72" t="str">
        <f>'Sprachen &amp; Rückgabewerte(3)'!$H$16</f>
        <v>Einbruchschutz RC2</v>
      </c>
      <c r="AH34" s="72"/>
      <c r="AI34" s="72"/>
      <c r="AJ34" s="72"/>
      <c r="AK34" s="72"/>
      <c r="AL34" s="72"/>
      <c r="AM34" s="72"/>
      <c r="AN34" s="443"/>
      <c r="AO34" s="72" t="str">
        <f>'Sprachen &amp; Rückgabewerte(3)'!H125</f>
        <v>NFRC (USA)</v>
      </c>
      <c r="AQ34" s="72"/>
      <c r="AR34" s="72"/>
      <c r="AS34" s="442"/>
      <c r="AT34" s="110"/>
      <c r="AU34" s="110"/>
      <c r="AW34" s="185" t="str">
        <f>IF(AND(J10&gt;0,'Sprachen &amp; Rückgabewerte(3)'!$I$19=TRUE),CONCATENATE("Pos. ",'Pos. 3'!$B$2,".2"),"")</f>
        <v/>
      </c>
      <c r="AX34" s="734"/>
      <c r="AY34" s="735"/>
      <c r="AZ34" s="184"/>
      <c r="BA34" s="186"/>
    </row>
    <row r="35" spans="2:53" ht="12.75" customHeight="1" x14ac:dyDescent="0.2">
      <c r="B35" s="60"/>
      <c r="C35" s="60"/>
      <c r="D35" s="72"/>
      <c r="E35" s="72"/>
      <c r="F35" s="72"/>
      <c r="G35" s="72"/>
      <c r="H35" s="72"/>
      <c r="I35" s="72"/>
      <c r="J35" s="72"/>
      <c r="K35" s="72"/>
      <c r="L35" s="72"/>
      <c r="M35" s="72"/>
      <c r="N35" s="72"/>
      <c r="O35" s="72"/>
      <c r="P35" s="72"/>
      <c r="Q35" s="72"/>
      <c r="R35" s="72"/>
      <c r="S35" s="72"/>
      <c r="T35" s="72"/>
      <c r="U35" s="72"/>
      <c r="V35" s="72"/>
      <c r="W35" s="72"/>
      <c r="X35" s="72"/>
      <c r="Y35" s="72"/>
      <c r="Z35" s="72"/>
      <c r="AA35" s="72"/>
      <c r="AB35" s="118"/>
      <c r="AC35" s="72"/>
      <c r="AD35" s="117"/>
      <c r="AE35" s="72"/>
      <c r="AF35" s="72" t="str">
        <f>'Sprachen &amp; Rückgabewerte(3)'!$H$17</f>
        <v>Positionsüberwachung (P)</v>
      </c>
      <c r="AH35" s="72"/>
      <c r="AI35" s="72"/>
      <c r="AJ35" s="72"/>
      <c r="AK35" s="72"/>
      <c r="AL35" s="72"/>
      <c r="AM35" s="72"/>
      <c r="AN35" s="443"/>
      <c r="AO35" s="72" t="str">
        <f>'Sprachen &amp; Rückgabewerte(3)'!H26</f>
        <v>Schallschutz</v>
      </c>
      <c r="AQ35" s="72"/>
      <c r="AR35" s="72"/>
      <c r="AS35" s="74"/>
      <c r="AT35" s="110"/>
      <c r="AU35" s="110"/>
      <c r="AW35" s="185" t="str">
        <f>IF(AND(N10&gt;0,'Sprachen &amp; Rückgabewerte(3)'!$I$19=TRUE),CONCATENATE("Pos. ",'Pos. 3'!$B$2,".3"),"")</f>
        <v/>
      </c>
      <c r="AX35" s="734"/>
      <c r="AY35" s="735"/>
      <c r="AZ35" s="184"/>
      <c r="BA35" s="186"/>
    </row>
    <row r="36" spans="2:53" ht="12.75" customHeight="1" x14ac:dyDescent="0.2">
      <c r="B36" s="60"/>
      <c r="C36" s="60"/>
      <c r="D36" s="72"/>
      <c r="E36" s="72"/>
      <c r="F36" s="72"/>
      <c r="G36" s="72"/>
      <c r="H36" s="72"/>
      <c r="I36" s="72"/>
      <c r="J36" s="72"/>
      <c r="K36" s="72"/>
      <c r="L36" s="72"/>
      <c r="M36" s="72"/>
      <c r="N36" s="72"/>
      <c r="O36" s="72"/>
      <c r="P36" s="72"/>
      <c r="Q36" s="72"/>
      <c r="R36" s="72"/>
      <c r="S36" s="72"/>
      <c r="T36" s="72"/>
      <c r="U36" s="72"/>
      <c r="V36" s="72"/>
      <c r="W36" s="72"/>
      <c r="X36" s="72"/>
      <c r="Y36" s="72"/>
      <c r="Z36" s="72"/>
      <c r="AA36" s="72"/>
      <c r="AB36" s="118"/>
      <c r="AC36" s="72"/>
      <c r="AD36" s="117"/>
      <c r="AE36" s="72"/>
      <c r="AF36" s="72" t="str">
        <f>'Sprachen &amp; Rückgabewerte(3)'!$H$18</f>
        <v xml:space="preserve">Riegelüberwachung (R) </v>
      </c>
      <c r="AH36" s="72"/>
      <c r="AI36" s="72"/>
      <c r="AJ36" s="72"/>
      <c r="AK36" s="72"/>
      <c r="AL36" s="72"/>
      <c r="AM36" s="72"/>
      <c r="AN36" s="443"/>
      <c r="AO36" s="72" t="str">
        <f>'Sprachen &amp; Rückgabewerte(3)'!H27</f>
        <v>MINERGIE Modul</v>
      </c>
      <c r="AP36" s="72"/>
      <c r="AQ36" s="72"/>
      <c r="AR36" s="72"/>
      <c r="AS36" s="74"/>
      <c r="AT36" s="110"/>
      <c r="AU36" s="110"/>
      <c r="AW36" s="185" t="str">
        <f>IF(AND(R10&gt;0,'Sprachen &amp; Rückgabewerte(3)'!$I$19=TRUE),CONCATENATE("Pos. ",'Pos. 3'!$B$2,".4"),"")</f>
        <v/>
      </c>
      <c r="AX36" s="734"/>
      <c r="AY36" s="735"/>
      <c r="AZ36" s="184"/>
      <c r="BA36" s="186"/>
    </row>
    <row r="37" spans="2:53" ht="12.75" customHeight="1" x14ac:dyDescent="0.2">
      <c r="B37" s="60"/>
      <c r="C37" s="60"/>
      <c r="D37" s="72"/>
      <c r="E37" s="72"/>
      <c r="F37" s="72"/>
      <c r="G37" s="72"/>
      <c r="H37" s="72"/>
      <c r="I37" s="72"/>
      <c r="J37" s="72"/>
      <c r="K37" s="72"/>
      <c r="L37" s="72"/>
      <c r="M37" s="72"/>
      <c r="N37" s="72"/>
      <c r="O37" s="72"/>
      <c r="P37" s="72"/>
      <c r="Q37" s="72"/>
      <c r="R37" s="72"/>
      <c r="S37" s="72"/>
      <c r="T37" s="72"/>
      <c r="U37" s="72"/>
      <c r="V37" s="72"/>
      <c r="W37" s="72"/>
      <c r="X37" s="72"/>
      <c r="Y37" s="72"/>
      <c r="Z37" s="72"/>
      <c r="AA37" s="72"/>
      <c r="AB37" s="118"/>
      <c r="AC37" s="72"/>
      <c r="AD37" s="117"/>
      <c r="AE37" s="72"/>
      <c r="AF37" s="72" t="str">
        <f>'Sprachen &amp; Rückgabewerte(3)'!$H$19</f>
        <v>Glasbruchüberwachung (G)</v>
      </c>
      <c r="AH37" s="72"/>
      <c r="AI37" s="72"/>
      <c r="AJ37" s="72"/>
      <c r="AK37" s="72"/>
      <c r="AL37" s="72"/>
      <c r="AM37" s="72"/>
      <c r="AN37" s="443"/>
      <c r="AO37" s="72" t="str">
        <f>'Sprachen &amp; Rückgabewerte(3)'!H28</f>
        <v>MINERGIE-P Modul</v>
      </c>
      <c r="AP37" s="72"/>
      <c r="AQ37" s="72"/>
      <c r="AR37" s="72"/>
      <c r="AS37" s="74"/>
      <c r="AT37" s="110"/>
      <c r="AU37" s="110"/>
      <c r="AW37" s="185" t="str">
        <f>IF(AND(V10&gt;0,'Sprachen &amp; Rückgabewerte(3)'!$I$19=TRUE),CONCATENATE("Pos. ",'Pos. 3'!$B$2,".5"),"")</f>
        <v/>
      </c>
      <c r="AX37" s="734"/>
      <c r="AY37" s="735"/>
      <c r="AZ37" s="184"/>
      <c r="BA37" s="186"/>
    </row>
    <row r="38" spans="2:53" ht="12.75" customHeight="1" x14ac:dyDescent="0.2">
      <c r="B38" s="60"/>
      <c r="C38" s="60"/>
      <c r="D38" s="72"/>
      <c r="E38" s="72"/>
      <c r="F38" s="72"/>
      <c r="G38" s="72"/>
      <c r="H38" s="72"/>
      <c r="I38" s="72"/>
      <c r="J38" s="72"/>
      <c r="K38" s="72"/>
      <c r="L38" s="72"/>
      <c r="M38" s="72"/>
      <c r="N38" s="72"/>
      <c r="O38" s="72"/>
      <c r="P38" s="72"/>
      <c r="Q38" s="72"/>
      <c r="R38" s="72"/>
      <c r="S38" s="72"/>
      <c r="T38" s="72"/>
      <c r="U38" s="72"/>
      <c r="V38" s="72"/>
      <c r="W38" s="72"/>
      <c r="X38" s="72"/>
      <c r="Y38" s="72"/>
      <c r="Z38" s="72"/>
      <c r="AA38" s="72"/>
      <c r="AB38" s="118"/>
      <c r="AC38" s="72"/>
      <c r="AD38" s="117"/>
      <c r="AE38" s="72"/>
      <c r="AF38" s="662" t="str">
        <f>'Sprachen &amp; Rückgabewerte(3)'!$H$20</f>
        <v>Elektrischer Antrieb, Anzahl</v>
      </c>
      <c r="AG38" s="662"/>
      <c r="AH38" s="662"/>
      <c r="AI38" s="662"/>
      <c r="AJ38" s="662"/>
      <c r="AK38" s="662"/>
      <c r="AL38" s="662"/>
      <c r="AM38" s="661">
        <f>IF('Sprachen &amp; Rückgabewerte(3)'!I20=FALSE,0,COUNTIF(F13:AQ19,"E"))</f>
        <v>0</v>
      </c>
      <c r="AN38" s="661"/>
      <c r="AO38" s="72" t="str">
        <f>'Sprachen &amp; Rückgabewerte(3)'!$H$21</f>
        <v>Stk.</v>
      </c>
      <c r="AQ38" s="72"/>
      <c r="AR38" s="72"/>
      <c r="AS38" s="442"/>
      <c r="AT38" s="110"/>
      <c r="AU38" s="110"/>
      <c r="AW38" s="185" t="str">
        <f>IF(AND(Z10&gt;0,'Sprachen &amp; Rückgabewerte(3)'!$I$19=TRUE),CONCATENATE("Pos. ",'Pos. 3'!$B$2,".6"),"")</f>
        <v/>
      </c>
      <c r="AX38" s="734"/>
      <c r="AY38" s="735"/>
      <c r="AZ38" s="61"/>
      <c r="BA38" s="110"/>
    </row>
    <row r="39" spans="2:53" ht="12.75" customHeight="1" x14ac:dyDescent="0.2">
      <c r="B39" s="60"/>
      <c r="C39" s="60"/>
      <c r="D39" s="72"/>
      <c r="E39" s="72"/>
      <c r="F39" s="72"/>
      <c r="G39" s="72"/>
      <c r="H39" s="72"/>
      <c r="I39" s="72"/>
      <c r="J39" s="72"/>
      <c r="K39" s="72"/>
      <c r="L39" s="72"/>
      <c r="M39" s="72"/>
      <c r="N39" s="72"/>
      <c r="O39" s="72"/>
      <c r="P39" s="72"/>
      <c r="Q39" s="72"/>
      <c r="R39" s="72"/>
      <c r="S39" s="72"/>
      <c r="T39" s="72"/>
      <c r="U39" s="72"/>
      <c r="V39" s="72"/>
      <c r="W39" s="72"/>
      <c r="X39" s="72"/>
      <c r="Y39" s="72"/>
      <c r="Z39" s="72"/>
      <c r="AA39" s="72"/>
      <c r="AB39" s="118"/>
      <c r="AC39" s="72"/>
      <c r="AD39" s="117"/>
      <c r="AE39" s="72"/>
      <c r="AF39" s="72" t="str">
        <f>'Sprachen &amp; Rückgabewerte(3)'!$H$22</f>
        <v>geforderte Klassen:</v>
      </c>
      <c r="AH39" s="72"/>
      <c r="AI39" s="72"/>
      <c r="AJ39" s="72"/>
      <c r="AK39" s="72"/>
      <c r="AL39" s="639"/>
      <c r="AM39" s="640"/>
      <c r="AN39" s="640"/>
      <c r="AO39" s="640"/>
      <c r="AP39" s="640"/>
      <c r="AQ39" s="640"/>
      <c r="AR39" s="640"/>
      <c r="AS39" s="641"/>
      <c r="AT39" s="110"/>
      <c r="AU39" s="110"/>
      <c r="AW39" s="185" t="str">
        <f>IF(AND(AD10&gt;0,'Sprachen &amp; Rückgabewerte(3)'!$I$19=TRUE),CONCATENATE("Pos. ",'Pos. 3'!$B$2,".7"),"")</f>
        <v/>
      </c>
      <c r="AX39" s="734"/>
      <c r="AY39" s="735"/>
      <c r="AZ39" s="61"/>
      <c r="BA39" s="110"/>
    </row>
    <row r="40" spans="2:53" ht="12.75" customHeight="1" x14ac:dyDescent="0.2">
      <c r="B40" s="60"/>
      <c r="C40" s="60"/>
      <c r="D40" s="72"/>
      <c r="E40" s="445"/>
      <c r="F40" s="73" t="str">
        <f>'Sprachen &amp; Rückgabewerte(3)'!H30</f>
        <v>nach rechts</v>
      </c>
      <c r="G40" s="72"/>
      <c r="H40" s="72"/>
      <c r="I40" s="72"/>
      <c r="J40" s="72"/>
      <c r="K40" s="72"/>
      <c r="L40" s="72"/>
      <c r="M40" s="72"/>
      <c r="N40" s="75" t="str">
        <f>'Sprachen &amp; Rückgabewerte(3)'!H31</f>
        <v>nach links</v>
      </c>
      <c r="O40" s="445"/>
      <c r="P40" s="75"/>
      <c r="Q40" s="443"/>
      <c r="R40" s="72"/>
      <c r="S40" s="72"/>
      <c r="T40" s="72"/>
      <c r="U40" s="72"/>
      <c r="V40" s="72"/>
      <c r="W40" s="72"/>
      <c r="X40" s="72"/>
      <c r="Y40" s="72"/>
      <c r="Z40" s="632" t="s">
        <v>176</v>
      </c>
      <c r="AA40" s="72"/>
      <c r="AB40" s="118"/>
      <c r="AC40" s="72"/>
      <c r="AD40" s="119"/>
      <c r="AE40" s="120"/>
      <c r="AF40" s="120" t="str">
        <f>'Sprachen &amp; Rückgabewerte(3)'!H29</f>
        <v>Sky-Frame Gun</v>
      </c>
      <c r="AG40" s="316"/>
      <c r="AH40" s="316"/>
      <c r="AI40" s="316"/>
      <c r="AJ40" s="316"/>
      <c r="AK40" s="316"/>
      <c r="AL40" s="316"/>
      <c r="AM40" s="316"/>
      <c r="AN40" s="316"/>
      <c r="AO40" s="316"/>
      <c r="AP40" s="316"/>
      <c r="AQ40" s="316"/>
      <c r="AR40" s="316"/>
      <c r="AS40" s="120"/>
      <c r="AT40" s="111"/>
      <c r="AU40" s="110"/>
      <c r="AW40" s="185" t="str">
        <f>IF(AND(AH10&gt;0,'Sprachen &amp; Rückgabewerte(3)'!$I$19=TRUE),CONCATENATE("Pos. ",'Pos. 3'!$B$2,".8"),"")</f>
        <v/>
      </c>
      <c r="AX40" s="734"/>
      <c r="AY40" s="735"/>
      <c r="AZ40" s="61"/>
      <c r="BA40" s="110"/>
    </row>
    <row r="41" spans="2:53" ht="12.75" customHeight="1" x14ac:dyDescent="0.2">
      <c r="B41" s="60"/>
      <c r="C41" s="60"/>
      <c r="D41" s="72"/>
      <c r="E41" s="445"/>
      <c r="F41" s="73"/>
      <c r="G41" s="72"/>
      <c r="H41" s="72"/>
      <c r="I41" s="72"/>
      <c r="J41" s="72"/>
      <c r="K41" s="72"/>
      <c r="L41" s="72"/>
      <c r="M41" s="72"/>
      <c r="N41" s="75"/>
      <c r="O41" s="445"/>
      <c r="P41" s="75"/>
      <c r="Q41" s="443"/>
      <c r="R41" s="72"/>
      <c r="S41" s="72"/>
      <c r="T41" s="72"/>
      <c r="U41" s="72"/>
      <c r="V41" s="72"/>
      <c r="W41" s="72"/>
      <c r="X41" s="72"/>
      <c r="Y41" s="72"/>
      <c r="Z41" s="633"/>
      <c r="AA41" s="72"/>
      <c r="AB41" s="118"/>
      <c r="AC41" s="72"/>
      <c r="AD41" s="72"/>
      <c r="AE41" s="72"/>
      <c r="AF41" s="72"/>
      <c r="AG41" s="76"/>
      <c r="AH41" s="76"/>
      <c r="AI41" s="76"/>
      <c r="AJ41" s="76"/>
      <c r="AK41" s="76"/>
      <c r="AL41" s="76"/>
      <c r="AM41" s="76"/>
      <c r="AN41" s="76"/>
      <c r="AO41" s="76"/>
      <c r="AP41" s="76"/>
      <c r="AQ41" s="76"/>
      <c r="AR41" s="76"/>
      <c r="AS41" s="72"/>
      <c r="AT41" s="61"/>
      <c r="AU41" s="110"/>
      <c r="AW41" s="185" t="str">
        <f>IF(AND(AL10&gt;0,'Sprachen &amp; Rückgabewerte(3)'!$I$19=TRUE),CONCATENATE("Pos. ",'Pos. 3'!$B$2,".9"),"")</f>
        <v/>
      </c>
      <c r="AX41" s="734"/>
      <c r="AY41" s="735"/>
      <c r="AZ41" s="61"/>
      <c r="BA41" s="110"/>
    </row>
    <row r="42" spans="2:53" ht="12.75" customHeight="1" x14ac:dyDescent="0.2">
      <c r="B42" s="60"/>
      <c r="C42" s="60"/>
      <c r="D42" s="72"/>
      <c r="E42" s="72"/>
      <c r="F42" s="72"/>
      <c r="G42" s="72"/>
      <c r="H42" s="72"/>
      <c r="I42" s="72"/>
      <c r="J42" s="72"/>
      <c r="K42" s="72"/>
      <c r="L42" s="72"/>
      <c r="M42" s="72"/>
      <c r="N42" s="72"/>
      <c r="O42" s="72"/>
      <c r="P42" s="72"/>
      <c r="Q42" s="72"/>
      <c r="R42" s="72"/>
      <c r="S42" s="72"/>
      <c r="T42" s="72"/>
      <c r="U42" s="72"/>
      <c r="V42" s="72"/>
      <c r="W42" s="72"/>
      <c r="X42" s="72"/>
      <c r="Y42" s="72"/>
      <c r="Z42" s="636"/>
      <c r="AA42" s="72"/>
      <c r="AB42" s="118"/>
      <c r="AC42" s="77"/>
      <c r="AD42" s="114"/>
      <c r="AE42" s="116" t="str">
        <f>'Sprachen &amp; Rückgabewerte(3)'!$H$35</f>
        <v>Oberfläche:</v>
      </c>
      <c r="AF42" s="116"/>
      <c r="AG42" s="115"/>
      <c r="AH42" s="115"/>
      <c r="AI42" s="115"/>
      <c r="AJ42" s="115"/>
      <c r="AK42" s="115"/>
      <c r="AL42" s="115"/>
      <c r="AM42" s="134"/>
      <c r="AN42" s="115"/>
      <c r="AO42" s="115"/>
      <c r="AP42" s="115"/>
      <c r="AQ42" s="115"/>
      <c r="AR42" s="115"/>
      <c r="AS42" s="115"/>
      <c r="AT42" s="109"/>
      <c r="AU42" s="110"/>
      <c r="AW42" s="185" t="str">
        <f>IF(AND(AP10&gt;0,'Sprachen &amp; Rückgabewerte(3)'!$I$19=TRUE),CONCATENATE("Pos. ",'Pos. 3'!$B$2,".10"),"")</f>
        <v/>
      </c>
      <c r="AX42" s="734"/>
      <c r="AY42" s="735"/>
      <c r="AZ42" s="61"/>
      <c r="BA42" s="110"/>
    </row>
    <row r="43" spans="2:53" ht="12.75" customHeight="1" x14ac:dyDescent="0.2">
      <c r="B43" s="60"/>
      <c r="C43" s="60"/>
      <c r="D43" s="72"/>
      <c r="E43" s="72"/>
      <c r="F43" s="72"/>
      <c r="G43" s="72"/>
      <c r="H43" s="72"/>
      <c r="I43" s="72"/>
      <c r="J43" s="72"/>
      <c r="K43" s="72"/>
      <c r="L43" s="72"/>
      <c r="M43" s="72"/>
      <c r="N43" s="72"/>
      <c r="O43" s="72"/>
      <c r="P43" s="72"/>
      <c r="Q43" s="72"/>
      <c r="R43" s="72"/>
      <c r="S43" s="72"/>
      <c r="T43" s="72"/>
      <c r="U43" s="72"/>
      <c r="V43" s="72"/>
      <c r="W43" s="72"/>
      <c r="X43" s="72"/>
      <c r="Y43" s="72"/>
      <c r="Z43" s="637"/>
      <c r="AA43" s="72"/>
      <c r="AB43" s="118"/>
      <c r="AC43" s="77"/>
      <c r="AD43" s="117"/>
      <c r="AE43" s="72"/>
      <c r="AF43" s="174" t="str">
        <f>'Sprachen &amp; Rückgabewerte(3)'!H36</f>
        <v>eloxiert (Qualanod):</v>
      </c>
      <c r="AG43" s="72"/>
      <c r="AH43" s="72"/>
      <c r="AI43" s="72"/>
      <c r="AJ43" s="72"/>
      <c r="AK43" s="72"/>
      <c r="AL43" s="72"/>
      <c r="AM43" s="604"/>
      <c r="AN43" s="604"/>
      <c r="AO43" s="604"/>
      <c r="AP43" s="604"/>
      <c r="AQ43" s="604"/>
      <c r="AR43" s="604"/>
      <c r="AS43" s="604"/>
      <c r="AT43" s="110"/>
      <c r="AU43" s="110"/>
      <c r="AW43" s="200">
        <f>COUNTBLANK(AW33:AW42)</f>
        <v>10</v>
      </c>
      <c r="AX43" s="201">
        <f>COUNTBLANK(AX33:AX42)</f>
        <v>10</v>
      </c>
      <c r="AY43" s="201">
        <f>AW43-AX43</f>
        <v>0</v>
      </c>
      <c r="AZ43" s="84"/>
      <c r="BA43" s="111"/>
    </row>
    <row r="44" spans="2:53" ht="12.75" customHeight="1" x14ac:dyDescent="0.2">
      <c r="B44" s="60"/>
      <c r="C44" s="60"/>
      <c r="D44" s="72"/>
      <c r="E44" s="72"/>
      <c r="F44" s="72"/>
      <c r="G44" s="72"/>
      <c r="H44" s="72"/>
      <c r="I44" s="72"/>
      <c r="J44" s="72"/>
      <c r="K44" s="72"/>
      <c r="L44" s="72"/>
      <c r="M44" s="72"/>
      <c r="N44" s="72"/>
      <c r="O44" s="72"/>
      <c r="P44" s="722" t="str">
        <f>'Sprachen &amp; Rückgabewerte(3)'!$H$33</f>
        <v>Griffhöhe:</v>
      </c>
      <c r="Q44" s="722"/>
      <c r="R44" s="722"/>
      <c r="S44" s="722"/>
      <c r="T44" s="72"/>
      <c r="U44" s="72"/>
      <c r="V44" s="72"/>
      <c r="W44" s="72"/>
      <c r="X44" s="72"/>
      <c r="Y44" s="72"/>
      <c r="Z44" s="637"/>
      <c r="AA44" s="72"/>
      <c r="AB44" s="118"/>
      <c r="AC44" s="77"/>
      <c r="AD44" s="117"/>
      <c r="AE44" s="72"/>
      <c r="AF44" s="443"/>
      <c r="AG44" s="73"/>
      <c r="AH44" s="72"/>
      <c r="AI44" s="72"/>
      <c r="AJ44" s="72"/>
      <c r="AK44" s="72"/>
      <c r="AL44" s="72"/>
      <c r="AM44" s="442"/>
      <c r="AN44" s="443"/>
      <c r="AO44" s="613"/>
      <c r="AP44" s="613"/>
      <c r="AQ44" s="613"/>
      <c r="AR44" s="613"/>
      <c r="AS44" s="613"/>
      <c r="AT44" s="110"/>
      <c r="AU44" s="110"/>
    </row>
    <row r="45" spans="2:53" ht="12.75" customHeight="1" x14ac:dyDescent="0.2">
      <c r="B45" s="60"/>
      <c r="C45" s="60"/>
      <c r="D45" s="72"/>
      <c r="E45" s="72"/>
      <c r="F45" s="72"/>
      <c r="G45" s="72"/>
      <c r="H45" s="72"/>
      <c r="I45" s="72"/>
      <c r="J45" s="72"/>
      <c r="K45" s="72"/>
      <c r="L45" s="72"/>
      <c r="M45" s="72"/>
      <c r="N45" s="72"/>
      <c r="O45" s="72"/>
      <c r="P45" s="722"/>
      <c r="Q45" s="722"/>
      <c r="R45" s="722"/>
      <c r="S45" s="722"/>
      <c r="T45" s="598"/>
      <c r="U45" s="599"/>
      <c r="V45" s="73" t="s">
        <v>176</v>
      </c>
      <c r="W45" s="72"/>
      <c r="X45" s="72"/>
      <c r="Y45" s="72"/>
      <c r="Z45" s="638"/>
      <c r="AA45" s="72"/>
      <c r="AB45" s="118"/>
      <c r="AC45" s="77"/>
      <c r="AD45" s="117"/>
      <c r="AE45" s="72"/>
      <c r="AF45" s="442" t="str">
        <f>'Sprachen &amp; Rückgabewerte(3)'!$H$39</f>
        <v>pulverbeschichtet:</v>
      </c>
      <c r="AG45" s="147"/>
      <c r="AH45" s="147"/>
      <c r="AI45" s="147"/>
      <c r="AJ45" s="147"/>
      <c r="AK45" s="147"/>
      <c r="AL45" s="147"/>
      <c r="AM45" s="629"/>
      <c r="AN45" s="630"/>
      <c r="AO45" s="630"/>
      <c r="AP45" s="630"/>
      <c r="AQ45" s="630"/>
      <c r="AR45" s="630"/>
      <c r="AS45" s="631"/>
      <c r="AT45" s="110"/>
      <c r="AU45" s="199"/>
      <c r="AV45" s="109"/>
      <c r="AW45" s="107"/>
      <c r="AX45" s="109"/>
    </row>
    <row r="46" spans="2:53" ht="12.75" customHeight="1" x14ac:dyDescent="0.2">
      <c r="B46" s="60"/>
      <c r="C46" s="60"/>
      <c r="D46" s="72"/>
      <c r="E46" s="72"/>
      <c r="F46" s="72"/>
      <c r="G46" s="72"/>
      <c r="H46" s="72"/>
      <c r="I46" s="716"/>
      <c r="J46" s="716"/>
      <c r="K46" s="716"/>
      <c r="L46" s="157" t="s">
        <v>190</v>
      </c>
      <c r="M46" s="72"/>
      <c r="N46" s="72"/>
      <c r="O46" s="72"/>
      <c r="P46" s="72"/>
      <c r="Q46" s="72"/>
      <c r="R46" s="72"/>
      <c r="S46" s="72"/>
      <c r="T46" s="72"/>
      <c r="U46" s="72"/>
      <c r="V46" s="72"/>
      <c r="W46" s="72"/>
      <c r="X46" s="72"/>
      <c r="Y46" s="72"/>
      <c r="Z46" s="634" t="str">
        <f>'Sprachen &amp; Rückgabewerte(3)'!$H$34</f>
        <v xml:space="preserve">Höhe = </v>
      </c>
      <c r="AA46" s="72"/>
      <c r="AB46" s="118"/>
      <c r="AC46" s="77"/>
      <c r="AD46" s="117"/>
      <c r="AE46" s="72"/>
      <c r="AF46" s="442" t="str">
        <f>'Sprachen &amp; Rückgabewerte(3)'!$H$40</f>
        <v>Vorbehandlung:</v>
      </c>
      <c r="AG46" s="72"/>
      <c r="AH46" s="72"/>
      <c r="AI46" s="72"/>
      <c r="AJ46" s="72"/>
      <c r="AK46" s="72"/>
      <c r="AL46" s="72"/>
      <c r="AM46" s="642"/>
      <c r="AN46" s="643"/>
      <c r="AO46" s="643"/>
      <c r="AP46" s="643"/>
      <c r="AQ46" s="643"/>
      <c r="AR46" s="643"/>
      <c r="AS46" s="644"/>
      <c r="AT46" s="110"/>
      <c r="AU46" s="110"/>
      <c r="AW46" s="229" t="str">
        <f>'Sprachen &amp; Rückgabewerte(3)'!$H$150</f>
        <v>Farbe Panele:</v>
      </c>
      <c r="AX46" s="110"/>
    </row>
    <row r="47" spans="2:53" ht="12.75" customHeight="1" x14ac:dyDescent="0.2">
      <c r="B47" s="60"/>
      <c r="C47" s="60"/>
      <c r="D47" s="72"/>
      <c r="E47" s="72"/>
      <c r="F47" s="72"/>
      <c r="G47" s="72"/>
      <c r="H47" s="72"/>
      <c r="I47" s="716"/>
      <c r="J47" s="716"/>
      <c r="K47" s="716"/>
      <c r="L47" s="157" t="s">
        <v>190</v>
      </c>
      <c r="M47" s="72"/>
      <c r="N47" s="72"/>
      <c r="O47" s="445"/>
      <c r="P47" s="72"/>
      <c r="Q47" s="72"/>
      <c r="R47" s="72"/>
      <c r="S47" s="72"/>
      <c r="T47" s="72"/>
      <c r="U47" s="72"/>
      <c r="V47" s="72"/>
      <c r="W47" s="72"/>
      <c r="X47" s="72"/>
      <c r="Y47" s="72"/>
      <c r="Z47" s="635"/>
      <c r="AA47" s="445"/>
      <c r="AB47" s="118"/>
      <c r="AC47" s="78"/>
      <c r="AD47" s="117"/>
      <c r="AE47" s="72"/>
      <c r="AF47" s="442" t="str">
        <f>'Sprachen &amp; Rückgabewerte(3)'!H176</f>
        <v>Pulverlack Klasse:</v>
      </c>
      <c r="AG47" s="72"/>
      <c r="AH47" s="72"/>
      <c r="AI47" s="72"/>
      <c r="AJ47" s="72"/>
      <c r="AK47" s="72"/>
      <c r="AL47" s="72"/>
      <c r="AM47" s="619"/>
      <c r="AN47" s="620"/>
      <c r="AO47" s="620"/>
      <c r="AP47" s="620"/>
      <c r="AQ47" s="620"/>
      <c r="AR47" s="620"/>
      <c r="AS47" s="621"/>
      <c r="AT47" s="110"/>
      <c r="AU47" s="110"/>
      <c r="AW47" s="60"/>
      <c r="AX47" s="110"/>
    </row>
    <row r="48" spans="2:53" ht="12.75" customHeight="1" x14ac:dyDescent="0.2">
      <c r="B48" s="60"/>
      <c r="C48" s="60"/>
      <c r="D48" s="72"/>
      <c r="E48" s="72"/>
      <c r="F48" s="72"/>
      <c r="G48" s="72"/>
      <c r="H48" s="72"/>
      <c r="I48" s="721"/>
      <c r="J48" s="721"/>
      <c r="K48" s="721"/>
      <c r="L48" s="157" t="s">
        <v>190</v>
      </c>
      <c r="M48" s="72"/>
      <c r="N48" s="72"/>
      <c r="O48" s="445"/>
      <c r="P48" s="72"/>
      <c r="Q48" s="72"/>
      <c r="R48" s="72"/>
      <c r="S48" s="72"/>
      <c r="T48" s="72"/>
      <c r="U48" s="72"/>
      <c r="V48" s="72"/>
      <c r="W48" s="72"/>
      <c r="X48" s="72"/>
      <c r="Y48" s="72"/>
      <c r="Z48" s="635"/>
      <c r="AA48" s="445"/>
      <c r="AB48" s="118"/>
      <c r="AC48" s="78"/>
      <c r="AD48" s="117"/>
      <c r="AE48" s="72"/>
      <c r="AF48" s="627" t="str">
        <f>'Sprachen &amp; Rückgabewerte(3)'!$H$91</f>
        <v>Farbe Laufschiene + Schraubenarretierungen:</v>
      </c>
      <c r="AG48" s="627"/>
      <c r="AH48" s="627"/>
      <c r="AI48" s="627"/>
      <c r="AJ48" s="627"/>
      <c r="AK48" s="627"/>
      <c r="AL48" s="627"/>
      <c r="AM48" s="61"/>
      <c r="AN48" s="61"/>
      <c r="AO48" s="442"/>
      <c r="AP48" s="72"/>
      <c r="AQ48" s="72"/>
      <c r="AR48" s="72"/>
      <c r="AS48" s="72"/>
      <c r="AT48" s="110"/>
      <c r="AU48" s="110"/>
      <c r="AW48" s="586"/>
      <c r="AX48" s="587"/>
    </row>
    <row r="49" spans="2:50" ht="12.75" customHeight="1" x14ac:dyDescent="0.2">
      <c r="B49" s="60"/>
      <c r="C49" s="60"/>
      <c r="D49" s="72"/>
      <c r="E49" s="72"/>
      <c r="F49" s="72"/>
      <c r="G49" s="72"/>
      <c r="H49" s="75" t="str">
        <f>'Sprachen &amp; Rückgabewerte(3)'!$H$32</f>
        <v>Breite =</v>
      </c>
      <c r="I49" s="718"/>
      <c r="J49" s="719"/>
      <c r="K49" s="720"/>
      <c r="L49" s="73" t="s">
        <v>176</v>
      </c>
      <c r="M49" s="72"/>
      <c r="N49" s="72"/>
      <c r="O49" s="445"/>
      <c r="P49" s="72"/>
      <c r="Q49" s="72"/>
      <c r="R49" s="72"/>
      <c r="S49" s="72"/>
      <c r="T49" s="72"/>
      <c r="U49" s="72"/>
      <c r="V49" s="72"/>
      <c r="W49" s="72"/>
      <c r="X49" s="72"/>
      <c r="Y49" s="72"/>
      <c r="Z49" s="635"/>
      <c r="AA49" s="445"/>
      <c r="AB49" s="118"/>
      <c r="AC49" s="78"/>
      <c r="AD49" s="117"/>
      <c r="AE49" s="72"/>
      <c r="AF49" s="627"/>
      <c r="AG49" s="627"/>
      <c r="AH49" s="627"/>
      <c r="AI49" s="627"/>
      <c r="AJ49" s="627"/>
      <c r="AK49" s="627"/>
      <c r="AL49" s="627"/>
      <c r="AM49" s="723"/>
      <c r="AN49" s="724"/>
      <c r="AO49" s="724"/>
      <c r="AP49" s="725"/>
      <c r="AQ49" s="72"/>
      <c r="AR49" s="72"/>
      <c r="AS49" s="72"/>
      <c r="AT49" s="110"/>
      <c r="AU49" s="110"/>
      <c r="AW49" s="68"/>
      <c r="AX49" s="111"/>
    </row>
    <row r="50" spans="2:50" ht="12.75" customHeight="1" x14ac:dyDescent="0.2">
      <c r="B50" s="60"/>
      <c r="C50" s="60"/>
      <c r="D50" s="72"/>
      <c r="E50" s="72"/>
      <c r="F50" s="72"/>
      <c r="G50" s="72"/>
      <c r="H50" s="61"/>
      <c r="I50" s="61"/>
      <c r="J50" s="61"/>
      <c r="K50" s="61"/>
      <c r="L50" s="61"/>
      <c r="M50" s="72"/>
      <c r="N50" s="72"/>
      <c r="O50" s="72"/>
      <c r="P50" s="72"/>
      <c r="Q50" s="72"/>
      <c r="R50" s="72"/>
      <c r="S50" s="72"/>
      <c r="T50" s="72"/>
      <c r="U50" s="72"/>
      <c r="V50" s="72"/>
      <c r="W50" s="72"/>
      <c r="X50" s="72"/>
      <c r="Y50" s="72"/>
      <c r="Z50" s="635"/>
      <c r="AA50" s="72"/>
      <c r="AB50" s="118"/>
      <c r="AC50" s="78"/>
      <c r="AD50" s="119"/>
      <c r="AE50" s="120"/>
      <c r="AF50" s="628"/>
      <c r="AG50" s="628"/>
      <c r="AH50" s="628"/>
      <c r="AI50" s="628"/>
      <c r="AJ50" s="628"/>
      <c r="AK50" s="628"/>
      <c r="AL50" s="628"/>
      <c r="AM50" s="135"/>
      <c r="AN50" s="120"/>
      <c r="AO50" s="120"/>
      <c r="AP50" s="120"/>
      <c r="AQ50" s="120"/>
      <c r="AR50" s="120"/>
      <c r="AS50" s="120"/>
      <c r="AT50" s="111"/>
      <c r="AU50" s="110"/>
    </row>
    <row r="51" spans="2:50" ht="12.75" customHeight="1" x14ac:dyDescent="0.2">
      <c r="B51" s="60"/>
      <c r="C51" s="60"/>
      <c r="D51" s="72"/>
      <c r="E51" s="72"/>
      <c r="F51" s="72"/>
      <c r="G51" s="72"/>
      <c r="H51" s="61"/>
      <c r="I51" s="61"/>
      <c r="J51" s="61"/>
      <c r="K51" s="61"/>
      <c r="L51" s="61"/>
      <c r="M51" s="72"/>
      <c r="N51" s="72"/>
      <c r="O51" s="72"/>
      <c r="P51" s="72"/>
      <c r="Q51" s="72"/>
      <c r="R51" s="72"/>
      <c r="S51" s="72"/>
      <c r="T51" s="72"/>
      <c r="U51" s="72"/>
      <c r="V51" s="72"/>
      <c r="W51" s="72"/>
      <c r="X51" s="72"/>
      <c r="Y51" s="72"/>
      <c r="Z51" s="635"/>
      <c r="AA51" s="72"/>
      <c r="AB51" s="118"/>
      <c r="AC51" s="78"/>
      <c r="AD51" s="72"/>
      <c r="AE51" s="72"/>
      <c r="AF51" s="72"/>
      <c r="AG51" s="72"/>
      <c r="AH51" s="72"/>
      <c r="AI51" s="72"/>
      <c r="AJ51" s="72"/>
      <c r="AK51" s="72"/>
      <c r="AL51" s="72"/>
      <c r="AM51" s="442"/>
      <c r="AN51" s="72"/>
      <c r="AO51" s="72"/>
      <c r="AP51" s="72"/>
      <c r="AQ51" s="72"/>
      <c r="AR51" s="72"/>
      <c r="AS51" s="72"/>
      <c r="AT51" s="61"/>
      <c r="AU51" s="110"/>
    </row>
    <row r="52" spans="2:50" ht="12.75" customHeight="1" x14ac:dyDescent="0.2">
      <c r="B52" s="60"/>
      <c r="C52" s="60"/>
      <c r="D52" s="72"/>
      <c r="E52" s="72"/>
      <c r="F52" s="72"/>
      <c r="G52" s="72"/>
      <c r="H52" s="72"/>
      <c r="I52" s="75"/>
      <c r="J52" s="72"/>
      <c r="K52" s="72"/>
      <c r="L52" s="73"/>
      <c r="M52" s="72"/>
      <c r="N52" s="72"/>
      <c r="O52" s="72"/>
      <c r="P52" s="72"/>
      <c r="Q52" s="72"/>
      <c r="R52" s="72"/>
      <c r="S52" s="72"/>
      <c r="T52" s="72"/>
      <c r="U52" s="72"/>
      <c r="V52" s="72"/>
      <c r="W52" s="72"/>
      <c r="X52" s="72"/>
      <c r="Y52" s="72"/>
      <c r="Z52" s="635"/>
      <c r="AA52" s="72"/>
      <c r="AB52" s="118"/>
      <c r="AC52" s="78"/>
      <c r="AD52" s="114"/>
      <c r="AE52" s="116" t="str">
        <f>'Sprachen &amp; Rückgabewerte(3)'!$H$42</f>
        <v>Glas-Typ: SG = "Sky-Glass"</v>
      </c>
      <c r="AF52" s="116"/>
      <c r="AG52" s="115"/>
      <c r="AH52" s="115"/>
      <c r="AI52" s="115"/>
      <c r="AJ52" s="115"/>
      <c r="AK52" s="115"/>
      <c r="AL52" s="115"/>
      <c r="AM52" s="134"/>
      <c r="AN52" s="115"/>
      <c r="AO52" s="115"/>
      <c r="AP52" s="115"/>
      <c r="AQ52" s="115"/>
      <c r="AR52" s="115"/>
      <c r="AS52" s="115"/>
      <c r="AT52" s="324"/>
      <c r="AU52" s="110"/>
    </row>
    <row r="53" spans="2:50" ht="12.75" customHeight="1" x14ac:dyDescent="0.2">
      <c r="B53" s="60"/>
      <c r="C53" s="60"/>
      <c r="D53" s="72"/>
      <c r="E53" s="72"/>
      <c r="F53" s="72"/>
      <c r="G53" s="72"/>
      <c r="H53" s="61"/>
      <c r="I53" s="61"/>
      <c r="J53" s="61"/>
      <c r="K53" s="61"/>
      <c r="L53" s="72"/>
      <c r="M53" s="73"/>
      <c r="N53" s="72"/>
      <c r="O53" s="72"/>
      <c r="P53" s="72"/>
      <c r="Q53" s="72"/>
      <c r="R53" s="72"/>
      <c r="S53" s="72"/>
      <c r="T53" s="72"/>
      <c r="U53" s="72"/>
      <c r="V53" s="72"/>
      <c r="W53" s="72"/>
      <c r="X53" s="72"/>
      <c r="Y53" s="72"/>
      <c r="Z53" s="635"/>
      <c r="AA53" s="72"/>
      <c r="AB53" s="118"/>
      <c r="AC53" s="78"/>
      <c r="AD53" s="117"/>
      <c r="AE53" s="610"/>
      <c r="AF53" s="611"/>
      <c r="AG53" s="612"/>
      <c r="AH53" s="72" t="str">
        <f>'Sprachen &amp; Rückgabewerte(3)'!$AJ$1</f>
        <v>Ug=</v>
      </c>
      <c r="AI53" s="626">
        <f>LOOKUP($AE$53,'Sprachen &amp; Rückgabewerte(3)'!$AI$3:$AI$45,'Sprachen &amp; Rückgabewerte(3)'!AJ3:AJ45)</f>
        <v>0</v>
      </c>
      <c r="AJ53" s="626"/>
      <c r="AK53" s="726" t="str">
        <f>'Sprachen &amp; Rückgabewerte(3)'!$AK$1</f>
        <v>Lt=</v>
      </c>
      <c r="AL53" s="726"/>
      <c r="AM53" s="625">
        <f>LOOKUP(AE53,'Sprachen &amp; Rückgabewerte(3)'!AI3:AI45,'Sprachen &amp; Rückgabewerte(3)'!AK3:AK45)</f>
        <v>0</v>
      </c>
      <c r="AN53" s="625"/>
      <c r="AO53" s="203" t="str">
        <f>'Sprachen &amp; Rückgabewerte(3)'!$AL$1</f>
        <v>g=</v>
      </c>
      <c r="AP53" s="625">
        <f>LOOKUP(AE53,'Sprachen &amp; Rückgabewerte(3)'!AI3:AI45,'Sprachen &amp; Rückgabewerte(3)'!AL3:AL45)</f>
        <v>0</v>
      </c>
      <c r="AQ53" s="625"/>
      <c r="AR53" s="72"/>
      <c r="AS53" s="72"/>
      <c r="AT53" s="110"/>
      <c r="AU53" s="110"/>
    </row>
    <row r="54" spans="2:50" ht="12.75" customHeight="1" x14ac:dyDescent="0.2">
      <c r="B54" s="60"/>
      <c r="C54" s="60"/>
      <c r="D54" s="72"/>
      <c r="E54" s="72"/>
      <c r="F54" s="72"/>
      <c r="G54" s="72"/>
      <c r="H54" s="72"/>
      <c r="I54" s="72"/>
      <c r="J54" s="72"/>
      <c r="K54" s="72"/>
      <c r="L54" s="72"/>
      <c r="M54" s="72"/>
      <c r="N54" s="72"/>
      <c r="O54" s="72"/>
      <c r="P54" s="72"/>
      <c r="Q54" s="72"/>
      <c r="R54" s="72"/>
      <c r="S54" s="72"/>
      <c r="T54" s="72"/>
      <c r="U54" s="72"/>
      <c r="V54" s="72"/>
      <c r="W54" s="72"/>
      <c r="X54" s="72"/>
      <c r="Y54" s="72"/>
      <c r="Z54" s="635"/>
      <c r="AA54" s="72"/>
      <c r="AB54" s="118"/>
      <c r="AC54" s="72"/>
      <c r="AD54" s="117"/>
      <c r="AE54" s="72"/>
      <c r="AF54" s="72"/>
      <c r="AG54" s="72"/>
      <c r="AH54" s="73" t="str">
        <f>IF(AT52=1,'Sprachen &amp; Rückgabewerte(3)'!H158,LOOKUP(AE53,'Sprachen &amp; Rückgabewerte(3)'!AI3:AI45,'Sprachen &amp; Rückgabewerte(3)'!AM3:AM45))</f>
        <v>Glastyp wählen</v>
      </c>
      <c r="AI54" s="72"/>
      <c r="AJ54" s="72"/>
      <c r="AK54" s="72"/>
      <c r="AL54" s="72"/>
      <c r="AM54" s="442"/>
      <c r="AN54" s="79"/>
      <c r="AO54" s="79"/>
      <c r="AP54" s="72"/>
      <c r="AQ54" s="72"/>
      <c r="AR54" s="72"/>
      <c r="AS54" s="72"/>
      <c r="AT54" s="110"/>
      <c r="AU54" s="110"/>
    </row>
    <row r="55" spans="2:50" ht="12.75" customHeight="1" x14ac:dyDescent="0.2">
      <c r="B55" s="60"/>
      <c r="C55" s="60"/>
      <c r="D55" s="72"/>
      <c r="E55" s="72"/>
      <c r="F55" s="72"/>
      <c r="G55" s="72"/>
      <c r="H55" s="72"/>
      <c r="I55" s="72"/>
      <c r="J55" s="72"/>
      <c r="K55" s="72"/>
      <c r="L55" s="72"/>
      <c r="M55" s="72"/>
      <c r="N55" s="72"/>
      <c r="O55" s="72"/>
      <c r="P55" s="72"/>
      <c r="Q55" s="72"/>
      <c r="R55" s="72"/>
      <c r="S55" s="72"/>
      <c r="T55" s="72"/>
      <c r="U55" s="72"/>
      <c r="V55" s="72"/>
      <c r="W55" s="72"/>
      <c r="X55" s="72"/>
      <c r="Y55" s="72"/>
      <c r="Z55" s="72"/>
      <c r="AA55" s="72"/>
      <c r="AB55" s="118"/>
      <c r="AC55" s="72"/>
      <c r="AD55" s="117"/>
      <c r="AE55" s="662" t="str">
        <f>'Sprachen &amp; Rückgabewerte(3)'!$H$94</f>
        <v>Druckausgleichsventile :</v>
      </c>
      <c r="AF55" s="662"/>
      <c r="AG55" s="662"/>
      <c r="AH55" s="662"/>
      <c r="AI55" s="662"/>
      <c r="AJ55" s="662"/>
      <c r="AK55" s="662"/>
      <c r="AL55" s="662"/>
      <c r="AM55" s="662"/>
      <c r="AN55" s="717"/>
      <c r="AO55" s="560"/>
      <c r="AP55" s="562"/>
      <c r="AQ55" s="72"/>
      <c r="AR55" s="80" t="s">
        <v>347</v>
      </c>
      <c r="AS55" s="72"/>
      <c r="AT55" s="110"/>
      <c r="AU55" s="110"/>
    </row>
    <row r="56" spans="2:50" ht="12.75" customHeight="1" x14ac:dyDescent="0.2">
      <c r="B56" s="60"/>
      <c r="C56" s="60"/>
      <c r="D56" s="72"/>
      <c r="E56" s="72"/>
      <c r="F56" s="72"/>
      <c r="G56" s="72"/>
      <c r="H56" s="72"/>
      <c r="I56" s="72"/>
      <c r="J56" s="72"/>
      <c r="K56" s="72"/>
      <c r="L56" s="72"/>
      <c r="M56" s="72"/>
      <c r="N56" s="72"/>
      <c r="O56" s="72"/>
      <c r="P56" s="72"/>
      <c r="Q56" s="72"/>
      <c r="R56" s="72"/>
      <c r="S56" s="72"/>
      <c r="T56" s="72"/>
      <c r="U56" s="72"/>
      <c r="V56" s="72"/>
      <c r="W56" s="72"/>
      <c r="X56" s="72"/>
      <c r="Y56" s="72"/>
      <c r="Z56" s="72"/>
      <c r="AA56" s="72"/>
      <c r="AB56" s="118"/>
      <c r="AC56" s="72"/>
      <c r="AD56" s="117"/>
      <c r="AE56" s="72"/>
      <c r="AF56" s="127" t="str">
        <f>'Sprachen &amp; Rückgabewerte(3)'!$H$43</f>
        <v>Swisspacer-U schwarz</v>
      </c>
      <c r="AG56" s="72"/>
      <c r="AH56" s="72"/>
      <c r="AI56" s="72"/>
      <c r="AJ56" s="72"/>
      <c r="AK56" s="72"/>
      <c r="AL56" s="72"/>
      <c r="AM56" s="72"/>
      <c r="AN56" s="127" t="str">
        <f>'Sprachen &amp; Rückgabewerte(3)'!$H$44</f>
        <v>Swisspacer-U grau</v>
      </c>
      <c r="AQ56" s="72"/>
      <c r="AS56" s="80"/>
      <c r="AT56" s="110"/>
      <c r="AU56" s="110"/>
    </row>
    <row r="57" spans="2:50" ht="12.75" customHeight="1" x14ac:dyDescent="0.2">
      <c r="B57" s="60"/>
      <c r="C57" s="60"/>
      <c r="D57" s="72"/>
      <c r="E57" s="72"/>
      <c r="F57" s="72"/>
      <c r="G57" s="72"/>
      <c r="H57" s="72"/>
      <c r="I57" s="72"/>
      <c r="J57" s="72"/>
      <c r="K57" s="72"/>
      <c r="L57" s="72"/>
      <c r="M57" s="72"/>
      <c r="N57" s="72"/>
      <c r="O57" s="72"/>
      <c r="P57" s="72"/>
      <c r="Q57" s="72"/>
      <c r="R57" s="72"/>
      <c r="S57" s="72"/>
      <c r="T57" s="72"/>
      <c r="U57" s="72"/>
      <c r="V57" s="72"/>
      <c r="W57" s="72"/>
      <c r="X57" s="72"/>
      <c r="Y57" s="72"/>
      <c r="Z57" s="72"/>
      <c r="AA57" s="72"/>
      <c r="AB57" s="118"/>
      <c r="AC57" s="72"/>
      <c r="AD57" s="117"/>
      <c r="AE57" s="72"/>
      <c r="AF57" s="127" t="str">
        <f>'Sprachen &amp; Rückgabewerte(3)'!$H$45</f>
        <v>Speziell:</v>
      </c>
      <c r="AG57" s="72"/>
      <c r="AH57" s="72"/>
      <c r="AI57" s="622"/>
      <c r="AJ57" s="623"/>
      <c r="AK57" s="623"/>
      <c r="AL57" s="623"/>
      <c r="AM57" s="623"/>
      <c r="AN57" s="623"/>
      <c r="AO57" s="623"/>
      <c r="AP57" s="623"/>
      <c r="AQ57" s="623"/>
      <c r="AR57" s="623"/>
      <c r="AS57" s="624"/>
      <c r="AT57" s="110"/>
      <c r="AU57" s="110"/>
    </row>
    <row r="58" spans="2:50" ht="12.75" customHeight="1" x14ac:dyDescent="0.2">
      <c r="B58" s="60"/>
      <c r="C58" s="60"/>
      <c r="D58" s="72"/>
      <c r="E58" s="72"/>
      <c r="F58" s="72"/>
      <c r="G58" s="72"/>
      <c r="H58" s="72"/>
      <c r="I58" s="75"/>
      <c r="J58" s="73"/>
      <c r="K58" s="73"/>
      <c r="L58" s="73"/>
      <c r="M58" s="73"/>
      <c r="N58" s="73"/>
      <c r="O58" s="72"/>
      <c r="P58" s="72"/>
      <c r="Q58" s="72"/>
      <c r="R58" s="72"/>
      <c r="S58" s="72"/>
      <c r="T58" s="72"/>
      <c r="U58" s="72"/>
      <c r="V58" s="72"/>
      <c r="W58" s="72"/>
      <c r="X58" s="72"/>
      <c r="Y58" s="72"/>
      <c r="Z58" s="72"/>
      <c r="AA58" s="72"/>
      <c r="AB58" s="118"/>
      <c r="AC58" s="72"/>
      <c r="AD58" s="119"/>
      <c r="AE58" s="120"/>
      <c r="AF58" s="120"/>
      <c r="AG58" s="120"/>
      <c r="AH58" s="120"/>
      <c r="AI58" s="148"/>
      <c r="AJ58" s="148"/>
      <c r="AK58" s="148"/>
      <c r="AL58" s="148"/>
      <c r="AM58" s="148"/>
      <c r="AN58" s="148"/>
      <c r="AO58" s="148"/>
      <c r="AP58" s="148"/>
      <c r="AQ58" s="148"/>
      <c r="AR58" s="148"/>
      <c r="AS58" s="148"/>
      <c r="AT58" s="111"/>
      <c r="AU58" s="110"/>
    </row>
    <row r="59" spans="2:50" ht="12.75" customHeight="1" x14ac:dyDescent="0.2">
      <c r="B59" s="60"/>
      <c r="C59" s="60"/>
      <c r="D59" s="72"/>
      <c r="E59" s="72"/>
      <c r="F59" s="72"/>
      <c r="G59" s="72"/>
      <c r="H59" s="72"/>
      <c r="I59" s="75"/>
      <c r="J59" s="73"/>
      <c r="K59" s="73"/>
      <c r="L59" s="73"/>
      <c r="M59" s="73"/>
      <c r="N59" s="73"/>
      <c r="O59" s="72"/>
      <c r="P59" s="72"/>
      <c r="Q59" s="600" t="str">
        <f>IF('Sprachen &amp; Rückgabewerte(3)'!C54=TRUE,'Sprachen &amp; Rückgabewerte(3)'!H160,"")</f>
        <v/>
      </c>
      <c r="R59" s="600"/>
      <c r="S59" s="600"/>
      <c r="T59" s="600"/>
      <c r="U59" s="600"/>
      <c r="V59" s="600"/>
      <c r="W59" s="600"/>
      <c r="X59" s="600"/>
      <c r="Y59" s="600"/>
      <c r="Z59" s="600"/>
      <c r="AA59" s="600"/>
      <c r="AB59" s="601"/>
      <c r="AC59" s="72"/>
      <c r="AD59" s="72"/>
      <c r="AE59" s="72"/>
      <c r="AF59" s="72"/>
      <c r="AG59" s="72"/>
      <c r="AH59" s="72"/>
      <c r="AI59" s="79"/>
      <c r="AJ59" s="79"/>
      <c r="AK59" s="79"/>
      <c r="AL59" s="79"/>
      <c r="AM59" s="79"/>
      <c r="AN59" s="79"/>
      <c r="AO59" s="79"/>
      <c r="AP59" s="79"/>
      <c r="AQ59" s="79"/>
      <c r="AR59" s="79"/>
      <c r="AS59" s="79"/>
      <c r="AT59" s="61"/>
      <c r="AU59" s="110"/>
    </row>
    <row r="60" spans="2:50" ht="12.75" customHeight="1" x14ac:dyDescent="0.2">
      <c r="B60" s="60"/>
      <c r="C60" s="68"/>
      <c r="D60" s="120"/>
      <c r="E60" s="120"/>
      <c r="F60" s="177" t="str">
        <f>'Sprachen &amp; Rückgabewerte(3)'!$H$110</f>
        <v>KABA (22)</v>
      </c>
      <c r="G60" s="120"/>
      <c r="H60" s="120"/>
      <c r="I60" s="120"/>
      <c r="J60" s="120"/>
      <c r="K60" s="120"/>
      <c r="L60" s="177" t="str">
        <f>'Sprachen &amp; Rückgabewerte(3)'!$H$111</f>
        <v>PZ / Euro (17)</v>
      </c>
      <c r="M60" s="120"/>
      <c r="N60" s="120"/>
      <c r="O60" s="120"/>
      <c r="P60" s="120"/>
      <c r="Q60" s="602"/>
      <c r="R60" s="602"/>
      <c r="S60" s="602"/>
      <c r="T60" s="602"/>
      <c r="U60" s="602"/>
      <c r="V60" s="602"/>
      <c r="W60" s="602"/>
      <c r="X60" s="602"/>
      <c r="Y60" s="602"/>
      <c r="Z60" s="602"/>
      <c r="AA60" s="602"/>
      <c r="AB60" s="603"/>
      <c r="AC60" s="72"/>
      <c r="AD60" s="114"/>
      <c r="AE60" s="116" t="str">
        <f>'Sprachen &amp; Rückgabewerte(3)'!$H$64</f>
        <v>Verschlussgriffe:</v>
      </c>
      <c r="AF60" s="116"/>
      <c r="AG60" s="115"/>
      <c r="AH60" s="115"/>
      <c r="AI60" s="115"/>
      <c r="AJ60" s="115"/>
      <c r="AK60" s="115"/>
      <c r="AL60" s="115"/>
      <c r="AM60" s="134"/>
      <c r="AN60" s="115"/>
      <c r="AO60" s="115"/>
      <c r="AP60" s="115"/>
      <c r="AQ60" s="115"/>
      <c r="AR60" s="115"/>
      <c r="AS60" s="115"/>
      <c r="AT60" s="109"/>
      <c r="AU60" s="110"/>
    </row>
    <row r="61" spans="2:50" ht="12.75" customHeight="1" x14ac:dyDescent="0.2">
      <c r="B61" s="60"/>
      <c r="C61" s="61"/>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117"/>
      <c r="AE61" s="72"/>
      <c r="AF61" s="81"/>
      <c r="AG61" s="72"/>
      <c r="AH61" s="72"/>
      <c r="AI61" s="72"/>
      <c r="AJ61" s="72"/>
      <c r="AK61" s="72"/>
      <c r="AL61" s="72"/>
      <c r="AM61" s="442"/>
      <c r="AN61" s="72"/>
      <c r="AO61" s="72"/>
      <c r="AP61" s="72"/>
      <c r="AQ61" s="72"/>
      <c r="AR61" s="72"/>
      <c r="AS61" s="72"/>
      <c r="AT61" s="110"/>
      <c r="AU61" s="110"/>
    </row>
    <row r="62" spans="2:50" ht="12.75" customHeight="1" x14ac:dyDescent="0.2">
      <c r="B62" s="60"/>
      <c r="C62" s="107"/>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408"/>
      <c r="AC62" s="72"/>
      <c r="AD62" s="117"/>
      <c r="AE62" s="72"/>
      <c r="AF62" s="81"/>
      <c r="AG62" s="72"/>
      <c r="AH62" s="72"/>
      <c r="AI62" s="72"/>
      <c r="AJ62" s="72"/>
      <c r="AK62" s="72"/>
      <c r="AL62" s="72"/>
      <c r="AM62" s="442"/>
      <c r="AN62" s="72"/>
      <c r="AO62" s="72"/>
      <c r="AP62" s="72"/>
      <c r="AQ62" s="72"/>
      <c r="AR62" s="72"/>
      <c r="AS62" s="72"/>
      <c r="AT62" s="110"/>
      <c r="AU62" s="110"/>
    </row>
    <row r="63" spans="2:50" ht="12.75" customHeight="1" x14ac:dyDescent="0.2">
      <c r="B63" s="60"/>
      <c r="C63" s="60"/>
      <c r="D63" s="72"/>
      <c r="E63" s="72"/>
      <c r="F63" s="61"/>
      <c r="G63" s="72"/>
      <c r="H63" s="72"/>
      <c r="I63" s="72"/>
      <c r="J63" s="72"/>
      <c r="K63" s="72"/>
      <c r="L63" s="61"/>
      <c r="M63" s="72"/>
      <c r="N63" s="72"/>
      <c r="O63" s="72"/>
      <c r="P63" s="72"/>
      <c r="Q63" s="72"/>
      <c r="R63" s="72"/>
      <c r="S63" s="72"/>
      <c r="T63" s="72"/>
      <c r="U63" s="72"/>
      <c r="V63" s="72"/>
      <c r="W63" s="72"/>
      <c r="X63" s="72"/>
      <c r="Y63" s="72"/>
      <c r="Z63" s="72"/>
      <c r="AA63" s="72"/>
      <c r="AB63" s="118"/>
      <c r="AC63" s="72"/>
      <c r="AD63" s="117"/>
      <c r="AE63" s="72"/>
      <c r="AF63" s="72"/>
      <c r="AG63" s="72"/>
      <c r="AH63" s="72"/>
      <c r="AI63" s="72"/>
      <c r="AJ63" s="72"/>
      <c r="AK63" s="72"/>
      <c r="AL63" s="72"/>
      <c r="AM63" s="442"/>
      <c r="AN63" s="72"/>
      <c r="AO63" s="72"/>
      <c r="AP63" s="72"/>
      <c r="AQ63" s="72"/>
      <c r="AR63" s="72"/>
      <c r="AS63" s="72"/>
      <c r="AT63" s="110"/>
      <c r="AU63" s="110"/>
    </row>
    <row r="64" spans="2:50" ht="12.75" customHeight="1" x14ac:dyDescent="0.2">
      <c r="B64" s="60"/>
      <c r="C64" s="60"/>
      <c r="D64" s="72"/>
      <c r="E64" s="73"/>
      <c r="F64" s="73"/>
      <c r="G64" s="72"/>
      <c r="H64" s="72"/>
      <c r="I64" s="72"/>
      <c r="J64" s="72"/>
      <c r="K64" s="72"/>
      <c r="L64" s="73"/>
      <c r="M64" s="72"/>
      <c r="N64" s="72"/>
      <c r="O64" s="72"/>
      <c r="P64" s="72"/>
      <c r="Q64" s="72"/>
      <c r="R64" s="72"/>
      <c r="S64" s="72"/>
      <c r="T64" s="72"/>
      <c r="U64" s="72"/>
      <c r="V64" s="72"/>
      <c r="W64" s="72"/>
      <c r="X64" s="72"/>
      <c r="Y64" s="72"/>
      <c r="Z64" s="72"/>
      <c r="AA64" s="72"/>
      <c r="AB64" s="118"/>
      <c r="AC64" s="72"/>
      <c r="AD64" s="117"/>
      <c r="AE64" s="72"/>
      <c r="AF64" s="72"/>
      <c r="AG64" s="72"/>
      <c r="AH64" s="72"/>
      <c r="AI64" s="72"/>
      <c r="AJ64" s="72"/>
      <c r="AK64" s="72"/>
      <c r="AL64" s="72"/>
      <c r="AM64" s="442"/>
      <c r="AN64" s="72"/>
      <c r="AO64" s="72"/>
      <c r="AP64" s="72"/>
      <c r="AQ64" s="72"/>
      <c r="AR64" s="72"/>
      <c r="AS64" s="72"/>
      <c r="AT64" s="110"/>
      <c r="AU64" s="110"/>
    </row>
    <row r="65" spans="2:50" ht="12.75" customHeight="1" x14ac:dyDescent="0.2">
      <c r="B65" s="60"/>
      <c r="C65" s="60"/>
      <c r="D65" s="72"/>
      <c r="E65" s="72"/>
      <c r="F65" s="72"/>
      <c r="G65" s="72"/>
      <c r="H65" s="72"/>
      <c r="I65" s="72"/>
      <c r="J65" s="72"/>
      <c r="K65" s="72"/>
      <c r="L65" s="72"/>
      <c r="M65" s="72"/>
      <c r="N65" s="72"/>
      <c r="O65" s="72"/>
      <c r="P65" s="72"/>
      <c r="Q65" s="72"/>
      <c r="R65" s="72"/>
      <c r="S65" s="72"/>
      <c r="T65" s="72"/>
      <c r="U65" s="72"/>
      <c r="V65" s="72"/>
      <c r="W65" s="72"/>
      <c r="X65" s="72"/>
      <c r="Y65" s="72"/>
      <c r="Z65" s="72"/>
      <c r="AA65" s="72"/>
      <c r="AB65" s="118"/>
      <c r="AC65" s="72"/>
      <c r="AD65" s="117"/>
      <c r="AE65" s="72"/>
      <c r="AF65" s="72"/>
      <c r="AG65" s="72"/>
      <c r="AH65" s="72"/>
      <c r="AI65" s="72"/>
      <c r="AJ65" s="72"/>
      <c r="AK65" s="72"/>
      <c r="AL65" s="72"/>
      <c r="AM65" s="72"/>
      <c r="AN65" s="72"/>
      <c r="AO65" s="72"/>
      <c r="AP65" s="72"/>
      <c r="AQ65" s="72"/>
      <c r="AR65" s="72"/>
      <c r="AS65" s="72"/>
      <c r="AT65" s="110"/>
      <c r="AU65" s="110"/>
    </row>
    <row r="66" spans="2:50" ht="12.75" customHeight="1" x14ac:dyDescent="0.2">
      <c r="B66" s="60"/>
      <c r="C66" s="60"/>
      <c r="D66" s="72"/>
      <c r="E66" s="72"/>
      <c r="F66" s="72"/>
      <c r="G66" s="72"/>
      <c r="H66" s="72"/>
      <c r="I66" s="72"/>
      <c r="J66" s="72"/>
      <c r="K66" s="72"/>
      <c r="L66" s="72"/>
      <c r="M66" s="72"/>
      <c r="N66" s="72"/>
      <c r="O66" s="72"/>
      <c r="P66" s="72"/>
      <c r="Q66" s="72"/>
      <c r="R66" s="72"/>
      <c r="S66" s="72"/>
      <c r="T66" s="72"/>
      <c r="U66" s="72"/>
      <c r="V66" s="72"/>
      <c r="W66" s="72"/>
      <c r="X66" s="72"/>
      <c r="Y66" s="72"/>
      <c r="Z66" s="72"/>
      <c r="AA66" s="72"/>
      <c r="AB66" s="118"/>
      <c r="AC66" s="72"/>
      <c r="AD66" s="117"/>
      <c r="AE66" s="72"/>
      <c r="AF66" s="72"/>
      <c r="AG66" s="72"/>
      <c r="AH66" s="72"/>
      <c r="AI66" s="72"/>
      <c r="AJ66" s="72"/>
      <c r="AK66" s="72"/>
      <c r="AL66" s="72"/>
      <c r="AM66" s="72"/>
      <c r="AN66" s="72"/>
      <c r="AO66" s="72"/>
      <c r="AP66" s="72"/>
      <c r="AQ66" s="72"/>
      <c r="AR66" s="72"/>
      <c r="AS66" s="72"/>
      <c r="AT66" s="110"/>
      <c r="AU66" s="110"/>
    </row>
    <row r="67" spans="2:50" ht="12.75" customHeight="1" x14ac:dyDescent="0.2">
      <c r="B67" s="60"/>
      <c r="C67" s="60"/>
      <c r="D67" s="72"/>
      <c r="E67" s="72"/>
      <c r="F67" s="72"/>
      <c r="G67" s="72"/>
      <c r="H67" s="72"/>
      <c r="I67" s="72"/>
      <c r="J67" s="72"/>
      <c r="K67" s="72"/>
      <c r="L67" s="72"/>
      <c r="M67" s="72"/>
      <c r="N67" s="72"/>
      <c r="O67" s="72"/>
      <c r="P67" s="72"/>
      <c r="Q67" s="72"/>
      <c r="R67" s="72"/>
      <c r="S67" s="72"/>
      <c r="T67" s="72"/>
      <c r="U67" s="72"/>
      <c r="V67" s="72"/>
      <c r="W67" s="72"/>
      <c r="X67" s="72"/>
      <c r="Y67" s="72"/>
      <c r="Z67" s="72"/>
      <c r="AA67" s="72"/>
      <c r="AB67" s="118"/>
      <c r="AC67" s="72"/>
      <c r="AD67" s="117"/>
      <c r="AE67" s="72"/>
      <c r="AF67" s="72"/>
      <c r="AG67" s="72"/>
      <c r="AH67" s="72"/>
      <c r="AI67" s="72"/>
      <c r="AJ67" s="72"/>
      <c r="AK67" s="72"/>
      <c r="AL67" s="72"/>
      <c r="AM67" s="72"/>
      <c r="AN67" s="72"/>
      <c r="AO67" s="72"/>
      <c r="AP67" s="72"/>
      <c r="AQ67" s="72"/>
      <c r="AR67" s="72"/>
      <c r="AS67" s="72"/>
      <c r="AT67" s="110"/>
      <c r="AU67" s="110"/>
    </row>
    <row r="68" spans="2:50" ht="12.75" customHeight="1" x14ac:dyDescent="0.2">
      <c r="B68" s="60"/>
      <c r="C68" s="60"/>
      <c r="D68" s="72"/>
      <c r="E68" s="72"/>
      <c r="F68" s="72"/>
      <c r="G68" s="72"/>
      <c r="H68" s="72"/>
      <c r="I68" s="72"/>
      <c r="J68" s="72"/>
      <c r="K68" s="72"/>
      <c r="L68" s="72"/>
      <c r="M68" s="72"/>
      <c r="N68" s="72"/>
      <c r="O68" s="72"/>
      <c r="P68" s="72"/>
      <c r="Q68" s="72"/>
      <c r="R68" s="72"/>
      <c r="S68" s="72"/>
      <c r="T68" s="72"/>
      <c r="U68" s="72"/>
      <c r="V68" s="72"/>
      <c r="W68" s="72"/>
      <c r="X68" s="72"/>
      <c r="Y68" s="72"/>
      <c r="Z68" s="72"/>
      <c r="AA68" s="72"/>
      <c r="AB68" s="118"/>
      <c r="AC68" s="72"/>
      <c r="AD68" s="117"/>
      <c r="AE68" s="72"/>
      <c r="AF68" s="72"/>
      <c r="AG68" s="72"/>
      <c r="AH68" s="72"/>
      <c r="AI68" s="72"/>
      <c r="AJ68" s="72"/>
      <c r="AK68" s="72"/>
      <c r="AL68" s="72"/>
      <c r="AM68" s="72"/>
      <c r="AN68" s="72"/>
      <c r="AO68" s="72"/>
      <c r="AP68" s="72"/>
      <c r="AQ68" s="72"/>
      <c r="AR68" s="72"/>
      <c r="AS68" s="72"/>
      <c r="AT68" s="110"/>
      <c r="AU68" s="110"/>
    </row>
    <row r="69" spans="2:50" ht="12.75" customHeight="1" x14ac:dyDescent="0.2">
      <c r="B69" s="60"/>
      <c r="C69" s="60"/>
      <c r="D69" s="72"/>
      <c r="E69" s="72"/>
      <c r="F69" s="72"/>
      <c r="G69" s="72"/>
      <c r="H69" s="72"/>
      <c r="I69" s="72"/>
      <c r="J69" s="72"/>
      <c r="K69" s="72"/>
      <c r="L69" s="72"/>
      <c r="M69" s="72"/>
      <c r="N69" s="72"/>
      <c r="O69" s="72"/>
      <c r="P69" s="72"/>
      <c r="Q69" s="72"/>
      <c r="R69" s="72"/>
      <c r="S69" s="72"/>
      <c r="T69" s="72"/>
      <c r="U69" s="72"/>
      <c r="V69" s="72"/>
      <c r="W69" s="72"/>
      <c r="X69" s="72"/>
      <c r="Y69" s="72"/>
      <c r="Z69" s="72"/>
      <c r="AA69" s="72"/>
      <c r="AB69" s="118"/>
      <c r="AC69" s="72"/>
      <c r="AD69" s="117"/>
      <c r="AE69" s="72"/>
      <c r="AF69" s="72"/>
      <c r="AG69" s="72"/>
      <c r="AH69" s="72"/>
      <c r="AI69" s="72"/>
      <c r="AJ69" s="72"/>
      <c r="AK69" s="72"/>
      <c r="AL69" s="72"/>
      <c r="AM69" s="72"/>
      <c r="AN69" s="72"/>
      <c r="AO69" s="72"/>
      <c r="AP69" s="72"/>
      <c r="AQ69" s="72"/>
      <c r="AR69" s="72"/>
      <c r="AS69" s="72"/>
      <c r="AT69" s="110"/>
      <c r="AU69" s="110"/>
    </row>
    <row r="70" spans="2:50" ht="12.75" customHeight="1" x14ac:dyDescent="0.2">
      <c r="B70" s="60"/>
      <c r="C70" s="60"/>
      <c r="D70" s="72"/>
      <c r="E70" s="72"/>
      <c r="F70" s="72"/>
      <c r="G70" s="72"/>
      <c r="H70" s="72"/>
      <c r="I70" s="72"/>
      <c r="J70" s="72"/>
      <c r="K70" s="72"/>
      <c r="L70" s="72"/>
      <c r="M70" s="72"/>
      <c r="N70" s="72"/>
      <c r="O70" s="72"/>
      <c r="P70" s="72"/>
      <c r="Q70" s="72"/>
      <c r="R70" s="72"/>
      <c r="S70" s="72"/>
      <c r="T70" s="72"/>
      <c r="U70" s="72"/>
      <c r="V70" s="72"/>
      <c r="W70" s="72"/>
      <c r="X70" s="72"/>
      <c r="Y70" s="72"/>
      <c r="Z70" s="72"/>
      <c r="AA70" s="72"/>
      <c r="AB70" s="118"/>
      <c r="AC70" s="72"/>
      <c r="AD70" s="117"/>
      <c r="AE70" s="575"/>
      <c r="AF70" s="576"/>
      <c r="AG70" s="576"/>
      <c r="AH70" s="576"/>
      <c r="AI70" s="576"/>
      <c r="AJ70" s="576"/>
      <c r="AK70" s="576"/>
      <c r="AL70" s="577"/>
      <c r="AM70" s="72"/>
      <c r="AN70" s="616"/>
      <c r="AO70" s="617"/>
      <c r="AP70" s="617"/>
      <c r="AQ70" s="617"/>
      <c r="AR70" s="617"/>
      <c r="AS70" s="618"/>
      <c r="AT70" s="110"/>
      <c r="AU70" s="110"/>
    </row>
    <row r="71" spans="2:50" ht="12.75" customHeight="1" x14ac:dyDescent="0.2">
      <c r="B71" s="60"/>
      <c r="C71" s="60"/>
      <c r="D71" s="72"/>
      <c r="E71" s="72"/>
      <c r="F71" s="73" t="str">
        <f>'Sprachen &amp; Rückgabewerte(3)'!$B$41</f>
        <v>320101/320101</v>
      </c>
      <c r="G71" s="72"/>
      <c r="H71" s="72"/>
      <c r="I71" s="72"/>
      <c r="J71" s="72"/>
      <c r="K71" s="72"/>
      <c r="L71" s="73" t="str">
        <f>'Sprachen &amp; Rückgabewerte(3)'!$B$42</f>
        <v>320401/320401</v>
      </c>
      <c r="M71" s="61"/>
      <c r="N71" s="72"/>
      <c r="O71" s="72"/>
      <c r="P71" s="72"/>
      <c r="Q71" s="72"/>
      <c r="R71" s="73" t="str">
        <f>'Sprachen &amp; Rückgabewerte(3)'!$B$43</f>
        <v>360001/360001</v>
      </c>
      <c r="S71" s="72"/>
      <c r="T71" s="72"/>
      <c r="U71" s="72"/>
      <c r="V71" s="72"/>
      <c r="W71" s="72"/>
      <c r="X71" s="73" t="str">
        <f>'Sprachen &amp; Rückgabewerte(3)'!$B$44</f>
        <v>321101/321101</v>
      </c>
      <c r="Y71" s="61"/>
      <c r="Z71" s="72"/>
      <c r="AA71" s="72"/>
      <c r="AB71" s="118"/>
      <c r="AC71" s="72"/>
      <c r="AD71" s="119"/>
      <c r="AE71" s="120"/>
      <c r="AF71" s="120"/>
      <c r="AG71" s="120"/>
      <c r="AH71" s="120"/>
      <c r="AI71" s="120"/>
      <c r="AJ71" s="120"/>
      <c r="AK71" s="120"/>
      <c r="AL71" s="120"/>
      <c r="AM71" s="120"/>
      <c r="AN71" s="120"/>
      <c r="AO71" s="120"/>
      <c r="AP71" s="120"/>
      <c r="AQ71" s="120"/>
      <c r="AR71" s="120"/>
      <c r="AS71" s="120"/>
      <c r="AT71" s="111"/>
      <c r="AU71" s="110"/>
    </row>
    <row r="72" spans="2:50" ht="12.75" customHeight="1" x14ac:dyDescent="0.2">
      <c r="B72" s="60"/>
      <c r="C72" s="60"/>
      <c r="D72" s="72"/>
      <c r="E72" s="72"/>
      <c r="F72" s="699"/>
      <c r="G72" s="700"/>
      <c r="H72" s="700"/>
      <c r="I72" s="701"/>
      <c r="J72" s="72"/>
      <c r="K72" s="72"/>
      <c r="L72" s="699"/>
      <c r="M72" s="700"/>
      <c r="N72" s="700"/>
      <c r="O72" s="701"/>
      <c r="P72" s="72"/>
      <c r="Q72" s="72"/>
      <c r="R72" s="72"/>
      <c r="S72" s="424"/>
      <c r="T72" s="424"/>
      <c r="U72" s="424"/>
      <c r="V72" s="72"/>
      <c r="W72" s="72"/>
      <c r="X72" s="699"/>
      <c r="Y72" s="700"/>
      <c r="Z72" s="700"/>
      <c r="AA72" s="701"/>
      <c r="AB72" s="118"/>
      <c r="AC72" s="72"/>
      <c r="AD72" s="72"/>
      <c r="AE72" s="72"/>
      <c r="AF72" s="72"/>
      <c r="AG72" s="72"/>
      <c r="AH72" s="72"/>
      <c r="AI72" s="72"/>
      <c r="AJ72" s="72"/>
      <c r="AK72" s="72"/>
      <c r="AL72" s="72"/>
      <c r="AM72" s="72"/>
      <c r="AN72" s="72"/>
      <c r="AO72" s="72"/>
      <c r="AP72" s="72"/>
      <c r="AQ72" s="72"/>
      <c r="AR72" s="72"/>
      <c r="AS72" s="72"/>
      <c r="AT72" s="61"/>
      <c r="AU72" s="110"/>
    </row>
    <row r="73" spans="2:50" ht="12.75" customHeight="1" x14ac:dyDescent="0.2">
      <c r="B73" s="60"/>
      <c r="C73" s="60"/>
      <c r="D73" s="72"/>
      <c r="E73" s="72"/>
      <c r="F73" s="72"/>
      <c r="G73" s="72"/>
      <c r="H73" s="72"/>
      <c r="I73" s="72"/>
      <c r="J73" s="72"/>
      <c r="K73" s="72"/>
      <c r="L73" s="72"/>
      <c r="M73" s="72"/>
      <c r="N73" s="72"/>
      <c r="O73" s="72"/>
      <c r="P73" s="72"/>
      <c r="Q73" s="72"/>
      <c r="R73" s="72"/>
      <c r="S73" s="72"/>
      <c r="T73" s="72"/>
      <c r="U73" s="72"/>
      <c r="V73" s="72"/>
      <c r="W73" s="72"/>
      <c r="X73" s="72"/>
      <c r="Y73" s="72"/>
      <c r="Z73" s="72"/>
      <c r="AA73" s="72"/>
      <c r="AB73" s="407"/>
      <c r="AC73" s="72"/>
      <c r="AD73" s="114"/>
      <c r="AE73" s="116" t="str">
        <f>'Sprachen &amp; Rückgabewerte(3)'!$H$70</f>
        <v>Befestigung:</v>
      </c>
      <c r="AF73" s="116"/>
      <c r="AG73" s="115"/>
      <c r="AH73" s="115"/>
      <c r="AI73" s="115"/>
      <c r="AJ73" s="115"/>
      <c r="AK73" s="115"/>
      <c r="AL73" s="115"/>
      <c r="AM73" s="115"/>
      <c r="AN73" s="115"/>
      <c r="AO73" s="115"/>
      <c r="AP73" s="115"/>
      <c r="AQ73" s="115"/>
      <c r="AR73" s="115"/>
      <c r="AS73" s="115"/>
      <c r="AT73" s="109"/>
      <c r="AU73" s="110"/>
    </row>
    <row r="74" spans="2:50" ht="12.75" customHeight="1" x14ac:dyDescent="0.2">
      <c r="B74" s="60"/>
      <c r="C74" s="60"/>
      <c r="D74" s="72"/>
      <c r="E74" s="72"/>
      <c r="F74" s="72"/>
      <c r="G74" s="72"/>
      <c r="H74" s="72"/>
      <c r="I74" s="72"/>
      <c r="J74" s="72"/>
      <c r="K74" s="72"/>
      <c r="L74" s="72"/>
      <c r="M74" s="72"/>
      <c r="N74" s="72"/>
      <c r="O74" s="72"/>
      <c r="P74" s="72"/>
      <c r="Q74" s="72"/>
      <c r="R74" s="72"/>
      <c r="S74" s="72"/>
      <c r="T74" s="72"/>
      <c r="U74" s="72"/>
      <c r="V74" s="72"/>
      <c r="W74" s="72"/>
      <c r="X74" s="72"/>
      <c r="Y74" s="72"/>
      <c r="Z74" s="72"/>
      <c r="AA74" s="72"/>
      <c r="AB74" s="118"/>
      <c r="AC74" s="72"/>
      <c r="AD74" s="117"/>
      <c r="AE74" s="72"/>
      <c r="AF74" s="72" t="str">
        <f>'Sprachen &amp; Rückgabewerte(3)'!$H$71</f>
        <v>Universalschrauben (A2):</v>
      </c>
      <c r="AG74" s="72"/>
      <c r="AH74" s="72"/>
      <c r="AI74" s="72"/>
      <c r="AJ74" s="72"/>
      <c r="AK74" s="72"/>
      <c r="AL74" s="72"/>
      <c r="AM74" s="72" t="str">
        <f>'Sprachen &amp; Rückgabewerte(3)'!H72</f>
        <v>L=52mm</v>
      </c>
      <c r="AN74" s="382"/>
      <c r="AO74" s="382"/>
      <c r="AP74" s="384"/>
      <c r="AQ74" s="72" t="str">
        <f>'Sprachen &amp; Rückgabewerte(3)'!$H$180</f>
        <v>VE</v>
      </c>
      <c r="AR74" s="72"/>
      <c r="AS74" s="72"/>
      <c r="AT74" s="110"/>
      <c r="AU74" s="110"/>
    </row>
    <row r="75" spans="2:50" ht="12.75" customHeight="1" thickBot="1" x14ac:dyDescent="0.25">
      <c r="B75" s="60"/>
      <c r="C75" s="60"/>
      <c r="D75" s="72"/>
      <c r="E75" s="72"/>
      <c r="F75" s="72"/>
      <c r="G75" s="72"/>
      <c r="H75" s="72"/>
      <c r="I75" s="72"/>
      <c r="J75" s="72"/>
      <c r="K75" s="72"/>
      <c r="L75" s="72"/>
      <c r="M75" s="72"/>
      <c r="N75" s="72"/>
      <c r="O75" s="72"/>
      <c r="P75" s="72"/>
      <c r="Q75" s="72"/>
      <c r="R75" s="72"/>
      <c r="S75" s="72"/>
      <c r="T75" s="72"/>
      <c r="U75" s="72"/>
      <c r="V75" s="72"/>
      <c r="W75" s="72"/>
      <c r="X75" s="72"/>
      <c r="Y75" s="72"/>
      <c r="Z75" s="72"/>
      <c r="AA75" s="72"/>
      <c r="AB75" s="118"/>
      <c r="AC75" s="72"/>
      <c r="AD75" s="117"/>
      <c r="AE75" s="72"/>
      <c r="AF75" s="72"/>
      <c r="AG75" s="79" t="str">
        <f>'Sprachen &amp; Rückgabewerte(3)'!H75</f>
        <v>(VE à 100 Stk.)</v>
      </c>
      <c r="AH75" s="72"/>
      <c r="AI75" s="72"/>
      <c r="AJ75" s="72"/>
      <c r="AK75" s="72"/>
      <c r="AL75" s="72"/>
      <c r="AM75" s="72" t="str">
        <f>'Sprachen &amp; Rückgabewerte(3)'!H73</f>
        <v>L=82mm</v>
      </c>
      <c r="AN75" s="383"/>
      <c r="AO75" s="382"/>
      <c r="AP75" s="384"/>
      <c r="AQ75" s="72" t="str">
        <f>'Sprachen &amp; Rückgabewerte(3)'!$H$180</f>
        <v>VE</v>
      </c>
      <c r="AR75" s="72"/>
      <c r="AS75" s="72"/>
      <c r="AT75" s="110"/>
      <c r="AU75" s="110"/>
    </row>
    <row r="76" spans="2:50" ht="12.75" customHeight="1" x14ac:dyDescent="0.2">
      <c r="B76" s="60"/>
      <c r="C76" s="60"/>
      <c r="D76" s="72"/>
      <c r="E76" s="72"/>
      <c r="F76" s="72"/>
      <c r="G76" s="72"/>
      <c r="H76" s="72"/>
      <c r="I76" s="72"/>
      <c r="J76" s="72"/>
      <c r="K76" s="72"/>
      <c r="L76" s="72"/>
      <c r="M76" s="72"/>
      <c r="N76" s="72"/>
      <c r="O76" s="72"/>
      <c r="P76" s="72"/>
      <c r="Q76" s="72"/>
      <c r="R76" s="72"/>
      <c r="S76" s="72"/>
      <c r="T76" s="72"/>
      <c r="U76" s="72"/>
      <c r="V76" s="72"/>
      <c r="W76" s="72"/>
      <c r="X76" s="72"/>
      <c r="Y76" s="72"/>
      <c r="Z76" s="72"/>
      <c r="AA76" s="72"/>
      <c r="AB76" s="118"/>
      <c r="AC76" s="72"/>
      <c r="AD76" s="117"/>
      <c r="AE76" s="72"/>
      <c r="AF76" s="72"/>
      <c r="AG76" s="72"/>
      <c r="AH76" s="72"/>
      <c r="AI76" s="72"/>
      <c r="AJ76" s="72"/>
      <c r="AK76" s="72"/>
      <c r="AL76" s="72"/>
      <c r="AM76" s="72" t="str">
        <f>'Sprachen &amp; Rückgabewerte(3)'!H74</f>
        <v>L=112mm</v>
      </c>
      <c r="AN76" s="383"/>
      <c r="AO76" s="382"/>
      <c r="AP76" s="384"/>
      <c r="AQ76" s="72" t="str">
        <f>'Sprachen &amp; Rückgabewerte(3)'!$H$180</f>
        <v>VE</v>
      </c>
      <c r="AR76" s="72"/>
      <c r="AS76" s="72"/>
      <c r="AT76" s="110"/>
      <c r="AU76" s="110"/>
      <c r="AW76" s="320"/>
      <c r="AX76" s="320"/>
    </row>
    <row r="77" spans="2:50" ht="12.75" customHeight="1" x14ac:dyDescent="0.2">
      <c r="B77" s="60"/>
      <c r="C77" s="60"/>
      <c r="D77" s="72"/>
      <c r="E77" s="72"/>
      <c r="F77" s="72"/>
      <c r="G77" s="72"/>
      <c r="H77" s="72"/>
      <c r="I77" s="72"/>
      <c r="J77" s="72"/>
      <c r="K77" s="72"/>
      <c r="L77" s="72"/>
      <c r="M77" s="72"/>
      <c r="N77" s="72"/>
      <c r="O77" s="72"/>
      <c r="P77" s="72"/>
      <c r="Q77" s="72"/>
      <c r="R77" s="72"/>
      <c r="S77" s="72"/>
      <c r="T77" s="72"/>
      <c r="U77" s="72"/>
      <c r="V77" s="72"/>
      <c r="W77" s="72"/>
      <c r="X77" s="72"/>
      <c r="Y77" s="72"/>
      <c r="Z77" s="72"/>
      <c r="AA77" s="72"/>
      <c r="AB77" s="118"/>
      <c r="AC77" s="72"/>
      <c r="AD77" s="117"/>
      <c r="AE77" s="81" t="str">
        <f>'Sprachen &amp; Rückgabewerte(3)'!$H$76</f>
        <v>Sockelbefestigung:</v>
      </c>
      <c r="AF77" s="81"/>
      <c r="AG77" s="72"/>
      <c r="AH77" s="72"/>
      <c r="AI77" s="72"/>
      <c r="AJ77" s="72"/>
      <c r="AK77" s="72"/>
      <c r="AL77" s="72"/>
      <c r="AM77" s="72"/>
      <c r="AN77" s="72"/>
      <c r="AO77" s="72"/>
      <c r="AP77" s="72"/>
      <c r="AQ77" s="72"/>
      <c r="AR77" s="72"/>
      <c r="AS77" s="72"/>
      <c r="AT77" s="110"/>
      <c r="AU77" s="110"/>
      <c r="AW77" s="321"/>
      <c r="AX77" s="321"/>
    </row>
    <row r="78" spans="2:50" ht="12.75" customHeight="1" x14ac:dyDescent="0.2">
      <c r="B78" s="60"/>
      <c r="C78" s="60"/>
      <c r="D78" s="72"/>
      <c r="E78" s="72"/>
      <c r="F78" s="72"/>
      <c r="G78" s="72"/>
      <c r="H78" s="72"/>
      <c r="I78" s="72"/>
      <c r="J78" s="72"/>
      <c r="K78" s="72"/>
      <c r="L78" s="72"/>
      <c r="M78" s="72"/>
      <c r="N78" s="72"/>
      <c r="O78" s="72"/>
      <c r="P78" s="72"/>
      <c r="Q78" s="72"/>
      <c r="R78" s="72"/>
      <c r="S78" s="72"/>
      <c r="T78" s="72"/>
      <c r="U78" s="72"/>
      <c r="V78" s="72"/>
      <c r="W78" s="72"/>
      <c r="X78" s="72"/>
      <c r="Y78" s="72"/>
      <c r="Z78" s="72"/>
      <c r="AA78" s="72"/>
      <c r="AB78" s="118"/>
      <c r="AC78" s="72"/>
      <c r="AD78" s="117"/>
      <c r="AE78" s="72" t="str">
        <f>'Sprachen &amp; Rückgabewerte(3)'!$H$77</f>
        <v>Verstellschrauben M10 x</v>
      </c>
      <c r="AF78" s="72"/>
      <c r="AG78" s="72"/>
      <c r="AH78" s="72"/>
      <c r="AI78" s="72"/>
      <c r="AJ78" s="72"/>
      <c r="AK78" s="72"/>
      <c r="AL78" s="72"/>
      <c r="AM78" s="72"/>
      <c r="AN78" s="606"/>
      <c r="AO78" s="606"/>
      <c r="AP78" s="606"/>
      <c r="AQ78" s="72"/>
      <c r="AR78" s="72"/>
      <c r="AS78" s="72"/>
      <c r="AT78" s="110"/>
      <c r="AU78" s="110"/>
      <c r="AW78" s="321"/>
      <c r="AX78" s="321"/>
    </row>
    <row r="79" spans="2:50" ht="12.75" customHeight="1" x14ac:dyDescent="0.2">
      <c r="B79" s="60"/>
      <c r="C79" s="60"/>
      <c r="D79" s="72"/>
      <c r="E79" s="72"/>
      <c r="F79" s="72"/>
      <c r="G79" s="72"/>
      <c r="H79" s="72"/>
      <c r="I79" s="72"/>
      <c r="J79" s="72"/>
      <c r="K79" s="72"/>
      <c r="L79" s="72"/>
      <c r="M79" s="72"/>
      <c r="N79" s="72"/>
      <c r="O79" s="72"/>
      <c r="P79" s="72"/>
      <c r="Q79" s="72"/>
      <c r="R79" s="72"/>
      <c r="S79" s="72"/>
      <c r="T79" s="72"/>
      <c r="U79" s="72"/>
      <c r="V79" s="72"/>
      <c r="W79" s="72"/>
      <c r="X79" s="72"/>
      <c r="Y79" s="72"/>
      <c r="Z79" s="72"/>
      <c r="AA79" s="72"/>
      <c r="AB79" s="118"/>
      <c r="AC79" s="72"/>
      <c r="AD79" s="117"/>
      <c r="AE79" s="72" t="str">
        <f>'Sprachen &amp; Rückgabewerte(3)'!$H$52</f>
        <v>Standardgrundplatten:</v>
      </c>
      <c r="AF79" s="72"/>
      <c r="AG79" s="72"/>
      <c r="AH79" s="72"/>
      <c r="AI79" s="72"/>
      <c r="AJ79" s="72"/>
      <c r="AK79" s="72"/>
      <c r="AL79" s="72"/>
      <c r="AM79" s="72"/>
      <c r="AN79" s="606"/>
      <c r="AO79" s="606"/>
      <c r="AP79" s="606"/>
      <c r="AQ79" s="72"/>
      <c r="AR79" s="72"/>
      <c r="AS79" s="72"/>
      <c r="AT79" s="110"/>
      <c r="AU79" s="110"/>
      <c r="AW79" s="321"/>
      <c r="AX79" s="321"/>
    </row>
    <row r="80" spans="2:50" ht="12" customHeight="1" thickBot="1" x14ac:dyDescent="0.25">
      <c r="B80" s="60"/>
      <c r="C80" s="60"/>
      <c r="D80" s="72"/>
      <c r="E80" s="72"/>
      <c r="F80" s="72"/>
      <c r="G80" s="72"/>
      <c r="H80" s="72"/>
      <c r="I80" s="72"/>
      <c r="J80" s="72"/>
      <c r="K80" s="72"/>
      <c r="L80" s="72"/>
      <c r="M80" s="72"/>
      <c r="N80" s="72"/>
      <c r="O80" s="72"/>
      <c r="P80" s="72"/>
      <c r="Q80" s="72"/>
      <c r="R80" s="72"/>
      <c r="S80" s="72"/>
      <c r="T80" s="72"/>
      <c r="U80" s="72"/>
      <c r="V80" s="72"/>
      <c r="W80" s="72"/>
      <c r="X80" s="72"/>
      <c r="Y80" s="72"/>
      <c r="Z80" s="72"/>
      <c r="AA80" s="72"/>
      <c r="AB80" s="118"/>
      <c r="AC80" s="72"/>
      <c r="AD80" s="117"/>
      <c r="AE80" s="182" t="str">
        <f>'Sprachen &amp; Rückgabewerte(3)'!$H$84</f>
        <v>Rahmenzusammenbau:</v>
      </c>
      <c r="AF80" s="72"/>
      <c r="AG80" s="72"/>
      <c r="AH80" s="72"/>
      <c r="AI80" s="72"/>
      <c r="AJ80" s="72"/>
      <c r="AK80" s="72"/>
      <c r="AL80" s="72"/>
      <c r="AM80" s="72"/>
      <c r="AN80" s="607"/>
      <c r="AO80" s="608"/>
      <c r="AP80" s="608"/>
      <c r="AQ80" s="608"/>
      <c r="AR80" s="608"/>
      <c r="AS80" s="609"/>
      <c r="AT80" s="110"/>
      <c r="AU80" s="319"/>
      <c r="AV80" s="84"/>
      <c r="AW80" s="322"/>
      <c r="AX80" s="322"/>
    </row>
    <row r="81" spans="2:50" ht="12.75" customHeight="1" x14ac:dyDescent="0.2">
      <c r="B81" s="60"/>
      <c r="C81" s="60"/>
      <c r="D81" s="72"/>
      <c r="E81" s="72"/>
      <c r="F81" s="72"/>
      <c r="G81" s="72"/>
      <c r="H81" s="72"/>
      <c r="I81" s="72"/>
      <c r="J81" s="72"/>
      <c r="K81" s="72"/>
      <c r="L81" s="72"/>
      <c r="M81" s="72"/>
      <c r="N81" s="72"/>
      <c r="O81" s="72"/>
      <c r="P81" s="72"/>
      <c r="Q81" s="72"/>
      <c r="R81" s="72"/>
      <c r="S81" s="72"/>
      <c r="T81" s="72"/>
      <c r="U81" s="72"/>
      <c r="V81" s="72"/>
      <c r="W81" s="72"/>
      <c r="X81" s="72"/>
      <c r="Y81" s="72"/>
      <c r="Z81" s="72"/>
      <c r="AA81" s="72"/>
      <c r="AB81" s="118"/>
      <c r="AC81" s="72"/>
      <c r="AD81" s="119"/>
      <c r="AE81" s="120"/>
      <c r="AF81" s="120"/>
      <c r="AG81" s="120"/>
      <c r="AH81" s="120"/>
      <c r="AI81" s="120"/>
      <c r="AJ81" s="120"/>
      <c r="AK81" s="120"/>
      <c r="AL81" s="120"/>
      <c r="AM81" s="120"/>
      <c r="AN81" s="120"/>
      <c r="AO81" s="120"/>
      <c r="AP81" s="120"/>
      <c r="AQ81" s="120"/>
      <c r="AR81" s="120"/>
      <c r="AS81" s="120"/>
      <c r="AT81" s="111"/>
      <c r="AU81" s="110"/>
    </row>
    <row r="82" spans="2:50" ht="12.75" customHeight="1" x14ac:dyDescent="0.2">
      <c r="B82" s="60"/>
      <c r="C82" s="60"/>
      <c r="D82" s="72"/>
      <c r="E82" s="72"/>
      <c r="F82" s="72"/>
      <c r="G82" s="72"/>
      <c r="H82" s="72"/>
      <c r="I82" s="72"/>
      <c r="J82" s="72"/>
      <c r="K82" s="72"/>
      <c r="L82" s="72"/>
      <c r="M82" s="72"/>
      <c r="N82" s="72"/>
      <c r="O82" s="72"/>
      <c r="P82" s="72"/>
      <c r="Q82" s="72"/>
      <c r="R82" s="72"/>
      <c r="S82" s="72"/>
      <c r="T82" s="72"/>
      <c r="U82" s="72"/>
      <c r="V82" s="72"/>
      <c r="W82" s="72"/>
      <c r="X82" s="72"/>
      <c r="Y82" s="72"/>
      <c r="Z82" s="72"/>
      <c r="AA82" s="72"/>
      <c r="AB82" s="118"/>
      <c r="AC82" s="72"/>
      <c r="AD82" s="72"/>
      <c r="AE82" s="72"/>
      <c r="AF82" s="72"/>
      <c r="AG82" s="72"/>
      <c r="AH82" s="72"/>
      <c r="AI82" s="72"/>
      <c r="AJ82" s="72"/>
      <c r="AK82" s="72"/>
      <c r="AL82" s="72"/>
      <c r="AM82" s="72"/>
      <c r="AN82" s="72"/>
      <c r="AO82" s="72"/>
      <c r="AP82" s="72"/>
      <c r="AQ82" s="72"/>
      <c r="AR82" s="72"/>
      <c r="AS82" s="72"/>
      <c r="AT82" s="61"/>
      <c r="AU82" s="110"/>
    </row>
    <row r="83" spans="2:50" ht="12.75" customHeight="1" x14ac:dyDescent="0.2">
      <c r="B83" s="60"/>
      <c r="C83" s="60"/>
      <c r="D83" s="72"/>
      <c r="E83" s="72"/>
      <c r="F83" s="72"/>
      <c r="G83" s="72"/>
      <c r="H83" s="72"/>
      <c r="I83" s="72"/>
      <c r="J83" s="72"/>
      <c r="K83" s="72"/>
      <c r="L83" s="72"/>
      <c r="M83" s="72"/>
      <c r="N83" s="72"/>
      <c r="O83" s="72"/>
      <c r="P83" s="72"/>
      <c r="Q83" s="72"/>
      <c r="R83" s="72"/>
      <c r="S83" s="72"/>
      <c r="T83" s="72"/>
      <c r="U83" s="72"/>
      <c r="V83" s="72"/>
      <c r="W83" s="72"/>
      <c r="X83" s="72"/>
      <c r="Y83" s="72"/>
      <c r="Z83" s="72"/>
      <c r="AA83" s="72"/>
      <c r="AB83" s="118"/>
      <c r="AC83" s="72"/>
      <c r="AD83" s="114"/>
      <c r="AE83" s="116" t="str">
        <f>'Sprachen &amp; Rückgabewerte(3)'!$H$87</f>
        <v>Logistik:</v>
      </c>
      <c r="AF83" s="116"/>
      <c r="AG83" s="115"/>
      <c r="AH83" s="115"/>
      <c r="AI83" s="115"/>
      <c r="AJ83" s="115"/>
      <c r="AK83" s="115"/>
      <c r="AL83" s="115"/>
      <c r="AM83" s="115"/>
      <c r="AN83" s="116" t="str">
        <f>'Sprachen &amp; Rückgabewerte(3)'!$H$49</f>
        <v>Zubehör:</v>
      </c>
      <c r="AO83" s="115"/>
      <c r="AP83" s="115"/>
      <c r="AQ83" s="115"/>
      <c r="AR83" s="115"/>
      <c r="AS83" s="115"/>
      <c r="AT83" s="109"/>
      <c r="AU83" s="110"/>
    </row>
    <row r="84" spans="2:50" ht="12.75" customHeight="1" x14ac:dyDescent="0.2">
      <c r="B84" s="60"/>
      <c r="C84" s="60"/>
      <c r="D84" s="72"/>
      <c r="E84" s="72"/>
      <c r="F84" s="72"/>
      <c r="G84" s="72"/>
      <c r="H84" s="73" t="str">
        <f>'Sprachen &amp; Rückgabewerte(3)'!$B$45</f>
        <v>321801/321801</v>
      </c>
      <c r="I84" s="72"/>
      <c r="J84" s="72"/>
      <c r="K84" s="72"/>
      <c r="L84" s="72"/>
      <c r="M84" s="72"/>
      <c r="N84" s="61"/>
      <c r="O84" s="73" t="str">
        <f>'Sprachen &amp; Rückgabewerte(3)'!$B$46</f>
        <v>321801/322201</v>
      </c>
      <c r="P84" s="72"/>
      <c r="Q84" s="72"/>
      <c r="R84" s="72"/>
      <c r="S84" s="72"/>
      <c r="T84" s="72"/>
      <c r="U84" s="61"/>
      <c r="V84" s="73" t="str">
        <f>'Sprachen &amp; Rückgabewerte(3)'!$B$47</f>
        <v>322201/322201</v>
      </c>
      <c r="W84" s="72"/>
      <c r="X84" s="72"/>
      <c r="Y84" s="72"/>
      <c r="Z84" s="72"/>
      <c r="AA84" s="72"/>
      <c r="AB84" s="118"/>
      <c r="AC84" s="72"/>
      <c r="AD84" s="117"/>
      <c r="AE84" s="550"/>
      <c r="AF84" s="614"/>
      <c r="AG84" s="614"/>
      <c r="AH84" s="614"/>
      <c r="AI84" s="614"/>
      <c r="AJ84" s="614"/>
      <c r="AK84" s="614"/>
      <c r="AL84" s="551"/>
      <c r="AM84" s="72"/>
      <c r="AN84" s="72"/>
      <c r="AO84" s="72" t="str">
        <f>'Sprachen &amp; Rückgabewerte(3)'!$H$50</f>
        <v>Rinne (siehe unten)</v>
      </c>
      <c r="AP84" s="72"/>
      <c r="AQ84" s="72"/>
      <c r="AR84" s="72"/>
      <c r="AS84" s="72"/>
      <c r="AT84" s="110"/>
      <c r="AU84" s="199"/>
      <c r="AV84" s="199"/>
    </row>
    <row r="85" spans="2:50" ht="12.75" customHeight="1" x14ac:dyDescent="0.2">
      <c r="B85" s="60"/>
      <c r="C85" s="60"/>
      <c r="D85" s="72"/>
      <c r="E85" s="72"/>
      <c r="F85" s="72"/>
      <c r="G85" s="72"/>
      <c r="H85" s="699"/>
      <c r="I85" s="700"/>
      <c r="J85" s="700"/>
      <c r="K85" s="701"/>
      <c r="L85" s="72"/>
      <c r="M85" s="72"/>
      <c r="N85" s="72"/>
      <c r="O85" s="699"/>
      <c r="P85" s="700"/>
      <c r="Q85" s="700"/>
      <c r="R85" s="701"/>
      <c r="S85" s="72"/>
      <c r="T85" s="72"/>
      <c r="U85" s="72"/>
      <c r="V85" s="699"/>
      <c r="W85" s="700"/>
      <c r="X85" s="700"/>
      <c r="Y85" s="701"/>
      <c r="Z85" s="72"/>
      <c r="AA85" s="72"/>
      <c r="AB85" s="118"/>
      <c r="AC85" s="72"/>
      <c r="AD85" s="117"/>
      <c r="AE85" s="615"/>
      <c r="AF85" s="615"/>
      <c r="AG85" s="615"/>
      <c r="AH85" s="615"/>
      <c r="AI85" s="615"/>
      <c r="AJ85" s="615"/>
      <c r="AK85" s="615"/>
      <c r="AL85" s="615"/>
      <c r="AM85" s="72"/>
      <c r="AN85" s="72"/>
      <c r="AO85" s="72" t="str">
        <f>'Sprachen &amp; Rückgabewerte(3)'!$H$51</f>
        <v>Wetterschenkel</v>
      </c>
      <c r="AP85" s="72"/>
      <c r="AQ85" s="72"/>
      <c r="AR85" s="72"/>
      <c r="AS85" s="72"/>
      <c r="AT85" s="110"/>
      <c r="AU85" s="110"/>
      <c r="AV85" s="220"/>
    </row>
    <row r="86" spans="2:50" ht="12.75" customHeight="1" x14ac:dyDescent="0.2">
      <c r="B86" s="60"/>
      <c r="C86" s="60"/>
      <c r="D86" s="61"/>
      <c r="E86" s="61"/>
      <c r="F86" s="61"/>
      <c r="G86" s="61"/>
      <c r="H86" s="61"/>
      <c r="I86" s="61"/>
      <c r="J86" s="61"/>
      <c r="K86" s="61"/>
      <c r="L86" s="61"/>
      <c r="M86" s="61"/>
      <c r="N86" s="61"/>
      <c r="O86" s="61"/>
      <c r="P86" s="61"/>
      <c r="Q86" s="61"/>
      <c r="R86" s="61"/>
      <c r="S86" s="61"/>
      <c r="T86" s="61"/>
      <c r="U86" s="61"/>
      <c r="V86" s="61"/>
      <c r="W86" s="61"/>
      <c r="X86" s="61"/>
      <c r="Y86" s="61"/>
      <c r="Z86" s="61"/>
      <c r="AA86" s="61"/>
      <c r="AB86" s="110"/>
      <c r="AC86" s="61"/>
      <c r="AD86" s="60"/>
      <c r="AE86" s="61"/>
      <c r="AF86" s="61"/>
      <c r="AG86" s="61"/>
      <c r="AH86" s="61"/>
      <c r="AI86" s="61"/>
      <c r="AJ86" s="61"/>
      <c r="AK86" s="61"/>
      <c r="AL86" s="61"/>
      <c r="AM86" s="61"/>
      <c r="AN86" s="61"/>
      <c r="AO86" s="61" t="str">
        <f>IF('Sprachen &amp; Rückgabewerte(3)'!$I$51=TRUE,"L=","")</f>
        <v/>
      </c>
      <c r="AP86" s="605"/>
      <c r="AQ86" s="605"/>
      <c r="AR86" s="605"/>
      <c r="AS86" s="61" t="str">
        <f>IF('Sprachen &amp; Rückgabewerte(3)'!$I$51=TRUE,"mm","")</f>
        <v/>
      </c>
      <c r="AT86" s="110"/>
      <c r="AU86" s="110"/>
      <c r="AV86" s="220"/>
    </row>
    <row r="87" spans="2:50" ht="12.75" customHeight="1" x14ac:dyDescent="0.2">
      <c r="B87" s="60"/>
      <c r="C87" s="60"/>
      <c r="D87" s="61"/>
      <c r="E87" s="61"/>
      <c r="F87" s="61"/>
      <c r="G87" s="61"/>
      <c r="H87" s="61"/>
      <c r="I87" s="61"/>
      <c r="J87" s="61"/>
      <c r="K87" s="61"/>
      <c r="L87" s="61"/>
      <c r="M87" s="61"/>
      <c r="N87" s="61"/>
      <c r="O87" s="61"/>
      <c r="P87" s="61"/>
      <c r="Q87" s="61"/>
      <c r="R87" s="61"/>
      <c r="S87" s="61"/>
      <c r="T87" s="61"/>
      <c r="U87" s="61"/>
      <c r="V87" s="61"/>
      <c r="W87" s="61"/>
      <c r="X87" s="61"/>
      <c r="Y87" s="61"/>
      <c r="Z87" s="712" t="str">
        <f>'Sprachen &amp; Rückgabewerte(3)'!$H$118</f>
        <v>Standard (RC2 in Anlehnung)</v>
      </c>
      <c r="AA87" s="712"/>
      <c r="AB87" s="713"/>
      <c r="AC87" s="61"/>
      <c r="AD87" s="60"/>
      <c r="AE87" s="313" t="str">
        <f>'Sprachen &amp; Rückgabewerte(3)'!$H$47</f>
        <v>Windlast:</v>
      </c>
      <c r="AF87" s="81"/>
      <c r="AG87" s="149"/>
      <c r="AH87" s="61"/>
      <c r="AI87" s="61"/>
      <c r="AJ87" s="61"/>
      <c r="AK87" s="61"/>
      <c r="AL87" s="61"/>
      <c r="AM87" s="583"/>
      <c r="AN87" s="584"/>
      <c r="AO87" s="585"/>
      <c r="AP87" s="314" t="s">
        <v>704</v>
      </c>
      <c r="AS87" s="178"/>
      <c r="AT87" s="110"/>
      <c r="AU87" s="110"/>
      <c r="AV87" s="220"/>
    </row>
    <row r="88" spans="2:50" ht="12.75" customHeight="1" x14ac:dyDescent="0.2">
      <c r="B88" s="60"/>
      <c r="C88" s="60"/>
      <c r="D88" s="61"/>
      <c r="E88" s="61"/>
      <c r="F88" s="61"/>
      <c r="G88" s="61"/>
      <c r="H88" s="61"/>
      <c r="I88" s="61"/>
      <c r="J88" s="61"/>
      <c r="K88" s="61"/>
      <c r="L88" s="61"/>
      <c r="M88" s="61"/>
      <c r="N88" s="61"/>
      <c r="O88" s="61"/>
      <c r="P88" s="61"/>
      <c r="Q88" s="61"/>
      <c r="R88" s="61"/>
      <c r="S88" s="61"/>
      <c r="T88" s="61"/>
      <c r="U88" s="61"/>
      <c r="V88" s="61"/>
      <c r="W88" s="61"/>
      <c r="X88" s="61"/>
      <c r="Y88" s="61"/>
      <c r="Z88" s="712"/>
      <c r="AA88" s="712"/>
      <c r="AB88" s="713"/>
      <c r="AC88" s="61"/>
      <c r="AD88" s="60"/>
      <c r="AE88" s="182" t="str">
        <f>'Sprachen &amp; Rückgabewerte(3)'!$H$90</f>
        <v>Wunschtermin:</v>
      </c>
      <c r="AF88" s="312"/>
      <c r="AG88" s="312"/>
      <c r="AH88" s="312"/>
      <c r="AI88" s="312"/>
      <c r="AJ88" s="312"/>
      <c r="AK88" s="312"/>
      <c r="AL88" s="312"/>
      <c r="AM88" s="578"/>
      <c r="AN88" s="579"/>
      <c r="AO88" s="579"/>
      <c r="AP88" s="580"/>
      <c r="AQ88" s="580"/>
      <c r="AR88" s="581"/>
      <c r="AS88" s="312"/>
      <c r="AT88" s="110"/>
      <c r="AU88" s="110"/>
      <c r="AV88" s="220"/>
    </row>
    <row r="89" spans="2:50" ht="12.75" customHeight="1" x14ac:dyDescent="0.2">
      <c r="B89" s="60"/>
      <c r="C89" s="60"/>
      <c r="D89" s="61"/>
      <c r="E89" s="61"/>
      <c r="F89" s="61"/>
      <c r="G89" s="61"/>
      <c r="H89" s="61"/>
      <c r="I89" s="61"/>
      <c r="J89" s="61"/>
      <c r="K89" s="61"/>
      <c r="L89" s="61"/>
      <c r="M89" s="61"/>
      <c r="N89" s="61"/>
      <c r="O89" s="61"/>
      <c r="P89" s="61"/>
      <c r="Q89" s="61"/>
      <c r="R89" s="61"/>
      <c r="S89" s="61"/>
      <c r="T89" s="61"/>
      <c r="U89" s="61"/>
      <c r="V89" s="61"/>
      <c r="W89" s="61"/>
      <c r="X89" s="61"/>
      <c r="Y89" s="61"/>
      <c r="Z89" s="712"/>
      <c r="AA89" s="712"/>
      <c r="AB89" s="713"/>
      <c r="AC89" s="61"/>
      <c r="AD89" s="60"/>
      <c r="AF89" s="312"/>
      <c r="AG89" s="312"/>
      <c r="AH89" s="312"/>
      <c r="AI89" s="312"/>
      <c r="AJ89" s="312"/>
      <c r="AK89" s="312"/>
      <c r="AL89" s="312"/>
      <c r="AS89" s="312"/>
      <c r="AT89" s="110"/>
      <c r="AU89" s="110"/>
      <c r="AV89" s="220"/>
    </row>
    <row r="90" spans="2:50" ht="12.75" customHeight="1" x14ac:dyDescent="0.2">
      <c r="B90" s="60"/>
      <c r="C90" s="60"/>
      <c r="D90" s="61"/>
      <c r="E90" s="61"/>
      <c r="F90" s="61"/>
      <c r="G90" s="61"/>
      <c r="H90" s="61"/>
      <c r="I90" s="61"/>
      <c r="J90" s="61"/>
      <c r="K90" s="61"/>
      <c r="L90" s="61"/>
      <c r="M90" s="61"/>
      <c r="N90" s="61"/>
      <c r="O90" s="61"/>
      <c r="P90" s="61"/>
      <c r="Q90" s="61"/>
      <c r="R90" s="61"/>
      <c r="S90" s="61"/>
      <c r="T90" s="61"/>
      <c r="U90" s="61"/>
      <c r="V90" s="150" t="str">
        <f>'Sprachen &amp; Rückgabewerte(3)'!$H$116</f>
        <v>Ganzglas-Ecke</v>
      </c>
      <c r="W90" s="61"/>
      <c r="X90" s="61"/>
      <c r="Y90" s="61"/>
      <c r="Z90" s="61"/>
      <c r="AA90" s="61"/>
      <c r="AB90" s="110"/>
      <c r="AC90" s="61"/>
      <c r="AD90" s="60"/>
      <c r="AE90" s="582" t="str">
        <f>'Sprachen &amp; Rückgabewerte(3)'!$H$102</f>
        <v>Diese Bestellung ist verbindlich und muss komplett ausgefüllt werden. Änderungen werden als Mehraufwand verrechnet.</v>
      </c>
      <c r="AF90" s="582"/>
      <c r="AG90" s="582"/>
      <c r="AH90" s="582"/>
      <c r="AI90" s="582"/>
      <c r="AJ90" s="582"/>
      <c r="AK90" s="582"/>
      <c r="AL90" s="582"/>
      <c r="AM90" s="582"/>
      <c r="AN90" s="582"/>
      <c r="AO90" s="582"/>
      <c r="AP90" s="582"/>
      <c r="AQ90" s="582"/>
      <c r="AR90" s="582"/>
      <c r="AS90" s="582"/>
      <c r="AT90" s="110"/>
      <c r="AU90" s="110"/>
      <c r="AV90" s="220"/>
    </row>
    <row r="91" spans="2:50" ht="12.75" customHeight="1" x14ac:dyDescent="0.2">
      <c r="B91" s="60"/>
      <c r="C91" s="60"/>
      <c r="D91" s="61"/>
      <c r="E91" s="61"/>
      <c r="F91" s="61"/>
      <c r="G91" s="61"/>
      <c r="H91" s="61"/>
      <c r="I91" s="61"/>
      <c r="J91" s="61"/>
      <c r="K91" s="61"/>
      <c r="L91" s="61"/>
      <c r="M91" s="61"/>
      <c r="N91" s="61"/>
      <c r="O91" s="61"/>
      <c r="P91" s="61"/>
      <c r="Q91" s="61"/>
      <c r="R91" s="61"/>
      <c r="S91" s="61"/>
      <c r="T91" s="61"/>
      <c r="U91" s="61"/>
      <c r="V91" s="61"/>
      <c r="W91" s="61"/>
      <c r="X91" s="61"/>
      <c r="Y91" s="61"/>
      <c r="Z91" s="714" t="str">
        <f>'Sprachen &amp; Rückgabewerte(3)'!$H$119</f>
        <v>RC2 mit Blech</v>
      </c>
      <c r="AA91" s="714"/>
      <c r="AB91" s="715"/>
      <c r="AC91" s="61"/>
      <c r="AD91" s="60"/>
      <c r="AE91" s="582"/>
      <c r="AF91" s="582"/>
      <c r="AG91" s="582"/>
      <c r="AH91" s="582"/>
      <c r="AI91" s="582"/>
      <c r="AJ91" s="582"/>
      <c r="AK91" s="582"/>
      <c r="AL91" s="582"/>
      <c r="AM91" s="582"/>
      <c r="AN91" s="582"/>
      <c r="AO91" s="582"/>
      <c r="AP91" s="582"/>
      <c r="AQ91" s="582"/>
      <c r="AR91" s="582"/>
      <c r="AS91" s="582"/>
      <c r="AT91" s="110"/>
      <c r="AU91" s="110"/>
      <c r="AV91" s="220"/>
    </row>
    <row r="92" spans="2:50" ht="12.75" customHeight="1" x14ac:dyDescent="0.2">
      <c r="B92" s="60"/>
      <c r="C92" s="60"/>
      <c r="D92" s="61"/>
      <c r="E92" s="61"/>
      <c r="F92" s="61"/>
      <c r="G92" s="61"/>
      <c r="H92" s="61"/>
      <c r="I92" s="61"/>
      <c r="J92" s="61"/>
      <c r="K92" s="61"/>
      <c r="L92" s="61"/>
      <c r="M92" s="61"/>
      <c r="N92" s="61"/>
      <c r="O92" s="61"/>
      <c r="P92" s="61"/>
      <c r="Q92" s="61"/>
      <c r="R92" s="61"/>
      <c r="S92" s="61"/>
      <c r="T92" s="61"/>
      <c r="U92" s="61"/>
      <c r="V92" s="61"/>
      <c r="W92" s="61"/>
      <c r="X92" s="61"/>
      <c r="Y92" s="61"/>
      <c r="Z92" s="714"/>
      <c r="AA92" s="714"/>
      <c r="AB92" s="715"/>
      <c r="AC92" s="61"/>
      <c r="AD92" s="60"/>
      <c r="AE92" s="582"/>
      <c r="AF92" s="582"/>
      <c r="AG92" s="582"/>
      <c r="AH92" s="582"/>
      <c r="AI92" s="582"/>
      <c r="AJ92" s="582"/>
      <c r="AK92" s="582"/>
      <c r="AL92" s="582"/>
      <c r="AM92" s="582"/>
      <c r="AN92" s="582"/>
      <c r="AO92" s="582"/>
      <c r="AP92" s="582"/>
      <c r="AQ92" s="582"/>
      <c r="AR92" s="582"/>
      <c r="AS92" s="582"/>
      <c r="AT92" s="110"/>
      <c r="AU92" s="110"/>
      <c r="AV92" s="220"/>
    </row>
    <row r="93" spans="2:50" ht="12.75" customHeight="1" x14ac:dyDescent="0.2">
      <c r="B93" s="60"/>
      <c r="C93" s="60"/>
      <c r="D93" s="61"/>
      <c r="E93" s="61"/>
      <c r="F93" s="61"/>
      <c r="G93" s="61"/>
      <c r="H93" s="61"/>
      <c r="I93" s="61"/>
      <c r="J93" s="61"/>
      <c r="K93" s="61"/>
      <c r="L93" s="61"/>
      <c r="M93" s="61"/>
      <c r="N93" s="61"/>
      <c r="O93" s="61"/>
      <c r="P93" s="61"/>
      <c r="Q93" s="61"/>
      <c r="R93" s="61"/>
      <c r="S93" s="61"/>
      <c r="T93" s="61"/>
      <c r="U93" s="61"/>
      <c r="V93" s="61"/>
      <c r="W93" s="61"/>
      <c r="X93" s="61"/>
      <c r="Y93" s="61"/>
      <c r="Z93" s="714"/>
      <c r="AA93" s="714"/>
      <c r="AB93" s="715"/>
      <c r="AC93" s="61"/>
      <c r="AD93" s="68"/>
      <c r="AE93" s="84"/>
      <c r="AF93" s="84"/>
      <c r="AG93" s="84"/>
      <c r="AH93" s="84"/>
      <c r="AI93" s="84"/>
      <c r="AJ93" s="84"/>
      <c r="AK93" s="84"/>
      <c r="AL93" s="84"/>
      <c r="AM93" s="84"/>
      <c r="AN93" s="84"/>
      <c r="AO93" s="84"/>
      <c r="AP93" s="84"/>
      <c r="AQ93" s="84"/>
      <c r="AR93" s="84"/>
      <c r="AS93" s="84"/>
      <c r="AT93" s="111"/>
      <c r="AU93" s="110"/>
      <c r="AV93" s="220"/>
    </row>
    <row r="94" spans="2:50" ht="12.75" customHeight="1" x14ac:dyDescent="0.2">
      <c r="B94" s="60"/>
      <c r="C94" s="60"/>
      <c r="D94" s="61"/>
      <c r="E94" s="61"/>
      <c r="F94" s="61"/>
      <c r="G94" s="61"/>
      <c r="H94" s="61"/>
      <c r="I94" s="61"/>
      <c r="J94" s="61"/>
      <c r="K94" s="61"/>
      <c r="L94" s="61"/>
      <c r="M94" s="61"/>
      <c r="N94" s="61"/>
      <c r="O94" s="61"/>
      <c r="P94" s="61"/>
      <c r="Q94" s="61"/>
      <c r="R94" s="61"/>
      <c r="S94" s="61"/>
      <c r="T94" s="61"/>
      <c r="U94" s="61"/>
      <c r="V94" s="61"/>
      <c r="W94" s="61"/>
      <c r="X94" s="61"/>
      <c r="Y94" s="61"/>
      <c r="Z94" s="61"/>
      <c r="AA94" s="61"/>
      <c r="AB94" s="110"/>
      <c r="AC94" s="61"/>
      <c r="AD94" s="61"/>
      <c r="AE94" s="61"/>
      <c r="AF94" s="61"/>
      <c r="AG94" s="61"/>
      <c r="AH94" s="61"/>
      <c r="AI94" s="61"/>
      <c r="AJ94" s="61"/>
      <c r="AK94" s="72"/>
      <c r="AL94" s="72"/>
      <c r="AM94" s="72"/>
      <c r="AN94" s="72"/>
      <c r="AO94" s="72"/>
      <c r="AP94" s="72"/>
      <c r="AQ94" s="72"/>
      <c r="AR94" s="61"/>
      <c r="AS94" s="61"/>
      <c r="AT94" s="61"/>
      <c r="AU94" s="110"/>
      <c r="AV94" s="220"/>
    </row>
    <row r="95" spans="2:50" ht="12.75" customHeight="1" x14ac:dyDescent="0.2">
      <c r="B95" s="60"/>
      <c r="C95" s="60"/>
      <c r="D95" s="61"/>
      <c r="E95" s="61"/>
      <c r="F95" s="61"/>
      <c r="G95" s="61"/>
      <c r="H95" s="150" t="str">
        <f>'Sprachen &amp; Rückgabewerte(3)'!$B$48</f>
        <v>310101/310301</v>
      </c>
      <c r="I95" s="61"/>
      <c r="J95" s="61"/>
      <c r="K95" s="61"/>
      <c r="L95" s="61"/>
      <c r="M95" s="61"/>
      <c r="N95" s="61"/>
      <c r="O95" s="150" t="str">
        <f>'Sprachen &amp; Rückgabewerte(3)'!$B$49</f>
        <v>310101/310501</v>
      </c>
      <c r="P95" s="61"/>
      <c r="Q95" s="61"/>
      <c r="R95" s="61"/>
      <c r="S95" s="61"/>
      <c r="T95" s="61"/>
      <c r="U95" s="61"/>
      <c r="W95" s="61"/>
      <c r="X95" s="61"/>
      <c r="Y95" s="61"/>
      <c r="Z95" s="61"/>
      <c r="AA95" s="61"/>
      <c r="AB95" s="110"/>
      <c r="AC95" s="61"/>
      <c r="AD95" s="107"/>
      <c r="AE95" s="115"/>
      <c r="AF95" s="115"/>
      <c r="AG95" s="115"/>
      <c r="AH95" s="115"/>
      <c r="AI95" s="115"/>
      <c r="AJ95" s="115"/>
      <c r="AK95" s="115"/>
      <c r="AL95" s="115"/>
      <c r="AM95" s="115"/>
      <c r="AN95" s="115"/>
      <c r="AO95" s="115"/>
      <c r="AP95" s="115"/>
      <c r="AQ95" s="115"/>
      <c r="AR95" s="115"/>
      <c r="AS95" s="115"/>
      <c r="AT95" s="409"/>
      <c r="AU95" s="110"/>
      <c r="AV95" s="220"/>
      <c r="AW95" s="411" t="str">
        <f>IF(OR(AQ96="",AQ96='Sprachen &amp; Rückgabewerte(3)'!H96),"",'Sprachen &amp; Rückgabewerte(3)'!H182)</f>
        <v/>
      </c>
    </row>
    <row r="96" spans="2:50" ht="12.75" customHeight="1" x14ac:dyDescent="0.2">
      <c r="B96" s="60"/>
      <c r="C96" s="60"/>
      <c r="D96" s="61"/>
      <c r="E96" s="61"/>
      <c r="F96" s="61"/>
      <c r="G96" s="61"/>
      <c r="H96" s="699"/>
      <c r="I96" s="700"/>
      <c r="J96" s="700"/>
      <c r="K96" s="701"/>
      <c r="L96" s="61"/>
      <c r="M96" s="61"/>
      <c r="N96" s="61"/>
      <c r="O96" s="711"/>
      <c r="P96" s="711"/>
      <c r="Q96" s="711"/>
      <c r="R96" s="711"/>
      <c r="S96" s="61"/>
      <c r="T96" s="61"/>
      <c r="U96" s="61"/>
      <c r="V96" s="150" t="str">
        <f>'Sprachen &amp; Rückgabewerte(3)'!$H$117</f>
        <v>Ecke RC2 (WK2)</v>
      </c>
      <c r="W96" s="61"/>
      <c r="X96" s="61"/>
      <c r="Y96" s="61"/>
      <c r="Z96" s="61"/>
      <c r="AA96" s="61"/>
      <c r="AB96" s="110"/>
      <c r="AC96" s="61"/>
      <c r="AD96" s="60"/>
      <c r="AE96" s="73" t="str">
        <f>'Sprachen &amp; Rückgabewerte(3)'!H181</f>
        <v>Sky-Frame Beratung vorhanden:</v>
      </c>
      <c r="AF96" s="72"/>
      <c r="AG96" s="72"/>
      <c r="AH96" s="72"/>
      <c r="AI96" s="72"/>
      <c r="AJ96" s="72"/>
      <c r="AK96" s="72"/>
      <c r="AL96" s="72"/>
      <c r="AM96" s="72"/>
      <c r="AN96" s="72"/>
      <c r="AO96" s="72"/>
      <c r="AP96" s="72"/>
      <c r="AQ96" s="594"/>
      <c r="AR96" s="595"/>
      <c r="AS96" s="412"/>
      <c r="AT96" s="410"/>
      <c r="AU96" s="111"/>
      <c r="AV96" s="413"/>
      <c r="AW96" s="596"/>
      <c r="AX96" s="597"/>
    </row>
    <row r="97" spans="2:48" ht="12.75" customHeight="1" x14ac:dyDescent="0.2">
      <c r="B97" s="60"/>
      <c r="C97" s="68"/>
      <c r="D97" s="84"/>
      <c r="E97" s="84"/>
      <c r="F97" s="84"/>
      <c r="G97" s="84"/>
      <c r="H97" s="84"/>
      <c r="I97" s="84"/>
      <c r="J97" s="84"/>
      <c r="K97" s="84"/>
      <c r="L97" s="84"/>
      <c r="M97" s="84"/>
      <c r="N97" s="84"/>
      <c r="O97" s="84"/>
      <c r="P97" s="84"/>
      <c r="Q97" s="84"/>
      <c r="R97" s="84"/>
      <c r="S97" s="84"/>
      <c r="T97" s="84"/>
      <c r="U97" s="84"/>
      <c r="V97" s="560"/>
      <c r="W97" s="561"/>
      <c r="X97" s="561"/>
      <c r="Y97" s="562"/>
      <c r="Z97" s="84"/>
      <c r="AA97" s="84"/>
      <c r="AB97" s="111"/>
      <c r="AC97" s="61"/>
      <c r="AD97" s="68"/>
      <c r="AE97" s="120"/>
      <c r="AF97" s="120"/>
      <c r="AG97" s="120"/>
      <c r="AH97" s="120"/>
      <c r="AI97" s="120"/>
      <c r="AJ97" s="120"/>
      <c r="AK97" s="120"/>
      <c r="AL97" s="120"/>
      <c r="AM97" s="120"/>
      <c r="AN97" s="120"/>
      <c r="AO97" s="120"/>
      <c r="AP97" s="120"/>
      <c r="AQ97" s="120"/>
      <c r="AR97" s="120"/>
      <c r="AS97" s="120"/>
      <c r="AT97" s="410"/>
      <c r="AU97" s="110"/>
      <c r="AV97" s="220"/>
    </row>
    <row r="98" spans="2:48" ht="19.5" customHeight="1" x14ac:dyDescent="0.2">
      <c r="B98" s="68"/>
      <c r="C98" s="710" t="s">
        <v>935</v>
      </c>
      <c r="D98" s="710"/>
      <c r="E98" s="710"/>
      <c r="F98" s="710"/>
      <c r="G98" s="710"/>
      <c r="H98" s="710"/>
      <c r="I98" s="710"/>
      <c r="J98" s="710"/>
      <c r="K98" s="710"/>
      <c r="L98" s="710"/>
      <c r="M98" s="710"/>
      <c r="N98" s="710"/>
      <c r="O98" s="710"/>
      <c r="P98" s="710"/>
      <c r="Q98" s="710"/>
      <c r="R98" s="710"/>
      <c r="S98" s="710"/>
      <c r="T98" s="710"/>
      <c r="U98" s="710"/>
      <c r="V98" s="710"/>
      <c r="W98" s="710"/>
      <c r="X98" s="710"/>
      <c r="Y98" s="710"/>
      <c r="Z98" s="710"/>
      <c r="AA98" s="710"/>
      <c r="AB98" s="710"/>
      <c r="AC98" s="710"/>
      <c r="AD98" s="710"/>
      <c r="AE98" s="710"/>
      <c r="AF98" s="710"/>
      <c r="AG98" s="710"/>
      <c r="AH98" s="710"/>
      <c r="AI98" s="710"/>
      <c r="AJ98" s="710"/>
      <c r="AK98" s="710"/>
      <c r="AL98" s="710"/>
      <c r="AM98" s="710"/>
      <c r="AN98" s="710"/>
      <c r="AO98" s="710"/>
      <c r="AP98" s="84"/>
      <c r="AQ98" s="84"/>
      <c r="AR98" s="84"/>
      <c r="AS98" s="84"/>
      <c r="AT98" s="152" t="s">
        <v>932</v>
      </c>
      <c r="AU98" s="111"/>
      <c r="AV98" s="220"/>
    </row>
    <row r="99" spans="2:48" ht="19.5" customHeight="1" x14ac:dyDescent="0.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247"/>
      <c r="AU99" s="61"/>
      <c r="AV99" s="110"/>
    </row>
    <row r="100" spans="2:48" x14ac:dyDescent="0.2">
      <c r="AV100" s="111"/>
    </row>
    <row r="101" spans="2:48" ht="13.5" thickBot="1" x14ac:dyDescent="0.25">
      <c r="B101" s="107"/>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c r="AH101" s="82"/>
      <c r="AI101" s="82"/>
      <c r="AJ101" s="82"/>
      <c r="AK101" s="82"/>
      <c r="AL101" s="82"/>
      <c r="AM101" s="82"/>
      <c r="AN101" s="82"/>
      <c r="AO101" s="82"/>
      <c r="AP101" s="82"/>
      <c r="AQ101" s="82"/>
      <c r="AR101" s="82"/>
      <c r="AS101" s="82"/>
      <c r="AT101" s="82"/>
      <c r="AU101" s="109"/>
    </row>
    <row r="102" spans="2:48" ht="16.5" thickTop="1" x14ac:dyDescent="0.25">
      <c r="B102" s="60"/>
      <c r="C102" s="107"/>
      <c r="D102" s="82"/>
      <c r="E102" s="265" t="str">
        <f>'Sprachen &amp; Rückgabewerte(3)'!$H$138</f>
        <v>Rinnenbestellung</v>
      </c>
      <c r="F102" s="82"/>
      <c r="G102" s="82"/>
      <c r="H102" s="82"/>
      <c r="I102" s="82"/>
      <c r="J102" s="82"/>
      <c r="K102" s="82"/>
      <c r="L102" s="82"/>
      <c r="M102" s="82"/>
      <c r="N102" s="82"/>
      <c r="O102" s="82"/>
      <c r="P102" s="82"/>
      <c r="Q102" s="82"/>
      <c r="R102" s="82"/>
      <c r="S102" s="82"/>
      <c r="T102" s="82"/>
      <c r="U102" s="82"/>
      <c r="V102" s="82"/>
      <c r="W102" s="82"/>
      <c r="X102" s="82"/>
      <c r="Y102" s="82"/>
      <c r="Z102" s="109"/>
      <c r="AA102" s="61"/>
      <c r="AB102" s="232"/>
      <c r="AC102" s="233"/>
      <c r="AD102" s="233"/>
      <c r="AE102" s="233"/>
      <c r="AF102" s="248"/>
      <c r="AG102" s="249"/>
      <c r="AH102" s="252"/>
      <c r="AI102" s="248"/>
      <c r="AJ102" s="248"/>
      <c r="AK102" s="248"/>
      <c r="AL102" s="248"/>
      <c r="AM102" s="249"/>
      <c r="AN102" s="252"/>
      <c r="AO102" s="248"/>
      <c r="AP102" s="248"/>
      <c r="AQ102" s="248"/>
      <c r="AR102" s="248"/>
      <c r="AS102" s="248"/>
      <c r="AT102" s="249"/>
      <c r="AU102" s="110"/>
    </row>
    <row r="103" spans="2:48" x14ac:dyDescent="0.2">
      <c r="B103" s="60"/>
      <c r="C103" s="60"/>
      <c r="D103" s="61"/>
      <c r="E103" s="61"/>
      <c r="F103" s="61"/>
      <c r="G103" s="61"/>
      <c r="H103" s="61"/>
      <c r="I103" s="61"/>
      <c r="J103" s="61"/>
      <c r="K103" s="61"/>
      <c r="L103" s="61"/>
      <c r="M103" s="61"/>
      <c r="N103" s="61"/>
      <c r="O103" s="61"/>
      <c r="P103" s="61"/>
      <c r="Q103" s="61"/>
      <c r="R103" s="61"/>
      <c r="S103" s="61"/>
      <c r="T103" s="61"/>
      <c r="U103" s="61"/>
      <c r="V103" s="61"/>
      <c r="W103" s="61"/>
      <c r="X103" s="61"/>
      <c r="Y103" s="61"/>
      <c r="Z103" s="110"/>
      <c r="AA103" s="61"/>
      <c r="AB103" s="235"/>
      <c r="AC103" s="61"/>
      <c r="AD103" s="61"/>
      <c r="AE103" s="61"/>
      <c r="AF103" s="127"/>
      <c r="AG103" s="250"/>
      <c r="AH103" s="253"/>
      <c r="AI103" s="127"/>
      <c r="AJ103" s="127"/>
      <c r="AK103" s="127"/>
      <c r="AL103" s="127"/>
      <c r="AM103" s="250"/>
      <c r="AN103" s="253"/>
      <c r="AO103" s="127"/>
      <c r="AP103" s="127"/>
      <c r="AQ103" s="127"/>
      <c r="AR103" s="127"/>
      <c r="AS103" s="127"/>
      <c r="AT103" s="250"/>
      <c r="AU103" s="128"/>
    </row>
    <row r="104" spans="2:48" ht="15" customHeight="1" x14ac:dyDescent="0.2">
      <c r="B104" s="60"/>
      <c r="C104" s="60"/>
      <c r="D104" s="61"/>
      <c r="E104" s="72" t="str">
        <f>'Sprachen &amp; Rückgabewerte(3)'!$H$139</f>
        <v>Wahl des Rinnensystems:</v>
      </c>
      <c r="F104" s="61"/>
      <c r="G104" s="61"/>
      <c r="H104" s="61"/>
      <c r="I104" s="61"/>
      <c r="J104" s="61"/>
      <c r="K104" s="61"/>
      <c r="L104" s="61"/>
      <c r="M104" s="61"/>
      <c r="N104" s="61"/>
      <c r="O104" s="61"/>
      <c r="P104" s="61"/>
      <c r="Q104" s="61"/>
      <c r="R104" s="61"/>
      <c r="S104" s="61"/>
      <c r="T104" s="727"/>
      <c r="U104" s="729"/>
      <c r="V104" s="230"/>
      <c r="W104" s="230"/>
      <c r="X104" s="61"/>
      <c r="Y104" s="61"/>
      <c r="Z104" s="110"/>
      <c r="AB104" s="235"/>
      <c r="AC104" s="61"/>
      <c r="AD104" s="61"/>
      <c r="AE104" s="61"/>
      <c r="AF104" s="127"/>
      <c r="AG104" s="250"/>
      <c r="AH104" s="253"/>
      <c r="AI104" s="127"/>
      <c r="AJ104" s="127"/>
      <c r="AK104" s="127"/>
      <c r="AL104" s="127"/>
      <c r="AM104" s="250"/>
      <c r="AN104" s="253"/>
      <c r="AO104" s="127"/>
      <c r="AP104" s="127"/>
      <c r="AQ104" s="127"/>
      <c r="AR104" s="127"/>
      <c r="AS104" s="127"/>
      <c r="AT104" s="250"/>
      <c r="AU104" s="128"/>
    </row>
    <row r="105" spans="2:48" x14ac:dyDescent="0.2">
      <c r="B105" s="60"/>
      <c r="C105" s="60"/>
      <c r="D105" s="61"/>
      <c r="E105" s="61"/>
      <c r="F105" s="61"/>
      <c r="G105" s="61"/>
      <c r="H105" s="61"/>
      <c r="I105" s="61"/>
      <c r="J105" s="61"/>
      <c r="K105" s="61"/>
      <c r="L105" s="61"/>
      <c r="M105" s="61"/>
      <c r="N105" s="61"/>
      <c r="O105" s="61"/>
      <c r="P105" s="61"/>
      <c r="Q105" s="61"/>
      <c r="R105" s="61"/>
      <c r="S105" s="61"/>
      <c r="T105" s="61"/>
      <c r="U105" s="61"/>
      <c r="V105" s="61"/>
      <c r="W105" s="61"/>
      <c r="X105" s="61"/>
      <c r="Y105" s="61"/>
      <c r="Z105" s="110"/>
      <c r="AB105" s="235"/>
      <c r="AC105" s="61"/>
      <c r="AD105" s="61"/>
      <c r="AE105" s="61"/>
      <c r="AF105" s="127"/>
      <c r="AG105" s="250"/>
      <c r="AH105" s="253"/>
      <c r="AI105" s="127"/>
      <c r="AJ105" s="127"/>
      <c r="AK105" s="127"/>
      <c r="AL105" s="127"/>
      <c r="AM105" s="250"/>
      <c r="AN105" s="253"/>
      <c r="AO105" s="127"/>
      <c r="AP105" s="127"/>
      <c r="AQ105" s="127"/>
      <c r="AR105" s="127"/>
      <c r="AS105" s="127"/>
      <c r="AT105" s="250"/>
      <c r="AU105" s="128"/>
    </row>
    <row r="106" spans="2:48" ht="15" customHeight="1" x14ac:dyDescent="0.2">
      <c r="B106" s="60"/>
      <c r="C106" s="60"/>
      <c r="D106" s="61"/>
      <c r="E106" s="72" t="str">
        <f>'Sprachen &amp; Rückgabewerte(3)'!$H$140</f>
        <v>Einzug an der linken Anlagenseite:</v>
      </c>
      <c r="F106" s="61"/>
      <c r="G106" s="61"/>
      <c r="H106" s="61"/>
      <c r="I106" s="61"/>
      <c r="J106" s="61"/>
      <c r="K106" s="61"/>
      <c r="L106" s="61"/>
      <c r="M106" s="61"/>
      <c r="N106" s="61"/>
      <c r="O106" s="61"/>
      <c r="P106" s="61"/>
      <c r="Q106" s="61"/>
      <c r="R106" s="61"/>
      <c r="S106" s="61"/>
      <c r="T106" s="704"/>
      <c r="U106" s="733"/>
      <c r="V106" s="61" t="s">
        <v>176</v>
      </c>
      <c r="W106" s="61"/>
      <c r="X106" s="61"/>
      <c r="Y106" s="61"/>
      <c r="Z106" s="110"/>
      <c r="AB106" s="235"/>
      <c r="AC106" s="61"/>
      <c r="AD106" s="61"/>
      <c r="AE106" s="61"/>
      <c r="AF106" s="127"/>
      <c r="AG106" s="250"/>
      <c r="AH106" s="253"/>
      <c r="AI106" s="127"/>
      <c r="AJ106" s="127"/>
      <c r="AK106" s="127"/>
      <c r="AL106" s="127"/>
      <c r="AM106" s="250"/>
      <c r="AN106" s="253"/>
      <c r="AO106" s="127"/>
      <c r="AP106" s="127"/>
      <c r="AQ106" s="127"/>
      <c r="AR106" s="127"/>
      <c r="AS106" s="127"/>
      <c r="AT106" s="250"/>
      <c r="AU106" s="128"/>
    </row>
    <row r="107" spans="2:48" x14ac:dyDescent="0.2">
      <c r="B107" s="60"/>
      <c r="C107" s="60"/>
      <c r="D107" s="61"/>
      <c r="E107" s="61"/>
      <c r="F107" s="61"/>
      <c r="G107" s="61"/>
      <c r="H107" s="61"/>
      <c r="I107" s="61"/>
      <c r="J107" s="61"/>
      <c r="K107" s="61"/>
      <c r="L107" s="61"/>
      <c r="M107" s="61"/>
      <c r="N107" s="61"/>
      <c r="O107" s="61"/>
      <c r="P107" s="61"/>
      <c r="Q107" s="61"/>
      <c r="R107" s="61"/>
      <c r="S107" s="61"/>
      <c r="T107" s="61"/>
      <c r="U107" s="61"/>
      <c r="V107" s="61"/>
      <c r="W107" s="61"/>
      <c r="X107" s="61"/>
      <c r="Y107" s="61"/>
      <c r="Z107" s="110"/>
      <c r="AB107" s="235"/>
      <c r="AC107" s="61"/>
      <c r="AD107" s="61"/>
      <c r="AE107" s="61"/>
      <c r="AF107" s="127"/>
      <c r="AG107" s="250"/>
      <c r="AH107" s="253"/>
      <c r="AI107" s="127"/>
      <c r="AJ107" s="127"/>
      <c r="AK107" s="127"/>
      <c r="AL107" s="127"/>
      <c r="AM107" s="250"/>
      <c r="AN107" s="253"/>
      <c r="AO107" s="127"/>
      <c r="AP107" s="127"/>
      <c r="AQ107" s="127"/>
      <c r="AR107" s="127"/>
      <c r="AS107" s="127"/>
      <c r="AT107" s="250"/>
      <c r="AU107" s="128"/>
    </row>
    <row r="108" spans="2:48" ht="15" customHeight="1" x14ac:dyDescent="0.2">
      <c r="B108" s="60"/>
      <c r="C108" s="60"/>
      <c r="D108" s="61"/>
      <c r="E108" s="72" t="str">
        <f>'Sprachen &amp; Rückgabewerte(3)'!$H$141</f>
        <v>Einzug an der rechten Anlagenseite:</v>
      </c>
      <c r="F108" s="61"/>
      <c r="G108" s="61"/>
      <c r="H108" s="61"/>
      <c r="I108" s="61"/>
      <c r="J108" s="61"/>
      <c r="K108" s="61"/>
      <c r="L108" s="61"/>
      <c r="M108" s="61"/>
      <c r="N108" s="61"/>
      <c r="O108" s="61"/>
      <c r="P108" s="61"/>
      <c r="Q108" s="61"/>
      <c r="R108" s="61"/>
      <c r="S108" s="61"/>
      <c r="T108" s="704"/>
      <c r="U108" s="733"/>
      <c r="V108" s="61" t="s">
        <v>176</v>
      </c>
      <c r="W108" s="61"/>
      <c r="X108" s="61"/>
      <c r="Y108" s="61"/>
      <c r="Z108" s="110"/>
      <c r="AB108" s="235"/>
      <c r="AC108" s="61"/>
      <c r="AD108" s="61"/>
      <c r="AE108" s="61"/>
      <c r="AF108" s="127"/>
      <c r="AG108" s="250"/>
      <c r="AH108" s="253"/>
      <c r="AI108" s="127"/>
      <c r="AJ108" s="127"/>
      <c r="AK108" s="127"/>
      <c r="AL108" s="127"/>
      <c r="AM108" s="250"/>
      <c r="AN108" s="253"/>
      <c r="AO108" s="127"/>
      <c r="AP108" s="127"/>
      <c r="AQ108" s="127"/>
      <c r="AR108" s="127"/>
      <c r="AS108" s="127"/>
      <c r="AT108" s="250"/>
      <c r="AU108" s="128"/>
    </row>
    <row r="109" spans="2:48" x14ac:dyDescent="0.2">
      <c r="B109" s="60"/>
      <c r="C109" s="60"/>
      <c r="D109" s="61"/>
      <c r="E109" s="61"/>
      <c r="F109" s="61"/>
      <c r="G109" s="61"/>
      <c r="H109" s="61"/>
      <c r="I109" s="61"/>
      <c r="J109" s="61"/>
      <c r="K109" s="61"/>
      <c r="L109" s="61"/>
      <c r="M109" s="61"/>
      <c r="N109" s="61"/>
      <c r="O109" s="61"/>
      <c r="P109" s="61"/>
      <c r="Q109" s="61"/>
      <c r="R109" s="61"/>
      <c r="S109" s="61"/>
      <c r="T109" s="61"/>
      <c r="U109" s="61"/>
      <c r="V109" s="61"/>
      <c r="W109" s="61"/>
      <c r="X109" s="61"/>
      <c r="Y109" s="61"/>
      <c r="Z109" s="110"/>
      <c r="AB109" s="235"/>
      <c r="AC109" s="61"/>
      <c r="AD109" s="61"/>
      <c r="AE109" s="61"/>
      <c r="AF109" s="127"/>
      <c r="AG109" s="250"/>
      <c r="AH109" s="253"/>
      <c r="AI109" s="127"/>
      <c r="AJ109" s="127"/>
      <c r="AK109" s="127"/>
      <c r="AL109" s="127"/>
      <c r="AM109" s="250"/>
      <c r="AN109" s="253"/>
      <c r="AO109" s="127"/>
      <c r="AP109" s="127"/>
      <c r="AQ109" s="127"/>
      <c r="AR109" s="127"/>
      <c r="AS109" s="127"/>
      <c r="AT109" s="250"/>
      <c r="AU109" s="128"/>
    </row>
    <row r="110" spans="2:48" ht="15" customHeight="1" x14ac:dyDescent="0.2">
      <c r="B110" s="60"/>
      <c r="C110" s="60"/>
      <c r="D110" s="61"/>
      <c r="E110" s="72" t="str">
        <f>'Sprachen &amp; Rückgabewerte(3)'!$H$142</f>
        <v>Anschlussstutzen:</v>
      </c>
      <c r="F110" s="61"/>
      <c r="G110" s="61"/>
      <c r="H110" s="61"/>
      <c r="I110" s="61"/>
      <c r="J110" s="61"/>
      <c r="K110" s="61"/>
      <c r="L110" s="61"/>
      <c r="M110" s="61"/>
      <c r="N110" s="61"/>
      <c r="O110" s="61"/>
      <c r="P110" s="61"/>
      <c r="Q110" s="61"/>
      <c r="R110" s="61"/>
      <c r="S110" s="61"/>
      <c r="T110" s="727"/>
      <c r="U110" s="728"/>
      <c r="V110" s="728"/>
      <c r="W110" s="728"/>
      <c r="X110" s="728"/>
      <c r="Y110" s="729"/>
      <c r="Z110" s="537"/>
      <c r="AB110" s="254"/>
      <c r="AC110" s="255"/>
      <c r="AD110" s="255"/>
      <c r="AE110" s="255"/>
      <c r="AF110" s="256"/>
      <c r="AG110" s="257"/>
      <c r="AH110" s="258"/>
      <c r="AI110" s="256"/>
      <c r="AJ110" s="256"/>
      <c r="AK110" s="256"/>
      <c r="AL110" s="256"/>
      <c r="AM110" s="257"/>
      <c r="AN110" s="258"/>
      <c r="AO110" s="256"/>
      <c r="AP110" s="256"/>
      <c r="AQ110" s="256"/>
      <c r="AR110" s="256"/>
      <c r="AS110" s="256"/>
      <c r="AT110" s="257"/>
      <c r="AU110" s="128"/>
    </row>
    <row r="111" spans="2:48" x14ac:dyDescent="0.2">
      <c r="B111" s="60"/>
      <c r="C111" s="60"/>
      <c r="D111" s="61"/>
      <c r="E111" s="61"/>
      <c r="F111" s="61"/>
      <c r="G111" s="61"/>
      <c r="H111" s="61"/>
      <c r="I111" s="61"/>
      <c r="J111" s="61"/>
      <c r="K111" s="61"/>
      <c r="L111" s="61"/>
      <c r="M111" s="61"/>
      <c r="N111" s="61"/>
      <c r="O111" s="61"/>
      <c r="P111" s="61"/>
      <c r="Q111" s="61"/>
      <c r="R111" s="61"/>
      <c r="S111" s="61"/>
      <c r="T111" s="61"/>
      <c r="U111" s="61"/>
      <c r="V111" s="61"/>
      <c r="W111" s="61"/>
      <c r="X111" s="61"/>
      <c r="Y111" s="61"/>
      <c r="Z111" s="110"/>
      <c r="AB111" s="259"/>
      <c r="AC111" s="260"/>
      <c r="AD111" s="260"/>
      <c r="AE111" s="260"/>
      <c r="AF111" s="261"/>
      <c r="AG111" s="262"/>
      <c r="AH111" s="261"/>
      <c r="AI111" s="261"/>
      <c r="AJ111" s="261"/>
      <c r="AK111" s="261"/>
      <c r="AL111" s="261"/>
      <c r="AM111" s="261"/>
      <c r="AN111" s="263"/>
      <c r="AO111" s="261"/>
      <c r="AP111" s="261"/>
      <c r="AQ111" s="261"/>
      <c r="AR111" s="261"/>
      <c r="AS111" s="261"/>
      <c r="AT111" s="262"/>
      <c r="AU111" s="128"/>
    </row>
    <row r="112" spans="2:48" ht="15" customHeight="1" x14ac:dyDescent="0.2">
      <c r="B112" s="60"/>
      <c r="C112" s="60"/>
      <c r="D112" s="61"/>
      <c r="E112" s="61"/>
      <c r="F112" s="61"/>
      <c r="G112" s="61"/>
      <c r="H112" s="61"/>
      <c r="I112" s="61"/>
      <c r="J112" s="61"/>
      <c r="K112" s="61"/>
      <c r="L112" s="61"/>
      <c r="M112" s="61"/>
      <c r="N112" s="61"/>
      <c r="O112" s="61"/>
      <c r="P112" s="61"/>
      <c r="Q112" s="61"/>
      <c r="R112" s="268" t="str">
        <f>IF($T$110='Sprachen &amp; Rückgabewerte(3)'!$J$143,'Sprachen &amp; Rückgabewerte(3)'!$H$145,'Sprachen &amp; Rückgabewerte(3)'!$H$148)</f>
        <v>Abstände Ablaufstutzen (E):</v>
      </c>
      <c r="S112" s="61"/>
      <c r="T112" s="730"/>
      <c r="U112" s="731"/>
      <c r="V112" s="731"/>
      <c r="W112" s="731"/>
      <c r="X112" s="731"/>
      <c r="Y112" s="732"/>
      <c r="Z112" s="538"/>
      <c r="AB112" s="235"/>
      <c r="AC112" s="61"/>
      <c r="AD112" s="61"/>
      <c r="AE112" s="61"/>
      <c r="AF112" s="127"/>
      <c r="AG112" s="250"/>
      <c r="AH112" s="127"/>
      <c r="AI112" s="127"/>
      <c r="AJ112" s="127"/>
      <c r="AK112" s="127"/>
      <c r="AL112" s="127"/>
      <c r="AM112" s="127"/>
      <c r="AN112" s="253"/>
      <c r="AO112" s="127"/>
      <c r="AP112" s="127"/>
      <c r="AQ112" s="127"/>
      <c r="AR112" s="127"/>
      <c r="AS112" s="127"/>
      <c r="AT112" s="250"/>
      <c r="AU112" s="128"/>
    </row>
    <row r="113" spans="2:47" x14ac:dyDescent="0.2">
      <c r="B113" s="60"/>
      <c r="C113" s="60"/>
      <c r="D113" s="61"/>
      <c r="E113" s="269"/>
      <c r="F113" s="269"/>
      <c r="G113" s="269"/>
      <c r="H113" s="269"/>
      <c r="I113" s="269"/>
      <c r="J113" s="269"/>
      <c r="K113" s="269"/>
      <c r="L113" s="269"/>
      <c r="M113" s="269"/>
      <c r="N113" s="269"/>
      <c r="O113" s="269"/>
      <c r="P113" s="269"/>
      <c r="Q113" s="269"/>
      <c r="R113" s="269"/>
      <c r="S113" s="269"/>
      <c r="T113" s="61"/>
      <c r="U113" s="61"/>
      <c r="V113" s="61"/>
      <c r="W113" s="61"/>
      <c r="X113" s="61"/>
      <c r="Y113" s="61"/>
      <c r="Z113" s="110"/>
      <c r="AB113" s="235"/>
      <c r="AC113" s="61"/>
      <c r="AD113" s="61"/>
      <c r="AE113" s="61"/>
      <c r="AF113" s="127"/>
      <c r="AG113" s="250"/>
      <c r="AH113" s="127"/>
      <c r="AI113" s="127"/>
      <c r="AJ113" s="127"/>
      <c r="AK113" s="127"/>
      <c r="AL113" s="127"/>
      <c r="AM113" s="127"/>
      <c r="AN113" s="253"/>
      <c r="AO113" s="127"/>
      <c r="AP113" s="127"/>
      <c r="AQ113" s="127"/>
      <c r="AR113" s="127"/>
      <c r="AS113" s="127"/>
      <c r="AT113" s="250"/>
      <c r="AU113" s="110"/>
    </row>
    <row r="114" spans="2:47" ht="15" customHeight="1" x14ac:dyDescent="0.2">
      <c r="B114" s="60"/>
      <c r="C114" s="60"/>
      <c r="D114" s="61"/>
      <c r="E114" s="269"/>
      <c r="F114" s="269"/>
      <c r="G114" s="269"/>
      <c r="H114" s="269"/>
      <c r="I114" s="269"/>
      <c r="J114" s="269"/>
      <c r="K114" s="269"/>
      <c r="L114" s="269"/>
      <c r="M114" s="269"/>
      <c r="N114" s="269"/>
      <c r="O114" s="269"/>
      <c r="P114" s="269"/>
      <c r="Q114" s="269"/>
      <c r="R114" s="268" t="str">
        <f>'Sprachen &amp; Rückgabewerte(3)'!H149</f>
        <v>Rinnenanschluss:</v>
      </c>
      <c r="S114" s="269"/>
      <c r="T114" s="727"/>
      <c r="U114" s="729"/>
      <c r="V114" s="61"/>
      <c r="W114" s="61"/>
      <c r="X114" s="61"/>
      <c r="Y114" s="61"/>
      <c r="Z114" s="110"/>
      <c r="AB114" s="235"/>
      <c r="AC114" s="61"/>
      <c r="AD114" s="61"/>
      <c r="AE114" s="61"/>
      <c r="AF114" s="127"/>
      <c r="AG114" s="250"/>
      <c r="AH114" s="127"/>
      <c r="AI114" s="127"/>
      <c r="AJ114" s="127"/>
      <c r="AK114" s="127"/>
      <c r="AL114" s="127"/>
      <c r="AM114" s="127"/>
      <c r="AN114" s="253"/>
      <c r="AO114" s="127"/>
      <c r="AP114" s="127"/>
      <c r="AQ114" s="127"/>
      <c r="AR114" s="127"/>
      <c r="AS114" s="127"/>
      <c r="AT114" s="250"/>
      <c r="AU114" s="110"/>
    </row>
    <row r="115" spans="2:47" x14ac:dyDescent="0.2">
      <c r="B115" s="60"/>
      <c r="C115" s="60"/>
      <c r="D115" s="61"/>
      <c r="E115" s="61"/>
      <c r="F115" s="61"/>
      <c r="G115" s="61"/>
      <c r="H115" s="61"/>
      <c r="I115" s="61"/>
      <c r="J115" s="61"/>
      <c r="K115" s="61"/>
      <c r="L115" s="61"/>
      <c r="M115" s="61"/>
      <c r="N115" s="61"/>
      <c r="O115" s="61"/>
      <c r="P115" s="61"/>
      <c r="Q115" s="61"/>
      <c r="R115" s="61"/>
      <c r="S115" s="61"/>
      <c r="T115" s="61"/>
      <c r="U115" s="61"/>
      <c r="V115" s="61"/>
      <c r="W115" s="61"/>
      <c r="X115" s="61"/>
      <c r="Y115" s="61"/>
      <c r="Z115" s="110"/>
      <c r="AA115" s="61"/>
      <c r="AB115" s="235"/>
      <c r="AC115" s="61"/>
      <c r="AD115" s="61"/>
      <c r="AE115" s="61"/>
      <c r="AF115" s="61"/>
      <c r="AG115" s="250"/>
      <c r="AH115" s="127"/>
      <c r="AI115" s="127"/>
      <c r="AJ115" s="127"/>
      <c r="AK115" s="127"/>
      <c r="AL115" s="127"/>
      <c r="AM115" s="127"/>
      <c r="AN115" s="253"/>
      <c r="AO115" s="61"/>
      <c r="AP115" s="61"/>
      <c r="AQ115" s="61"/>
      <c r="AR115" s="61"/>
      <c r="AS115" s="61"/>
      <c r="AT115" s="237"/>
      <c r="AU115" s="110"/>
    </row>
    <row r="116" spans="2:47" x14ac:dyDescent="0.2">
      <c r="B116" s="60"/>
      <c r="C116" s="60"/>
      <c r="D116" s="61"/>
      <c r="E116" s="698" t="str">
        <f>IF('Sprachen &amp; Rückgabewerte(3)'!$I$50=TRUE,'Sprachen &amp; Rückgabewerte(3)'!$H$102,"")</f>
        <v/>
      </c>
      <c r="F116" s="698"/>
      <c r="G116" s="698"/>
      <c r="H116" s="698"/>
      <c r="I116" s="698"/>
      <c r="J116" s="698"/>
      <c r="K116" s="698"/>
      <c r="L116" s="698"/>
      <c r="M116" s="698"/>
      <c r="N116" s="698"/>
      <c r="O116" s="698"/>
      <c r="P116" s="698"/>
      <c r="Q116" s="698"/>
      <c r="R116" s="698"/>
      <c r="S116" s="61"/>
      <c r="T116" s="61"/>
      <c r="U116" s="61"/>
      <c r="V116" s="61"/>
      <c r="W116" s="61"/>
      <c r="X116" s="61"/>
      <c r="Y116" s="61"/>
      <c r="Z116" s="110"/>
      <c r="AA116" s="61"/>
      <c r="AB116" s="235"/>
      <c r="AC116" s="61"/>
      <c r="AD116" s="61"/>
      <c r="AE116" s="61"/>
      <c r="AF116" s="61"/>
      <c r="AG116" s="250"/>
      <c r="AH116" s="127"/>
      <c r="AI116" s="127"/>
      <c r="AJ116" s="127"/>
      <c r="AK116" s="127"/>
      <c r="AL116" s="127"/>
      <c r="AM116" s="127"/>
      <c r="AN116" s="253"/>
      <c r="AO116" s="61"/>
      <c r="AP116" s="61"/>
      <c r="AQ116" s="61"/>
      <c r="AR116" s="61"/>
      <c r="AS116" s="61"/>
      <c r="AT116" s="237"/>
      <c r="AU116" s="110"/>
    </row>
    <row r="117" spans="2:47" ht="12.75" customHeight="1" x14ac:dyDescent="0.2">
      <c r="B117" s="60"/>
      <c r="C117" s="60"/>
      <c r="D117" s="61"/>
      <c r="E117" s="698"/>
      <c r="F117" s="698"/>
      <c r="G117" s="698"/>
      <c r="H117" s="698"/>
      <c r="I117" s="698"/>
      <c r="J117" s="698"/>
      <c r="K117" s="698"/>
      <c r="L117" s="698"/>
      <c r="M117" s="698"/>
      <c r="N117" s="698"/>
      <c r="O117" s="698"/>
      <c r="P117" s="698"/>
      <c r="Q117" s="698"/>
      <c r="R117" s="698"/>
      <c r="S117" s="127"/>
      <c r="T117" s="127"/>
      <c r="U117" s="127"/>
      <c r="V117" s="127"/>
      <c r="W117" s="127"/>
      <c r="X117" s="127"/>
      <c r="Y117" s="127"/>
      <c r="Z117" s="128"/>
      <c r="AA117" s="127"/>
      <c r="AB117" s="253"/>
      <c r="AC117" s="127"/>
      <c r="AD117" s="127"/>
      <c r="AE117" s="127"/>
      <c r="AF117" s="127"/>
      <c r="AG117" s="250"/>
      <c r="AH117" s="127"/>
      <c r="AI117" s="127"/>
      <c r="AJ117" s="127"/>
      <c r="AK117" s="127"/>
      <c r="AL117" s="127"/>
      <c r="AM117" s="127"/>
      <c r="AN117" s="253"/>
      <c r="AO117" s="61"/>
      <c r="AP117" s="61"/>
      <c r="AQ117" s="61"/>
      <c r="AR117" s="61"/>
      <c r="AS117" s="61"/>
      <c r="AT117" s="237"/>
      <c r="AU117" s="110"/>
    </row>
    <row r="118" spans="2:47" x14ac:dyDescent="0.2">
      <c r="B118" s="60"/>
      <c r="C118" s="60"/>
      <c r="D118" s="61"/>
      <c r="E118" s="698"/>
      <c r="F118" s="698"/>
      <c r="G118" s="698"/>
      <c r="H118" s="698"/>
      <c r="I118" s="698"/>
      <c r="J118" s="698"/>
      <c r="K118" s="698"/>
      <c r="L118" s="698"/>
      <c r="M118" s="698"/>
      <c r="N118" s="698"/>
      <c r="O118" s="698"/>
      <c r="P118" s="698"/>
      <c r="Q118" s="698"/>
      <c r="R118" s="698"/>
      <c r="S118" s="61"/>
      <c r="T118" s="61"/>
      <c r="U118" s="61"/>
      <c r="V118" s="61"/>
      <c r="W118" s="61"/>
      <c r="X118" s="61"/>
      <c r="Y118" s="61"/>
      <c r="Z118" s="110"/>
      <c r="AB118" s="235"/>
      <c r="AC118" s="61"/>
      <c r="AD118" s="61"/>
      <c r="AE118" s="61"/>
      <c r="AF118" s="61"/>
      <c r="AG118" s="237"/>
      <c r="AH118" s="61"/>
      <c r="AI118" s="61"/>
      <c r="AJ118" s="61"/>
      <c r="AK118" s="61"/>
      <c r="AL118" s="61"/>
      <c r="AM118" s="61"/>
      <c r="AN118" s="235"/>
      <c r="AO118" s="61"/>
      <c r="AP118" s="61"/>
      <c r="AQ118" s="61"/>
      <c r="AR118" s="61"/>
      <c r="AS118" s="61"/>
      <c r="AT118" s="237"/>
      <c r="AU118" s="110"/>
    </row>
    <row r="119" spans="2:47" x14ac:dyDescent="0.2">
      <c r="B119" s="60"/>
      <c r="C119" s="60"/>
      <c r="D119" s="61"/>
      <c r="E119" s="61"/>
      <c r="F119" s="61"/>
      <c r="G119" s="61"/>
      <c r="H119" s="61"/>
      <c r="I119" s="61"/>
      <c r="J119" s="61"/>
      <c r="K119" s="61"/>
      <c r="L119" s="61"/>
      <c r="M119" s="61"/>
      <c r="N119" s="61"/>
      <c r="O119" s="61"/>
      <c r="P119" s="61"/>
      <c r="Q119" s="61"/>
      <c r="R119" s="61"/>
      <c r="S119" s="61"/>
      <c r="T119" s="61"/>
      <c r="U119" s="61"/>
      <c r="V119" s="61"/>
      <c r="W119" s="61"/>
      <c r="X119" s="61"/>
      <c r="Y119" s="61"/>
      <c r="Z119" s="110"/>
      <c r="AB119" s="235"/>
      <c r="AC119" s="61"/>
      <c r="AD119" s="61"/>
      <c r="AE119" s="61"/>
      <c r="AF119" s="61"/>
      <c r="AG119" s="237"/>
      <c r="AH119" s="61"/>
      <c r="AI119" s="61"/>
      <c r="AJ119" s="61"/>
      <c r="AK119" s="61"/>
      <c r="AL119" s="61"/>
      <c r="AM119" s="61"/>
      <c r="AN119" s="235"/>
      <c r="AO119" s="61"/>
      <c r="AP119" s="61"/>
      <c r="AQ119" s="61"/>
      <c r="AR119" s="61"/>
      <c r="AS119" s="61"/>
      <c r="AT119" s="237"/>
      <c r="AU119" s="110"/>
    </row>
    <row r="120" spans="2:47" ht="13.5" thickBot="1" x14ac:dyDescent="0.25">
      <c r="B120" s="60"/>
      <c r="C120" s="68"/>
      <c r="D120" s="84"/>
      <c r="E120" s="84"/>
      <c r="F120" s="84"/>
      <c r="G120" s="84"/>
      <c r="H120" s="84"/>
      <c r="I120" s="84"/>
      <c r="J120" s="84"/>
      <c r="K120" s="84"/>
      <c r="L120" s="84"/>
      <c r="M120" s="84"/>
      <c r="N120" s="84"/>
      <c r="O120" s="84"/>
      <c r="P120" s="84"/>
      <c r="Q120" s="84"/>
      <c r="R120" s="84"/>
      <c r="S120" s="84"/>
      <c r="T120" s="84"/>
      <c r="U120" s="84"/>
      <c r="V120" s="84"/>
      <c r="W120" s="84"/>
      <c r="X120" s="84"/>
      <c r="Y120" s="84"/>
      <c r="Z120" s="111"/>
      <c r="AB120" s="251"/>
      <c r="AC120" s="241"/>
      <c r="AD120" s="241"/>
      <c r="AE120" s="241"/>
      <c r="AF120" s="241"/>
      <c r="AG120" s="243"/>
      <c r="AH120" s="241"/>
      <c r="AI120" s="241"/>
      <c r="AJ120" s="241"/>
      <c r="AK120" s="241"/>
      <c r="AL120" s="241"/>
      <c r="AM120" s="241"/>
      <c r="AN120" s="251"/>
      <c r="AO120" s="241"/>
      <c r="AP120" s="241"/>
      <c r="AQ120" s="241"/>
      <c r="AR120" s="241"/>
      <c r="AS120" s="241"/>
      <c r="AT120" s="243"/>
      <c r="AU120" s="110"/>
    </row>
    <row r="121" spans="2:47" ht="13.5" thickTop="1" x14ac:dyDescent="0.2">
      <c r="B121" s="60"/>
      <c r="AU121" s="110"/>
    </row>
    <row r="122" spans="2:47" ht="12.95" customHeight="1" x14ac:dyDescent="0.2">
      <c r="B122" s="60"/>
      <c r="L122" s="61"/>
      <c r="M122" s="61"/>
      <c r="N122" s="61"/>
      <c r="O122" s="61"/>
      <c r="P122" s="61"/>
      <c r="Q122" s="61"/>
      <c r="R122" s="61"/>
      <c r="S122" s="61"/>
      <c r="T122" s="61"/>
      <c r="U122" s="61"/>
      <c r="V122" s="61"/>
      <c r="W122" s="61"/>
      <c r="X122" s="61"/>
      <c r="Y122" s="61"/>
      <c r="Z122" s="61"/>
      <c r="AA122" s="61"/>
      <c r="AB122" s="107"/>
      <c r="AC122" s="82"/>
      <c r="AD122" s="82"/>
      <c r="AE122" s="82"/>
      <c r="AF122" s="82"/>
      <c r="AG122" s="82"/>
      <c r="AH122" s="82"/>
      <c r="AI122" s="82"/>
      <c r="AJ122" s="82"/>
      <c r="AK122" s="82"/>
      <c r="AL122" s="82"/>
      <c r="AM122" s="82"/>
      <c r="AN122" s="82"/>
      <c r="AO122" s="82"/>
      <c r="AP122" s="82"/>
      <c r="AQ122" s="82"/>
      <c r="AR122" s="82"/>
      <c r="AS122" s="82"/>
      <c r="AT122" s="109"/>
      <c r="AU122" s="110"/>
    </row>
    <row r="123" spans="2:47" ht="12.95" customHeight="1" x14ac:dyDescent="0.2">
      <c r="B123" s="60"/>
      <c r="L123" s="61"/>
      <c r="M123" s="61"/>
      <c r="N123" s="61"/>
      <c r="O123" s="61"/>
      <c r="P123" s="61"/>
      <c r="Q123" s="61"/>
      <c r="R123" s="61"/>
      <c r="S123" s="61"/>
      <c r="T123" s="61"/>
      <c r="U123" s="61"/>
      <c r="V123" s="61"/>
      <c r="W123" s="61"/>
      <c r="X123" s="61"/>
      <c r="Y123" s="61"/>
      <c r="Z123" s="61"/>
      <c r="AA123" s="61"/>
      <c r="AB123" s="60"/>
      <c r="AC123" s="61"/>
      <c r="AD123" s="61"/>
      <c r="AE123" s="61"/>
      <c r="AF123" s="61"/>
      <c r="AG123" s="61"/>
      <c r="AH123" s="61"/>
      <c r="AI123" s="61"/>
      <c r="AJ123" s="61"/>
      <c r="AK123" s="61"/>
      <c r="AL123" s="61"/>
      <c r="AM123" s="61"/>
      <c r="AN123" s="61"/>
      <c r="AO123" s="61"/>
      <c r="AP123" s="61"/>
      <c r="AQ123" s="61"/>
      <c r="AR123" s="61"/>
      <c r="AS123" s="61"/>
      <c r="AT123" s="110"/>
      <c r="AU123" s="110"/>
    </row>
    <row r="124" spans="2:47" ht="12.95" customHeight="1" x14ac:dyDescent="0.2">
      <c r="B124" s="60"/>
      <c r="L124" s="61"/>
      <c r="M124" s="61"/>
      <c r="N124" s="61"/>
      <c r="O124" s="61"/>
      <c r="P124" s="61"/>
      <c r="Q124" s="61"/>
      <c r="R124" s="61"/>
      <c r="S124" s="61"/>
      <c r="T124" s="61"/>
      <c r="U124" s="61"/>
      <c r="V124" s="61"/>
      <c r="W124" s="61"/>
      <c r="X124" s="61"/>
      <c r="Y124" s="61"/>
      <c r="Z124" s="61"/>
      <c r="AA124" s="61"/>
      <c r="AB124" s="60"/>
      <c r="AC124" s="61"/>
      <c r="AD124" s="61"/>
      <c r="AE124" s="61"/>
      <c r="AF124" s="61"/>
      <c r="AG124" s="61"/>
      <c r="AH124" s="61"/>
      <c r="AI124" s="61"/>
      <c r="AJ124" s="61"/>
      <c r="AK124" s="61"/>
      <c r="AL124" s="61"/>
      <c r="AM124" s="61"/>
      <c r="AN124" s="61"/>
      <c r="AO124" s="61"/>
      <c r="AP124" s="61"/>
      <c r="AQ124" s="61"/>
      <c r="AR124" s="61"/>
      <c r="AS124" s="61"/>
      <c r="AT124" s="110"/>
      <c r="AU124" s="110"/>
    </row>
    <row r="125" spans="2:47" ht="12.95" customHeight="1" x14ac:dyDescent="0.2">
      <c r="B125" s="60"/>
      <c r="L125" s="61"/>
      <c r="M125" s="61"/>
      <c r="N125" s="61"/>
      <c r="O125" s="61"/>
      <c r="P125" s="61"/>
      <c r="Q125" s="61"/>
      <c r="R125" s="61"/>
      <c r="S125" s="61"/>
      <c r="T125" s="61"/>
      <c r="U125" s="61"/>
      <c r="V125" s="61"/>
      <c r="W125" s="61"/>
      <c r="X125" s="61"/>
      <c r="Y125" s="61"/>
      <c r="Z125" s="61"/>
      <c r="AA125" s="61"/>
      <c r="AB125" s="60"/>
      <c r="AC125" s="61"/>
      <c r="AD125" s="61"/>
      <c r="AE125" s="61"/>
      <c r="AF125" s="61"/>
      <c r="AG125" s="61"/>
      <c r="AH125" s="61"/>
      <c r="AI125" s="61"/>
      <c r="AJ125" s="61"/>
      <c r="AK125" s="61"/>
      <c r="AL125" s="61"/>
      <c r="AM125" s="61"/>
      <c r="AN125" s="61"/>
      <c r="AO125" s="61"/>
      <c r="AP125" s="61"/>
      <c r="AQ125" s="61"/>
      <c r="AR125" s="61"/>
      <c r="AS125" s="61"/>
      <c r="AT125" s="110"/>
      <c r="AU125" s="110"/>
    </row>
    <row r="126" spans="2:47" ht="12.95" customHeight="1" x14ac:dyDescent="0.2">
      <c r="B126" s="60"/>
      <c r="L126" s="61"/>
      <c r="M126" s="61"/>
      <c r="N126" s="61"/>
      <c r="O126" s="61"/>
      <c r="P126" s="61"/>
      <c r="Q126" s="61"/>
      <c r="R126" s="61"/>
      <c r="S126" s="61"/>
      <c r="T126" s="61"/>
      <c r="U126" s="61"/>
      <c r="V126" s="61"/>
      <c r="W126" s="61"/>
      <c r="X126" s="61"/>
      <c r="Y126" s="61"/>
      <c r="Z126" s="61"/>
      <c r="AA126" s="61"/>
      <c r="AB126" s="60"/>
      <c r="AC126" s="61"/>
      <c r="AD126" s="61"/>
      <c r="AE126" s="61"/>
      <c r="AF126" s="61"/>
      <c r="AG126" s="61"/>
      <c r="AH126" s="61"/>
      <c r="AI126" s="61"/>
      <c r="AJ126" s="61"/>
      <c r="AK126" s="127"/>
      <c r="AL126" s="127"/>
      <c r="AM126" s="127"/>
      <c r="AN126" s="127"/>
      <c r="AO126" s="127"/>
      <c r="AP126" s="61"/>
      <c r="AQ126" s="61"/>
      <c r="AR126" s="61"/>
      <c r="AS126" s="61"/>
      <c r="AT126" s="110"/>
      <c r="AU126" s="110"/>
    </row>
    <row r="127" spans="2:47" ht="12.95" customHeight="1" x14ac:dyDescent="0.2">
      <c r="B127" s="60"/>
      <c r="L127" s="61"/>
      <c r="M127" s="61"/>
      <c r="N127" s="61"/>
      <c r="O127" s="61"/>
      <c r="P127" s="61"/>
      <c r="Q127" s="61"/>
      <c r="R127" s="61"/>
      <c r="S127" s="61"/>
      <c r="T127" s="61"/>
      <c r="U127" s="61"/>
      <c r="V127" s="61"/>
      <c r="W127" s="61"/>
      <c r="X127" s="61"/>
      <c r="Y127" s="61"/>
      <c r="Z127" s="61"/>
      <c r="AA127" s="61"/>
      <c r="AB127" s="60"/>
      <c r="AC127" s="61"/>
      <c r="AD127" s="61"/>
      <c r="AE127" s="61"/>
      <c r="AF127" s="61"/>
      <c r="AG127" s="61"/>
      <c r="AH127" s="61"/>
      <c r="AI127" s="61"/>
      <c r="AJ127" s="61"/>
      <c r="AK127" s="127"/>
      <c r="AL127" s="127"/>
      <c r="AM127" s="127"/>
      <c r="AN127" s="127"/>
      <c r="AO127" s="127"/>
      <c r="AP127" s="61"/>
      <c r="AQ127" s="61"/>
      <c r="AR127" s="61"/>
      <c r="AS127" s="61"/>
      <c r="AT127" s="110"/>
      <c r="AU127" s="110"/>
    </row>
    <row r="128" spans="2:47" ht="12.95" customHeight="1" x14ac:dyDescent="0.2">
      <c r="B128" s="60"/>
      <c r="L128" s="61"/>
      <c r="M128" s="61"/>
      <c r="N128" s="61"/>
      <c r="O128" s="61"/>
      <c r="P128" s="61"/>
      <c r="Q128" s="61"/>
      <c r="R128" s="61"/>
      <c r="S128" s="61"/>
      <c r="T128" s="61"/>
      <c r="U128" s="61"/>
      <c r="V128" s="61"/>
      <c r="W128" s="61"/>
      <c r="X128" s="61"/>
      <c r="Y128" s="61"/>
      <c r="Z128" s="61"/>
      <c r="AA128" s="61"/>
      <c r="AB128" s="60"/>
      <c r="AC128" s="61"/>
      <c r="AD128" s="61"/>
      <c r="AE128" s="61"/>
      <c r="AF128" s="61"/>
      <c r="AG128" s="61"/>
      <c r="AH128" s="61"/>
      <c r="AI128" s="61"/>
      <c r="AJ128" s="61"/>
      <c r="AK128" s="127"/>
      <c r="AL128" s="127"/>
      <c r="AM128" s="127"/>
      <c r="AN128" s="127"/>
      <c r="AO128" s="127"/>
      <c r="AP128" s="61"/>
      <c r="AQ128" s="61"/>
      <c r="AR128" s="61"/>
      <c r="AS128" s="61"/>
      <c r="AT128" s="110"/>
      <c r="AU128" s="110"/>
    </row>
    <row r="129" spans="2:47" ht="12.95" customHeight="1" x14ac:dyDescent="0.2">
      <c r="B129" s="60"/>
      <c r="L129" s="61"/>
      <c r="M129" s="61"/>
      <c r="N129" s="61"/>
      <c r="O129" s="61"/>
      <c r="P129" s="61"/>
      <c r="Q129" s="61"/>
      <c r="R129" s="61"/>
      <c r="S129" s="61"/>
      <c r="T129" s="61"/>
      <c r="U129" s="61"/>
      <c r="V129" s="61"/>
      <c r="W129" s="61"/>
      <c r="X129" s="61"/>
      <c r="Y129" s="61"/>
      <c r="Z129" s="61"/>
      <c r="AA129" s="61"/>
      <c r="AB129" s="60"/>
      <c r="AC129" s="61"/>
      <c r="AD129" s="61"/>
      <c r="AE129" s="61"/>
      <c r="AF129" s="149"/>
      <c r="AG129" s="61"/>
      <c r="AH129" s="61"/>
      <c r="AI129" s="61"/>
      <c r="AJ129" s="61"/>
      <c r="AK129" s="127"/>
      <c r="AL129" s="127"/>
      <c r="AM129" s="127"/>
      <c r="AN129" s="127"/>
      <c r="AO129" s="127"/>
      <c r="AP129" s="61"/>
      <c r="AQ129" s="61"/>
      <c r="AR129" s="61"/>
      <c r="AS129" s="61"/>
      <c r="AT129" s="110"/>
      <c r="AU129" s="110"/>
    </row>
    <row r="130" spans="2:47" ht="12.95" customHeight="1" x14ac:dyDescent="0.2">
      <c r="B130" s="60"/>
      <c r="L130" s="61"/>
      <c r="M130" s="61"/>
      <c r="N130" s="61"/>
      <c r="O130" s="61"/>
      <c r="P130" s="61"/>
      <c r="Q130" s="61"/>
      <c r="R130" s="61"/>
      <c r="S130" s="61"/>
      <c r="T130" s="61"/>
      <c r="U130" s="61"/>
      <c r="V130" s="61"/>
      <c r="W130" s="61"/>
      <c r="X130" s="61"/>
      <c r="Y130" s="61"/>
      <c r="Z130" s="61"/>
      <c r="AA130" s="61"/>
      <c r="AB130" s="60"/>
      <c r="AC130" s="61"/>
      <c r="AD130" s="61"/>
      <c r="AE130" s="61"/>
      <c r="AF130" s="61"/>
      <c r="AG130" s="61"/>
      <c r="AH130" s="61"/>
      <c r="AI130" s="61"/>
      <c r="AJ130" s="61"/>
      <c r="AK130" s="127"/>
      <c r="AL130" s="127"/>
      <c r="AM130" s="127"/>
      <c r="AN130" s="127"/>
      <c r="AO130" s="127"/>
      <c r="AP130" s="61"/>
      <c r="AQ130" s="61"/>
      <c r="AR130" s="61"/>
      <c r="AS130" s="61"/>
      <c r="AT130" s="110"/>
      <c r="AU130" s="110"/>
    </row>
    <row r="131" spans="2:47" ht="12.95" customHeight="1" x14ac:dyDescent="0.2">
      <c r="B131" s="60"/>
      <c r="L131" s="61"/>
      <c r="M131" s="61"/>
      <c r="N131" s="61"/>
      <c r="O131" s="61"/>
      <c r="P131" s="61"/>
      <c r="Q131" s="61"/>
      <c r="R131" s="61"/>
      <c r="S131" s="61"/>
      <c r="T131" s="61"/>
      <c r="U131" s="61"/>
      <c r="V131" s="61"/>
      <c r="W131" s="61"/>
      <c r="X131" s="61"/>
      <c r="Y131" s="61"/>
      <c r="Z131" s="61"/>
      <c r="AA131" s="61"/>
      <c r="AB131" s="60"/>
      <c r="AC131" s="61"/>
      <c r="AD131" s="61"/>
      <c r="AE131" s="208"/>
      <c r="AF131" s="127"/>
      <c r="AG131" s="127"/>
      <c r="AH131" s="127"/>
      <c r="AI131" s="127"/>
      <c r="AJ131" s="127"/>
      <c r="AK131" s="127"/>
      <c r="AL131" s="127"/>
      <c r="AM131" s="127"/>
      <c r="AN131" s="127"/>
      <c r="AO131" s="127"/>
      <c r="AP131" s="127"/>
      <c r="AQ131" s="127"/>
      <c r="AR131" s="127"/>
      <c r="AS131" s="127"/>
      <c r="AT131" s="128"/>
      <c r="AU131" s="110"/>
    </row>
    <row r="132" spans="2:47" ht="12.95" customHeight="1" x14ac:dyDescent="0.2">
      <c r="B132" s="60"/>
      <c r="L132" s="61"/>
      <c r="M132" s="61"/>
      <c r="N132" s="61"/>
      <c r="O132" s="61"/>
      <c r="P132" s="61"/>
      <c r="Q132" s="61"/>
      <c r="R132" s="61"/>
      <c r="S132" s="61"/>
      <c r="T132" s="61"/>
      <c r="U132" s="61"/>
      <c r="V132" s="61"/>
      <c r="W132" s="61"/>
      <c r="X132" s="61"/>
      <c r="Y132" s="61"/>
      <c r="Z132" s="61"/>
      <c r="AA132" s="61"/>
      <c r="AB132" s="60"/>
      <c r="AC132" s="61"/>
      <c r="AD132" s="61"/>
      <c r="AE132" s="208"/>
      <c r="AF132" s="127"/>
      <c r="AG132" s="127"/>
      <c r="AH132" s="127"/>
      <c r="AI132" s="127"/>
      <c r="AJ132" s="127"/>
      <c r="AK132" s="127"/>
      <c r="AL132" s="127"/>
      <c r="AM132" s="127"/>
      <c r="AN132" s="127"/>
      <c r="AO132" s="127"/>
      <c r="AP132" s="127"/>
      <c r="AQ132" s="127"/>
      <c r="AR132" s="127"/>
      <c r="AS132" s="127"/>
      <c r="AT132" s="128"/>
      <c r="AU132" s="110"/>
    </row>
    <row r="133" spans="2:47" ht="12.95" customHeight="1" x14ac:dyDescent="0.2">
      <c r="B133" s="60"/>
      <c r="L133" s="61"/>
      <c r="M133" s="61"/>
      <c r="N133" s="61"/>
      <c r="O133" s="61"/>
      <c r="P133" s="61"/>
      <c r="Q133" s="61"/>
      <c r="R133" s="61"/>
      <c r="S133" s="61"/>
      <c r="T133" s="61"/>
      <c r="U133" s="61"/>
      <c r="V133" s="61"/>
      <c r="W133" s="61"/>
      <c r="X133" s="61"/>
      <c r="Y133" s="61"/>
      <c r="Z133" s="61"/>
      <c r="AA133" s="61"/>
      <c r="AB133" s="60"/>
      <c r="AC133" s="61"/>
      <c r="AD133" s="61"/>
      <c r="AE133" s="208"/>
      <c r="AF133" s="127"/>
      <c r="AG133" s="127"/>
      <c r="AH133" s="127"/>
      <c r="AI133" s="127"/>
      <c r="AJ133" s="127"/>
      <c r="AK133" s="127"/>
      <c r="AL133" s="127"/>
      <c r="AM133" s="127"/>
      <c r="AN133" s="127"/>
      <c r="AO133" s="127"/>
      <c r="AP133" s="127"/>
      <c r="AQ133" s="127"/>
      <c r="AR133" s="127"/>
      <c r="AS133" s="127"/>
      <c r="AT133" s="128"/>
      <c r="AU133" s="110"/>
    </row>
    <row r="134" spans="2:47" ht="12.95" customHeight="1" x14ac:dyDescent="0.2">
      <c r="B134" s="60"/>
      <c r="L134" s="61"/>
      <c r="M134" s="61"/>
      <c r="N134" s="61"/>
      <c r="O134" s="61"/>
      <c r="P134" s="61"/>
      <c r="Q134" s="61"/>
      <c r="R134" s="61"/>
      <c r="S134" s="61"/>
      <c r="T134" s="61"/>
      <c r="U134" s="61"/>
      <c r="V134" s="61"/>
      <c r="W134" s="61"/>
      <c r="X134" s="61"/>
      <c r="Y134" s="61"/>
      <c r="Z134" s="61"/>
      <c r="AA134" s="61"/>
      <c r="AB134" s="60"/>
      <c r="AC134" s="61"/>
      <c r="AD134" s="61"/>
      <c r="AE134" s="208"/>
      <c r="AF134" s="127"/>
      <c r="AG134" s="127"/>
      <c r="AH134" s="127"/>
      <c r="AI134" s="127"/>
      <c r="AJ134" s="127"/>
      <c r="AK134" s="127"/>
      <c r="AL134" s="127"/>
      <c r="AM134" s="127"/>
      <c r="AN134" s="127"/>
      <c r="AO134" s="127"/>
      <c r="AP134" s="127"/>
      <c r="AQ134" s="127"/>
      <c r="AR134" s="127"/>
      <c r="AS134" s="127"/>
      <c r="AT134" s="128"/>
      <c r="AU134" s="110"/>
    </row>
    <row r="135" spans="2:47" ht="18.75" customHeight="1" x14ac:dyDescent="0.2">
      <c r="B135" s="60"/>
      <c r="L135" s="61"/>
      <c r="M135" s="61"/>
      <c r="N135" s="61"/>
      <c r="O135" s="61"/>
      <c r="P135" s="61"/>
      <c r="Q135" s="61"/>
      <c r="R135" s="61"/>
      <c r="S135" s="61"/>
      <c r="T135" s="61"/>
      <c r="U135" s="61"/>
      <c r="V135" s="61"/>
      <c r="W135" s="61"/>
      <c r="X135" s="61"/>
      <c r="Y135" s="61"/>
      <c r="Z135" s="61"/>
      <c r="AA135" s="61"/>
      <c r="AB135" s="68"/>
      <c r="AC135" s="84"/>
      <c r="AD135" s="84"/>
      <c r="AE135" s="264"/>
      <c r="AF135" s="131"/>
      <c r="AG135" s="131"/>
      <c r="AH135" s="131"/>
      <c r="AI135" s="131"/>
      <c r="AJ135" s="131"/>
      <c r="AK135" s="131"/>
      <c r="AL135" s="131"/>
      <c r="AM135" s="131"/>
      <c r="AN135" s="131"/>
      <c r="AO135" s="131"/>
      <c r="AP135" s="131"/>
      <c r="AQ135" s="131"/>
      <c r="AR135" s="131"/>
      <c r="AS135" s="131"/>
      <c r="AT135" s="132"/>
      <c r="AU135" s="110"/>
    </row>
    <row r="136" spans="2:47" x14ac:dyDescent="0.2">
      <c r="B136" s="68"/>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111"/>
    </row>
    <row r="137" spans="2:47" x14ac:dyDescent="0.2">
      <c r="AE137" s="204"/>
      <c r="AF137" s="127"/>
      <c r="AG137" s="127"/>
      <c r="AH137" s="127"/>
      <c r="AI137" s="127"/>
      <c r="AJ137" s="127"/>
      <c r="AK137" s="127"/>
      <c r="AL137" s="127"/>
      <c r="AM137" s="127"/>
      <c r="AN137" s="127"/>
      <c r="AO137" s="127"/>
      <c r="AP137" s="127"/>
      <c r="AQ137" s="127"/>
      <c r="AR137" s="127"/>
      <c r="AS137" s="127"/>
      <c r="AT137" s="127"/>
    </row>
    <row r="138" spans="2:47" x14ac:dyDescent="0.2">
      <c r="AE138" s="204"/>
      <c r="AF138" s="127"/>
      <c r="AG138" s="127"/>
      <c r="AH138" s="127"/>
      <c r="AI138" s="127"/>
      <c r="AJ138" s="127"/>
      <c r="AK138" s="127"/>
      <c r="AL138" s="127"/>
      <c r="AM138" s="127"/>
      <c r="AN138" s="127"/>
      <c r="AO138" s="127"/>
      <c r="AP138" s="127"/>
      <c r="AQ138" s="127"/>
      <c r="AR138" s="127"/>
      <c r="AS138" s="127"/>
      <c r="AT138" s="127"/>
    </row>
    <row r="139" spans="2:47" x14ac:dyDescent="0.2">
      <c r="AE139" s="204"/>
      <c r="AF139" s="127"/>
      <c r="AG139" s="127"/>
      <c r="AH139" s="127"/>
      <c r="AI139" s="127"/>
      <c r="AJ139" s="127"/>
      <c r="AK139" s="127"/>
      <c r="AL139" s="127"/>
      <c r="AM139" s="127"/>
      <c r="AN139" s="127"/>
      <c r="AO139" s="127"/>
      <c r="AP139" s="127"/>
      <c r="AQ139" s="127"/>
      <c r="AR139" s="127"/>
      <c r="AS139" s="127"/>
      <c r="AT139" s="127"/>
    </row>
    <row r="140" spans="2:47" x14ac:dyDescent="0.2">
      <c r="AE140" s="204"/>
      <c r="AF140" s="127"/>
      <c r="AG140" s="127"/>
      <c r="AH140" s="127"/>
      <c r="AI140" s="127"/>
      <c r="AJ140" s="127"/>
      <c r="AK140" s="127"/>
      <c r="AL140" s="127"/>
      <c r="AM140" s="127"/>
      <c r="AN140" s="127"/>
      <c r="AO140" s="127"/>
      <c r="AP140" s="127"/>
      <c r="AQ140" s="127"/>
      <c r="AR140" s="127"/>
      <c r="AS140" s="127"/>
      <c r="AT140" s="127"/>
    </row>
    <row r="141" spans="2:47" x14ac:dyDescent="0.2">
      <c r="AE141" s="204"/>
      <c r="AF141" s="127"/>
      <c r="AG141" s="127"/>
      <c r="AH141" s="127"/>
      <c r="AI141" s="127"/>
      <c r="AJ141" s="127"/>
      <c r="AK141" s="127"/>
      <c r="AL141" s="127"/>
      <c r="AM141" s="127"/>
      <c r="AN141" s="127"/>
      <c r="AO141" s="127"/>
      <c r="AP141" s="127"/>
      <c r="AQ141" s="127"/>
      <c r="AR141" s="127"/>
      <c r="AS141" s="127"/>
      <c r="AT141" s="127"/>
    </row>
    <row r="142" spans="2:47" x14ac:dyDescent="0.2">
      <c r="AE142" s="204"/>
      <c r="AF142" s="127"/>
      <c r="AG142" s="127"/>
      <c r="AH142" s="127"/>
      <c r="AI142" s="127"/>
      <c r="AJ142" s="127"/>
      <c r="AK142" s="127"/>
      <c r="AL142" s="127"/>
      <c r="AM142" s="127"/>
      <c r="AN142" s="127"/>
      <c r="AO142" s="127"/>
      <c r="AP142" s="127"/>
      <c r="AQ142" s="127"/>
      <c r="AR142" s="127"/>
      <c r="AS142" s="127"/>
      <c r="AT142" s="127"/>
    </row>
    <row r="143" spans="2:47" ht="15" customHeight="1" x14ac:dyDescent="0.2">
      <c r="X143" s="127"/>
      <c r="Y143" s="127"/>
      <c r="AE143" s="204"/>
      <c r="AF143" s="127"/>
      <c r="AG143" s="127"/>
      <c r="AH143" s="127"/>
      <c r="AI143" s="127"/>
      <c r="AJ143" s="127"/>
      <c r="AK143" s="127"/>
      <c r="AL143" s="127"/>
      <c r="AM143" s="127"/>
      <c r="AN143" s="127"/>
      <c r="AO143" s="127"/>
      <c r="AP143" s="127"/>
      <c r="AQ143" s="127"/>
      <c r="AR143" s="127"/>
      <c r="AS143" s="127"/>
      <c r="AT143" s="127"/>
    </row>
    <row r="144" spans="2:47" x14ac:dyDescent="0.2">
      <c r="AE144" s="204"/>
      <c r="AG144" s="127"/>
      <c r="AH144" s="127"/>
      <c r="AI144" s="127"/>
      <c r="AJ144" s="127"/>
      <c r="AK144" s="127"/>
      <c r="AL144" s="127"/>
      <c r="AM144" s="127"/>
      <c r="AN144" s="127"/>
      <c r="AO144" s="127"/>
    </row>
    <row r="145" spans="24:47" x14ac:dyDescent="0.2">
      <c r="AE145" s="204"/>
      <c r="AF145" s="127"/>
      <c r="AG145" s="127"/>
      <c r="AH145" s="127"/>
      <c r="AI145" s="127"/>
      <c r="AJ145" s="127"/>
      <c r="AK145" s="127"/>
      <c r="AL145" s="127"/>
      <c r="AM145" s="127"/>
      <c r="AN145" s="127"/>
      <c r="AO145" s="127"/>
      <c r="AP145" s="127"/>
      <c r="AQ145" s="127"/>
      <c r="AR145" s="127"/>
      <c r="AS145" s="127"/>
      <c r="AT145" s="127"/>
    </row>
    <row r="146" spans="24:47" x14ac:dyDescent="0.2">
      <c r="AE146" s="204"/>
      <c r="AF146" s="127"/>
      <c r="AG146" s="127"/>
      <c r="AH146" s="127"/>
      <c r="AI146" s="127"/>
      <c r="AJ146" s="127"/>
      <c r="AK146" s="127"/>
      <c r="AL146" s="127"/>
      <c r="AM146" s="127"/>
      <c r="AN146" s="127"/>
      <c r="AO146" s="127"/>
      <c r="AP146" s="127"/>
      <c r="AQ146" s="127"/>
      <c r="AR146" s="127"/>
      <c r="AS146" s="127"/>
      <c r="AT146" s="127"/>
      <c r="AU146" s="205"/>
    </row>
    <row r="147" spans="24:47" x14ac:dyDescent="0.2">
      <c r="AE147" s="204"/>
      <c r="AF147" s="127"/>
      <c r="AG147" s="127"/>
      <c r="AH147" s="127"/>
      <c r="AI147" s="127"/>
      <c r="AJ147" s="127"/>
      <c r="AK147" s="127"/>
      <c r="AL147" s="127"/>
      <c r="AM147" s="127"/>
      <c r="AN147" s="127"/>
      <c r="AO147" s="127"/>
      <c r="AP147" s="127"/>
      <c r="AQ147" s="127"/>
      <c r="AR147" s="127"/>
      <c r="AS147" s="127"/>
      <c r="AT147" s="127"/>
      <c r="AU147" s="205"/>
    </row>
    <row r="148" spans="24:47" x14ac:dyDescent="0.2">
      <c r="AE148" s="204"/>
      <c r="AF148" s="127"/>
      <c r="AG148" s="127"/>
      <c r="AH148" s="127"/>
      <c r="AI148" s="127"/>
      <c r="AJ148" s="127"/>
      <c r="AK148" s="127"/>
      <c r="AL148" s="127"/>
      <c r="AM148" s="127"/>
      <c r="AN148" s="127"/>
      <c r="AO148" s="127"/>
      <c r="AP148" s="127"/>
      <c r="AQ148" s="127"/>
      <c r="AR148" s="127"/>
      <c r="AS148" s="127"/>
      <c r="AT148" s="127"/>
      <c r="AU148" s="205"/>
    </row>
    <row r="149" spans="24:47" x14ac:dyDescent="0.2">
      <c r="AE149" s="204"/>
      <c r="AF149" s="127"/>
      <c r="AG149" s="127"/>
      <c r="AH149" s="127"/>
      <c r="AI149" s="127"/>
      <c r="AJ149" s="127"/>
      <c r="AK149" s="127"/>
      <c r="AL149" s="127"/>
      <c r="AM149" s="127"/>
      <c r="AN149" s="127"/>
      <c r="AO149" s="127"/>
      <c r="AP149" s="127"/>
      <c r="AQ149" s="127"/>
      <c r="AR149" s="127"/>
      <c r="AS149" s="127"/>
      <c r="AT149" s="127"/>
      <c r="AU149" s="205"/>
    </row>
    <row r="150" spans="24:47" x14ac:dyDescent="0.2">
      <c r="AE150" s="204"/>
      <c r="AF150" s="127"/>
      <c r="AG150" s="127"/>
      <c r="AH150" s="127"/>
      <c r="AI150" s="127"/>
      <c r="AJ150" s="127"/>
      <c r="AK150" s="127"/>
      <c r="AL150" s="127"/>
      <c r="AM150" s="127"/>
      <c r="AN150" s="127"/>
      <c r="AO150" s="127"/>
      <c r="AP150" s="127"/>
      <c r="AQ150" s="127"/>
      <c r="AR150" s="127"/>
      <c r="AS150" s="127"/>
      <c r="AT150" s="127"/>
      <c r="AU150" s="205"/>
    </row>
    <row r="151" spans="24:47" x14ac:dyDescent="0.2">
      <c r="AE151" s="204"/>
      <c r="AF151" s="127"/>
      <c r="AG151" s="127"/>
      <c r="AH151" s="127"/>
      <c r="AI151" s="127"/>
      <c r="AJ151" s="127"/>
      <c r="AK151" s="127"/>
      <c r="AL151" s="127"/>
      <c r="AM151" s="127"/>
      <c r="AN151" s="127"/>
      <c r="AO151" s="127"/>
      <c r="AP151" s="127"/>
      <c r="AQ151" s="127"/>
      <c r="AR151" s="127"/>
      <c r="AS151" s="127"/>
      <c r="AT151" s="127"/>
      <c r="AU151" s="205"/>
    </row>
    <row r="152" spans="24:47" x14ac:dyDescent="0.2">
      <c r="AE152" s="204"/>
      <c r="AF152" s="127"/>
      <c r="AG152" s="127"/>
      <c r="AH152" s="127"/>
      <c r="AI152" s="127"/>
      <c r="AJ152" s="127"/>
      <c r="AK152" s="127"/>
      <c r="AL152" s="127"/>
      <c r="AM152" s="127"/>
      <c r="AN152" s="127"/>
      <c r="AO152" s="127"/>
      <c r="AP152" s="127"/>
      <c r="AQ152" s="127"/>
      <c r="AR152" s="127"/>
      <c r="AS152" s="127"/>
      <c r="AT152" s="127"/>
      <c r="AU152" s="205"/>
    </row>
    <row r="153" spans="24:47" x14ac:dyDescent="0.2">
      <c r="AE153" s="204"/>
      <c r="AF153" s="127"/>
      <c r="AG153" s="127"/>
      <c r="AH153" s="127"/>
      <c r="AI153" s="127"/>
      <c r="AJ153" s="127"/>
      <c r="AK153" s="127"/>
      <c r="AL153" s="127"/>
      <c r="AM153" s="127"/>
      <c r="AN153" s="127"/>
      <c r="AO153" s="127"/>
      <c r="AP153" s="127"/>
      <c r="AQ153" s="127"/>
      <c r="AR153" s="127"/>
      <c r="AS153" s="127"/>
      <c r="AT153" s="127"/>
      <c r="AU153" s="205"/>
    </row>
    <row r="154" spans="24:47" x14ac:dyDescent="0.2">
      <c r="AE154" s="204"/>
      <c r="AF154" s="127"/>
      <c r="AG154" s="127"/>
      <c r="AH154" s="127"/>
      <c r="AI154" s="127"/>
      <c r="AJ154" s="127"/>
      <c r="AK154" s="127"/>
      <c r="AL154" s="127"/>
      <c r="AM154" s="127"/>
      <c r="AN154" s="127"/>
      <c r="AO154" s="127"/>
      <c r="AP154" s="127"/>
      <c r="AQ154" s="127"/>
      <c r="AR154" s="127"/>
      <c r="AS154" s="127"/>
      <c r="AT154" s="127"/>
      <c r="AU154" s="205"/>
    </row>
    <row r="155" spans="24:47" x14ac:dyDescent="0.2">
      <c r="AE155" s="204"/>
      <c r="AF155" s="127"/>
      <c r="AG155" s="127"/>
      <c r="AH155" s="127"/>
      <c r="AI155" s="127"/>
      <c r="AJ155" s="127"/>
      <c r="AK155" s="127"/>
      <c r="AL155" s="127"/>
      <c r="AM155" s="127"/>
      <c r="AN155" s="127"/>
      <c r="AO155" s="127"/>
      <c r="AP155" s="127"/>
      <c r="AQ155" s="127"/>
      <c r="AR155" s="127"/>
      <c r="AS155" s="127"/>
      <c r="AT155" s="127"/>
      <c r="AU155" s="205"/>
    </row>
    <row r="156" spans="24:47" x14ac:dyDescent="0.2">
      <c r="AE156" s="204"/>
      <c r="AF156" s="127"/>
      <c r="AG156" s="127"/>
      <c r="AH156" s="127"/>
      <c r="AI156" s="127"/>
      <c r="AJ156" s="127"/>
      <c r="AK156" s="127"/>
      <c r="AL156" s="127"/>
      <c r="AM156" s="127"/>
      <c r="AN156" s="127"/>
      <c r="AO156" s="127"/>
      <c r="AP156" s="127"/>
      <c r="AQ156" s="127"/>
      <c r="AR156" s="127"/>
      <c r="AS156" s="127"/>
      <c r="AT156" s="127"/>
      <c r="AU156" s="205"/>
    </row>
    <row r="157" spans="24:47" x14ac:dyDescent="0.2">
      <c r="AE157" s="204"/>
      <c r="AF157" s="127"/>
      <c r="AG157" s="127"/>
      <c r="AH157" s="127"/>
      <c r="AI157" s="127"/>
      <c r="AJ157" s="127"/>
      <c r="AK157" s="127"/>
      <c r="AL157" s="127"/>
      <c r="AM157" s="127"/>
      <c r="AN157" s="127"/>
      <c r="AO157" s="127"/>
      <c r="AP157" s="127"/>
      <c r="AQ157" s="127"/>
      <c r="AR157" s="127"/>
      <c r="AS157" s="127"/>
      <c r="AT157" s="127"/>
      <c r="AU157" s="205"/>
    </row>
    <row r="158" spans="24:47" ht="15" customHeight="1" x14ac:dyDescent="0.2">
      <c r="X158" s="127"/>
      <c r="Y158" s="127"/>
      <c r="AE158" s="204"/>
      <c r="AF158" s="205"/>
      <c r="AG158" s="205"/>
      <c r="AH158" s="205"/>
      <c r="AI158" s="205"/>
      <c r="AJ158" s="205"/>
      <c r="AK158" s="205"/>
      <c r="AL158" s="205"/>
      <c r="AM158" s="205"/>
      <c r="AN158" s="205"/>
      <c r="AO158" s="205"/>
      <c r="AP158" s="205"/>
      <c r="AQ158" s="205"/>
      <c r="AR158" s="205"/>
      <c r="AS158" s="205"/>
      <c r="AT158" s="205"/>
      <c r="AU158" s="205"/>
    </row>
    <row r="159" spans="24:47" x14ac:dyDescent="0.2">
      <c r="AE159" s="204"/>
      <c r="AF159" s="127"/>
      <c r="AG159" s="127"/>
      <c r="AH159" s="127"/>
      <c r="AI159" s="127"/>
      <c r="AJ159" s="127"/>
      <c r="AK159" s="127"/>
      <c r="AL159" s="127"/>
      <c r="AM159" s="127"/>
      <c r="AN159" s="127"/>
      <c r="AO159" s="127"/>
      <c r="AP159" s="127"/>
      <c r="AQ159" s="127"/>
      <c r="AR159" s="127"/>
      <c r="AS159" s="127"/>
      <c r="AT159" s="127"/>
      <c r="AU159" s="205"/>
    </row>
    <row r="160" spans="24:47" x14ac:dyDescent="0.2">
      <c r="AE160" s="204"/>
      <c r="AF160" s="127"/>
      <c r="AG160" s="127"/>
      <c r="AH160" s="127"/>
      <c r="AI160" s="127"/>
      <c r="AJ160" s="127"/>
      <c r="AK160" s="127"/>
      <c r="AL160" s="127"/>
      <c r="AM160" s="127"/>
      <c r="AN160" s="127"/>
      <c r="AO160" s="127"/>
      <c r="AP160" s="127"/>
      <c r="AQ160" s="127"/>
      <c r="AR160" s="127"/>
      <c r="AS160" s="127"/>
      <c r="AT160" s="127"/>
      <c r="AU160" s="205"/>
    </row>
    <row r="161" spans="24:47" x14ac:dyDescent="0.2">
      <c r="AE161" s="204"/>
      <c r="AF161" s="127"/>
      <c r="AG161" s="127"/>
      <c r="AH161" s="127"/>
      <c r="AI161" s="127"/>
      <c r="AJ161" s="127"/>
      <c r="AK161" s="127"/>
      <c r="AL161" s="127"/>
      <c r="AM161" s="127"/>
      <c r="AN161" s="127"/>
      <c r="AO161" s="127"/>
      <c r="AP161" s="127"/>
      <c r="AQ161" s="127"/>
      <c r="AR161" s="127"/>
      <c r="AS161" s="127"/>
      <c r="AT161" s="127"/>
      <c r="AU161" s="205"/>
    </row>
    <row r="162" spans="24:47" x14ac:dyDescent="0.2">
      <c r="AE162" s="204"/>
      <c r="AF162" s="127"/>
      <c r="AG162" s="127"/>
      <c r="AH162" s="127"/>
      <c r="AI162" s="127"/>
      <c r="AJ162" s="127"/>
      <c r="AK162" s="127"/>
      <c r="AL162" s="127"/>
      <c r="AM162" s="127"/>
      <c r="AN162" s="127"/>
      <c r="AO162" s="127"/>
      <c r="AP162" s="127"/>
      <c r="AQ162" s="127"/>
      <c r="AR162" s="127"/>
      <c r="AS162" s="127"/>
      <c r="AT162" s="127"/>
      <c r="AU162" s="205"/>
    </row>
    <row r="163" spans="24:47" x14ac:dyDescent="0.2">
      <c r="AE163" s="204"/>
      <c r="AF163" s="127"/>
      <c r="AG163" s="127"/>
      <c r="AH163" s="127"/>
      <c r="AI163" s="127"/>
      <c r="AJ163" s="127"/>
      <c r="AK163" s="127"/>
      <c r="AL163" s="127"/>
      <c r="AM163" s="127"/>
      <c r="AN163" s="127"/>
      <c r="AO163" s="127"/>
      <c r="AP163" s="127"/>
      <c r="AQ163" s="127"/>
      <c r="AR163" s="127"/>
      <c r="AS163" s="127"/>
      <c r="AT163" s="127"/>
      <c r="AU163" s="205"/>
    </row>
    <row r="164" spans="24:47" x14ac:dyDescent="0.2">
      <c r="AE164" s="204"/>
      <c r="AF164" s="127"/>
      <c r="AG164" s="127"/>
      <c r="AH164" s="127"/>
      <c r="AI164" s="127"/>
      <c r="AJ164" s="127"/>
      <c r="AK164" s="127"/>
      <c r="AL164" s="127"/>
      <c r="AM164" s="127"/>
      <c r="AN164" s="127"/>
      <c r="AO164" s="127"/>
      <c r="AP164" s="127"/>
      <c r="AQ164" s="127"/>
      <c r="AR164" s="127"/>
      <c r="AS164" s="127"/>
      <c r="AT164" s="127"/>
      <c r="AU164" s="205"/>
    </row>
    <row r="165" spans="24:47" x14ac:dyDescent="0.2">
      <c r="AE165" s="204"/>
      <c r="AF165" s="127"/>
      <c r="AG165" s="127"/>
      <c r="AH165" s="127"/>
      <c r="AI165" s="127"/>
      <c r="AJ165" s="127"/>
      <c r="AK165" s="127"/>
      <c r="AL165" s="127"/>
      <c r="AM165" s="127"/>
      <c r="AN165" s="127"/>
      <c r="AO165" s="127"/>
      <c r="AP165" s="127"/>
      <c r="AQ165" s="127"/>
      <c r="AR165" s="127"/>
      <c r="AS165" s="127"/>
      <c r="AT165" s="127"/>
      <c r="AU165" s="205"/>
    </row>
    <row r="166" spans="24:47" x14ac:dyDescent="0.2">
      <c r="AE166" s="204"/>
      <c r="AF166" s="127"/>
      <c r="AG166" s="127"/>
      <c r="AH166" s="127"/>
      <c r="AI166" s="127"/>
      <c r="AJ166" s="127"/>
      <c r="AK166" s="127"/>
      <c r="AL166" s="127"/>
      <c r="AM166" s="127"/>
      <c r="AN166" s="127"/>
      <c r="AO166" s="127"/>
      <c r="AP166" s="127"/>
      <c r="AQ166" s="127"/>
      <c r="AR166" s="127"/>
      <c r="AS166" s="127"/>
      <c r="AT166" s="127"/>
    </row>
    <row r="167" spans="24:47" x14ac:dyDescent="0.2">
      <c r="AE167" s="204"/>
      <c r="AF167" s="127"/>
      <c r="AG167" s="127"/>
      <c r="AH167" s="127"/>
      <c r="AI167" s="127"/>
      <c r="AJ167" s="127"/>
      <c r="AK167" s="127"/>
      <c r="AL167" s="127"/>
      <c r="AM167" s="127"/>
      <c r="AN167" s="127"/>
      <c r="AO167" s="127"/>
      <c r="AP167" s="127"/>
      <c r="AQ167" s="127"/>
      <c r="AR167" s="127"/>
      <c r="AS167" s="127"/>
      <c r="AT167" s="127"/>
    </row>
    <row r="168" spans="24:47" x14ac:dyDescent="0.2">
      <c r="AE168" s="204"/>
      <c r="AF168" s="127"/>
      <c r="AG168" s="127"/>
      <c r="AH168" s="127"/>
      <c r="AI168" s="127"/>
      <c r="AJ168" s="127"/>
      <c r="AK168" s="127"/>
      <c r="AL168" s="127"/>
      <c r="AM168" s="127"/>
      <c r="AN168" s="127"/>
      <c r="AO168" s="127"/>
      <c r="AP168" s="127"/>
      <c r="AQ168" s="127"/>
      <c r="AR168" s="127"/>
      <c r="AS168" s="127"/>
      <c r="AT168" s="127"/>
    </row>
    <row r="169" spans="24:47" x14ac:dyDescent="0.2">
      <c r="AE169" s="204"/>
      <c r="AF169" s="127"/>
      <c r="AG169" s="127"/>
      <c r="AH169" s="127"/>
      <c r="AI169" s="127"/>
      <c r="AJ169" s="127"/>
      <c r="AK169" s="127"/>
      <c r="AL169" s="127"/>
      <c r="AM169" s="127"/>
      <c r="AN169" s="127"/>
      <c r="AO169" s="127"/>
      <c r="AP169" s="127"/>
      <c r="AQ169" s="127"/>
      <c r="AR169" s="127"/>
      <c r="AS169" s="127"/>
      <c r="AT169" s="127"/>
    </row>
    <row r="170" spans="24:47" x14ac:dyDescent="0.2">
      <c r="AE170" s="204"/>
      <c r="AF170" s="127"/>
      <c r="AG170" s="127"/>
      <c r="AH170" s="127"/>
      <c r="AI170" s="127"/>
      <c r="AJ170" s="127"/>
      <c r="AK170" s="127"/>
      <c r="AL170" s="127"/>
      <c r="AM170" s="127"/>
      <c r="AN170" s="127"/>
      <c r="AO170" s="127"/>
      <c r="AP170" s="127"/>
      <c r="AQ170" s="127"/>
      <c r="AR170" s="127"/>
      <c r="AS170" s="127"/>
      <c r="AT170" s="127"/>
    </row>
    <row r="171" spans="24:47" x14ac:dyDescent="0.2">
      <c r="AE171" s="204"/>
      <c r="AF171" s="127"/>
      <c r="AG171" s="127"/>
      <c r="AH171" s="127"/>
      <c r="AI171" s="127"/>
      <c r="AJ171" s="127"/>
      <c r="AK171" s="127"/>
      <c r="AL171" s="127"/>
      <c r="AM171" s="127"/>
      <c r="AN171" s="127"/>
      <c r="AO171" s="127"/>
      <c r="AP171" s="127"/>
      <c r="AQ171" s="127"/>
      <c r="AR171" s="127"/>
      <c r="AS171" s="127"/>
      <c r="AT171" s="127"/>
    </row>
    <row r="172" spans="24:47" x14ac:dyDescent="0.2">
      <c r="AE172" s="204"/>
      <c r="AG172" s="127"/>
      <c r="AH172" s="127"/>
      <c r="AI172" s="127"/>
      <c r="AJ172" s="127"/>
      <c r="AK172" s="127"/>
      <c r="AL172" s="127"/>
      <c r="AM172" s="127"/>
      <c r="AN172" s="127"/>
    </row>
    <row r="173" spans="24:47" ht="15" customHeight="1" x14ac:dyDescent="0.2">
      <c r="X173" s="127"/>
      <c r="Y173" s="127"/>
      <c r="AE173" s="204"/>
      <c r="AF173" s="127"/>
      <c r="AG173" s="127"/>
      <c r="AH173" s="127"/>
      <c r="AI173" s="127"/>
      <c r="AJ173" s="127"/>
      <c r="AK173" s="127"/>
      <c r="AL173" s="127"/>
      <c r="AM173" s="127"/>
      <c r="AN173" s="127"/>
      <c r="AO173" s="127"/>
      <c r="AP173" s="127"/>
      <c r="AQ173" s="127"/>
      <c r="AR173" s="127"/>
      <c r="AS173" s="127"/>
      <c r="AT173" s="127"/>
    </row>
    <row r="174" spans="24:47" x14ac:dyDescent="0.2">
      <c r="AE174" s="204"/>
      <c r="AF174" s="127"/>
      <c r="AG174" s="127"/>
      <c r="AH174" s="127"/>
      <c r="AI174" s="127"/>
      <c r="AJ174" s="127"/>
      <c r="AK174" s="127"/>
      <c r="AL174" s="127"/>
      <c r="AM174" s="127"/>
      <c r="AN174" s="127"/>
      <c r="AO174" s="127"/>
      <c r="AP174" s="127"/>
      <c r="AQ174" s="127"/>
      <c r="AR174" s="127"/>
      <c r="AS174" s="127"/>
      <c r="AT174" s="127"/>
    </row>
    <row r="175" spans="24:47" x14ac:dyDescent="0.2">
      <c r="AE175" s="204"/>
      <c r="AF175" s="127"/>
      <c r="AG175" s="127"/>
      <c r="AH175" s="127"/>
      <c r="AI175" s="127"/>
      <c r="AJ175" s="127"/>
      <c r="AK175" s="127"/>
      <c r="AL175" s="127"/>
      <c r="AM175" s="127"/>
      <c r="AN175" s="127"/>
      <c r="AO175" s="127"/>
      <c r="AP175" s="127"/>
      <c r="AQ175" s="127"/>
      <c r="AR175" s="127"/>
      <c r="AS175" s="127"/>
      <c r="AT175" s="127"/>
    </row>
    <row r="176" spans="24:47" x14ac:dyDescent="0.2">
      <c r="AE176" s="204"/>
      <c r="AF176" s="127"/>
      <c r="AG176" s="127"/>
      <c r="AH176" s="127"/>
      <c r="AI176" s="127"/>
      <c r="AJ176" s="127"/>
      <c r="AK176" s="127"/>
      <c r="AL176" s="127"/>
      <c r="AM176" s="127"/>
      <c r="AN176" s="127"/>
      <c r="AO176" s="127"/>
      <c r="AP176" s="127"/>
      <c r="AQ176" s="127"/>
      <c r="AR176" s="127"/>
      <c r="AS176" s="127"/>
      <c r="AT176" s="127"/>
    </row>
    <row r="177" spans="31:46" x14ac:dyDescent="0.2">
      <c r="AE177" s="204"/>
      <c r="AF177" s="127"/>
      <c r="AG177" s="127"/>
      <c r="AH177" s="127"/>
      <c r="AI177" s="127"/>
      <c r="AJ177" s="127"/>
      <c r="AK177" s="127"/>
      <c r="AL177" s="127"/>
      <c r="AM177" s="127"/>
      <c r="AN177" s="127"/>
      <c r="AO177" s="127"/>
      <c r="AP177" s="127"/>
      <c r="AQ177" s="127"/>
      <c r="AR177" s="127"/>
      <c r="AS177" s="127"/>
      <c r="AT177" s="127"/>
    </row>
    <row r="178" spans="31:46" x14ac:dyDescent="0.2">
      <c r="AE178" s="204"/>
      <c r="AF178" s="127"/>
      <c r="AG178" s="127"/>
      <c r="AH178" s="127"/>
      <c r="AI178" s="127"/>
      <c r="AJ178" s="127"/>
      <c r="AK178" s="127"/>
      <c r="AL178" s="127"/>
      <c r="AM178" s="127"/>
      <c r="AN178" s="127"/>
      <c r="AO178" s="127"/>
      <c r="AP178" s="127"/>
      <c r="AQ178" s="127"/>
      <c r="AR178" s="127"/>
      <c r="AS178" s="127"/>
      <c r="AT178" s="127"/>
    </row>
    <row r="179" spans="31:46" x14ac:dyDescent="0.2">
      <c r="AE179" s="204"/>
      <c r="AF179" s="127"/>
      <c r="AG179" s="127"/>
      <c r="AH179" s="127"/>
      <c r="AI179" s="127"/>
      <c r="AJ179" s="127"/>
      <c r="AK179" s="127"/>
      <c r="AL179" s="127"/>
      <c r="AM179" s="127"/>
      <c r="AN179" s="127"/>
      <c r="AO179" s="127"/>
      <c r="AP179" s="127"/>
      <c r="AQ179" s="127"/>
      <c r="AR179" s="127"/>
      <c r="AS179" s="127"/>
      <c r="AT179" s="127"/>
    </row>
    <row r="180" spans="31:46" x14ac:dyDescent="0.2">
      <c r="AE180" s="204"/>
      <c r="AF180" s="127"/>
      <c r="AG180" s="127"/>
      <c r="AH180" s="127"/>
      <c r="AI180" s="127"/>
      <c r="AJ180" s="127"/>
      <c r="AK180" s="127"/>
      <c r="AL180" s="127"/>
      <c r="AM180" s="127"/>
      <c r="AN180" s="127"/>
      <c r="AO180" s="127"/>
      <c r="AP180" s="127"/>
      <c r="AQ180" s="127"/>
      <c r="AR180" s="127"/>
      <c r="AS180" s="127"/>
      <c r="AT180" s="127"/>
    </row>
    <row r="181" spans="31:46" x14ac:dyDescent="0.2">
      <c r="AE181" s="204"/>
      <c r="AF181" s="127"/>
      <c r="AG181" s="127"/>
      <c r="AH181" s="127"/>
      <c r="AI181" s="127"/>
      <c r="AJ181" s="127"/>
      <c r="AK181" s="127"/>
      <c r="AL181" s="127"/>
      <c r="AM181" s="127"/>
      <c r="AN181" s="127"/>
      <c r="AO181" s="127"/>
      <c r="AP181" s="127"/>
      <c r="AQ181" s="127"/>
      <c r="AR181" s="127"/>
      <c r="AS181" s="127"/>
      <c r="AT181" s="127"/>
    </row>
    <row r="182" spans="31:46" x14ac:dyDescent="0.2">
      <c r="AE182" s="204"/>
      <c r="AF182" s="127"/>
      <c r="AG182" s="127"/>
      <c r="AH182" s="127"/>
      <c r="AI182" s="127"/>
      <c r="AJ182" s="127"/>
      <c r="AK182" s="127"/>
      <c r="AL182" s="127"/>
      <c r="AM182" s="127"/>
      <c r="AN182" s="127"/>
      <c r="AO182" s="127"/>
      <c r="AP182" s="127"/>
      <c r="AQ182" s="127"/>
      <c r="AR182" s="127"/>
      <c r="AS182" s="127"/>
      <c r="AT182" s="127"/>
    </row>
    <row r="183" spans="31:46" x14ac:dyDescent="0.2">
      <c r="AE183" s="204"/>
      <c r="AF183" s="127"/>
      <c r="AG183" s="127"/>
      <c r="AH183" s="127"/>
      <c r="AI183" s="127"/>
      <c r="AJ183" s="127"/>
      <c r="AK183" s="127"/>
      <c r="AL183" s="127"/>
      <c r="AM183" s="127"/>
      <c r="AN183" s="127"/>
      <c r="AO183" s="127"/>
      <c r="AP183" s="127"/>
      <c r="AQ183" s="127"/>
      <c r="AR183" s="127"/>
      <c r="AS183" s="127"/>
      <c r="AT183" s="127"/>
    </row>
    <row r="184" spans="31:46" x14ac:dyDescent="0.2">
      <c r="AE184" s="204"/>
      <c r="AF184" s="127"/>
      <c r="AG184" s="127"/>
      <c r="AH184" s="127"/>
      <c r="AI184" s="127"/>
      <c r="AJ184" s="127"/>
      <c r="AK184" s="127"/>
      <c r="AL184" s="127"/>
      <c r="AM184" s="127"/>
      <c r="AN184" s="127"/>
      <c r="AO184" s="127"/>
      <c r="AP184" s="127"/>
      <c r="AQ184" s="127"/>
      <c r="AR184" s="127"/>
      <c r="AS184" s="127"/>
      <c r="AT184" s="127"/>
    </row>
    <row r="185" spans="31:46" x14ac:dyDescent="0.2">
      <c r="AE185" s="204"/>
      <c r="AF185" s="127"/>
      <c r="AG185" s="127"/>
      <c r="AH185" s="127"/>
      <c r="AI185" s="127"/>
      <c r="AJ185" s="127"/>
      <c r="AK185" s="127"/>
      <c r="AL185" s="127"/>
      <c r="AM185" s="127"/>
      <c r="AN185" s="127"/>
      <c r="AO185" s="127"/>
      <c r="AP185" s="127"/>
      <c r="AQ185" s="127"/>
      <c r="AR185" s="127"/>
      <c r="AS185" s="127"/>
      <c r="AT185" s="127"/>
    </row>
    <row r="186" spans="31:46" x14ac:dyDescent="0.2">
      <c r="AE186" s="204"/>
      <c r="AG186" s="127"/>
      <c r="AH186" s="127"/>
      <c r="AI186" s="127"/>
      <c r="AJ186" s="127"/>
      <c r="AK186" s="127"/>
      <c r="AL186" s="127"/>
      <c r="AM186" s="127"/>
      <c r="AN186" s="127"/>
    </row>
    <row r="187" spans="31:46" x14ac:dyDescent="0.2">
      <c r="AE187" s="204"/>
      <c r="AF187" s="127"/>
      <c r="AG187" s="127"/>
      <c r="AH187" s="127"/>
      <c r="AI187" s="127"/>
      <c r="AJ187" s="127"/>
      <c r="AK187" s="127"/>
      <c r="AL187" s="127"/>
      <c r="AM187" s="127"/>
      <c r="AN187" s="127"/>
      <c r="AO187" s="127"/>
      <c r="AP187" s="127"/>
      <c r="AQ187" s="127"/>
      <c r="AR187" s="127"/>
      <c r="AS187" s="127"/>
      <c r="AT187" s="127"/>
    </row>
    <row r="188" spans="31:46" x14ac:dyDescent="0.2">
      <c r="AE188" s="204"/>
      <c r="AF188" s="127"/>
      <c r="AG188" s="127"/>
      <c r="AH188" s="127"/>
      <c r="AI188" s="127"/>
      <c r="AJ188" s="127"/>
      <c r="AK188" s="127"/>
      <c r="AL188" s="127"/>
      <c r="AM188" s="127"/>
      <c r="AN188" s="127"/>
      <c r="AO188" s="127"/>
      <c r="AP188" s="127"/>
      <c r="AQ188" s="127"/>
      <c r="AR188" s="127"/>
      <c r="AS188" s="127"/>
      <c r="AT188" s="127"/>
    </row>
    <row r="189" spans="31:46" x14ac:dyDescent="0.2">
      <c r="AE189" s="204"/>
      <c r="AF189" s="127"/>
      <c r="AG189" s="127"/>
      <c r="AH189" s="127"/>
      <c r="AI189" s="127"/>
      <c r="AJ189" s="127"/>
      <c r="AK189" s="127"/>
      <c r="AL189" s="127"/>
      <c r="AM189" s="127"/>
      <c r="AN189" s="127"/>
      <c r="AO189" s="127"/>
      <c r="AP189" s="127"/>
      <c r="AQ189" s="127"/>
      <c r="AR189" s="127"/>
      <c r="AS189" s="127"/>
      <c r="AT189" s="127"/>
    </row>
    <row r="190" spans="31:46" x14ac:dyDescent="0.2">
      <c r="AE190" s="204"/>
      <c r="AF190" s="127"/>
      <c r="AG190" s="127"/>
      <c r="AH190" s="127"/>
      <c r="AI190" s="127"/>
      <c r="AJ190" s="127"/>
      <c r="AK190" s="127"/>
      <c r="AL190" s="127"/>
      <c r="AM190" s="127"/>
      <c r="AN190" s="127"/>
      <c r="AO190" s="127"/>
      <c r="AP190" s="127"/>
      <c r="AQ190" s="127"/>
      <c r="AR190" s="127"/>
      <c r="AS190" s="127"/>
      <c r="AT190" s="127"/>
    </row>
    <row r="191" spans="31:46" x14ac:dyDescent="0.2">
      <c r="AE191" s="204"/>
      <c r="AF191" s="127"/>
      <c r="AG191" s="127"/>
      <c r="AH191" s="127"/>
      <c r="AI191" s="127"/>
      <c r="AJ191" s="127"/>
      <c r="AK191" s="127"/>
      <c r="AL191" s="127"/>
      <c r="AM191" s="127"/>
      <c r="AN191" s="127"/>
      <c r="AO191" s="127"/>
      <c r="AP191" s="127"/>
      <c r="AQ191" s="127"/>
      <c r="AR191" s="127"/>
      <c r="AS191" s="127"/>
      <c r="AT191" s="127"/>
    </row>
    <row r="192" spans="31:46" x14ac:dyDescent="0.2">
      <c r="AE192" s="204"/>
      <c r="AF192" s="127"/>
      <c r="AG192" s="127"/>
      <c r="AH192" s="127"/>
      <c r="AI192" s="127"/>
      <c r="AJ192" s="127"/>
      <c r="AK192" s="127"/>
      <c r="AL192" s="127"/>
      <c r="AM192" s="127"/>
      <c r="AN192" s="127"/>
      <c r="AO192" s="127"/>
      <c r="AP192" s="127"/>
      <c r="AQ192" s="127"/>
      <c r="AR192" s="127"/>
      <c r="AS192" s="127"/>
      <c r="AT192" s="127"/>
    </row>
    <row r="193" spans="31:46" x14ac:dyDescent="0.2">
      <c r="AE193" s="204"/>
      <c r="AF193" s="127"/>
      <c r="AG193" s="127"/>
      <c r="AH193" s="127"/>
      <c r="AI193" s="127"/>
      <c r="AJ193" s="127"/>
      <c r="AK193" s="127"/>
      <c r="AL193" s="127"/>
      <c r="AM193" s="127"/>
      <c r="AN193" s="127"/>
      <c r="AO193" s="127"/>
      <c r="AP193" s="127"/>
      <c r="AQ193" s="127"/>
      <c r="AR193" s="127"/>
      <c r="AS193" s="127"/>
      <c r="AT193" s="127"/>
    </row>
    <row r="194" spans="31:46" x14ac:dyDescent="0.2">
      <c r="AE194" s="204"/>
      <c r="AF194" s="127"/>
      <c r="AG194" s="127"/>
      <c r="AH194" s="127"/>
      <c r="AI194" s="127"/>
      <c r="AJ194" s="127"/>
      <c r="AK194" s="127"/>
      <c r="AL194" s="127"/>
      <c r="AM194" s="127"/>
      <c r="AN194" s="127"/>
      <c r="AO194" s="127"/>
      <c r="AP194" s="127"/>
      <c r="AQ194" s="127"/>
      <c r="AR194" s="127"/>
      <c r="AS194" s="127"/>
      <c r="AT194" s="127"/>
    </row>
    <row r="195" spans="31:46" x14ac:dyDescent="0.2">
      <c r="AE195" s="204"/>
      <c r="AF195" s="127"/>
      <c r="AG195" s="127"/>
      <c r="AH195" s="127"/>
      <c r="AI195" s="127"/>
      <c r="AJ195" s="127"/>
      <c r="AK195" s="127"/>
      <c r="AL195" s="127"/>
      <c r="AM195" s="127"/>
      <c r="AN195" s="127"/>
      <c r="AO195" s="127"/>
      <c r="AP195" s="127"/>
      <c r="AQ195" s="127"/>
      <c r="AR195" s="127"/>
      <c r="AS195" s="127"/>
      <c r="AT195" s="127"/>
    </row>
    <row r="196" spans="31:46" x14ac:dyDescent="0.2">
      <c r="AE196" s="204"/>
      <c r="AF196" s="127"/>
      <c r="AG196" s="127"/>
      <c r="AH196" s="127"/>
      <c r="AI196" s="127"/>
      <c r="AJ196" s="127"/>
      <c r="AK196" s="127"/>
      <c r="AL196" s="127"/>
      <c r="AM196" s="127"/>
      <c r="AN196" s="127"/>
      <c r="AO196" s="127"/>
      <c r="AP196" s="127"/>
      <c r="AQ196" s="127"/>
      <c r="AR196" s="127"/>
      <c r="AS196" s="127"/>
      <c r="AT196" s="127"/>
    </row>
    <row r="197" spans="31:46" x14ac:dyDescent="0.2">
      <c r="AE197" s="204"/>
      <c r="AF197" s="127"/>
      <c r="AG197" s="127"/>
      <c r="AH197" s="127"/>
      <c r="AI197" s="127"/>
      <c r="AJ197" s="127"/>
      <c r="AK197" s="127"/>
      <c r="AL197" s="127"/>
      <c r="AM197" s="127"/>
      <c r="AN197" s="127"/>
      <c r="AO197" s="127"/>
      <c r="AP197" s="127"/>
      <c r="AQ197" s="127"/>
      <c r="AR197" s="127"/>
      <c r="AS197" s="127"/>
      <c r="AT197" s="127"/>
    </row>
    <row r="198" spans="31:46" x14ac:dyDescent="0.2">
      <c r="AE198" s="204"/>
      <c r="AF198" s="127"/>
      <c r="AG198" s="127"/>
      <c r="AH198" s="127"/>
      <c r="AI198" s="127"/>
      <c r="AJ198" s="127"/>
      <c r="AK198" s="127"/>
      <c r="AL198" s="127"/>
      <c r="AM198" s="127"/>
      <c r="AN198" s="127"/>
      <c r="AO198" s="127"/>
      <c r="AP198" s="127"/>
      <c r="AQ198" s="127"/>
      <c r="AR198" s="127"/>
      <c r="AS198" s="127"/>
      <c r="AT198" s="127"/>
    </row>
    <row r="199" spans="31:46" x14ac:dyDescent="0.2">
      <c r="AE199" s="204"/>
      <c r="AF199" s="127"/>
      <c r="AG199" s="127"/>
      <c r="AH199" s="127"/>
      <c r="AI199" s="127"/>
      <c r="AJ199" s="127"/>
      <c r="AK199" s="127"/>
      <c r="AL199" s="127"/>
      <c r="AM199" s="127"/>
      <c r="AN199" s="127"/>
      <c r="AO199" s="127"/>
      <c r="AP199" s="127"/>
      <c r="AQ199" s="127"/>
      <c r="AR199" s="127"/>
      <c r="AS199" s="127"/>
      <c r="AT199" s="127"/>
    </row>
    <row r="200" spans="31:46" x14ac:dyDescent="0.2">
      <c r="AE200" s="204"/>
    </row>
    <row r="201" spans="31:46" x14ac:dyDescent="0.2">
      <c r="AE201" s="204"/>
      <c r="AF201" s="127"/>
      <c r="AG201" s="127"/>
      <c r="AH201" s="127"/>
      <c r="AI201" s="127"/>
      <c r="AJ201" s="127"/>
      <c r="AK201" s="127"/>
      <c r="AL201" s="127"/>
      <c r="AM201" s="127"/>
      <c r="AN201" s="127"/>
      <c r="AO201" s="127"/>
      <c r="AP201" s="127"/>
      <c r="AQ201" s="127"/>
      <c r="AR201" s="127"/>
      <c r="AS201" s="127"/>
      <c r="AT201" s="127"/>
    </row>
    <row r="202" spans="31:46" x14ac:dyDescent="0.2">
      <c r="AE202" s="204"/>
      <c r="AF202" s="127"/>
      <c r="AG202" s="127"/>
      <c r="AH202" s="127"/>
      <c r="AI202" s="127"/>
      <c r="AJ202" s="127"/>
      <c r="AK202" s="127"/>
      <c r="AL202" s="127"/>
      <c r="AM202" s="127"/>
      <c r="AN202" s="127"/>
      <c r="AO202" s="127"/>
      <c r="AP202" s="127"/>
      <c r="AQ202" s="127"/>
      <c r="AR202" s="127"/>
      <c r="AS202" s="127"/>
      <c r="AT202" s="127"/>
    </row>
    <row r="203" spans="31:46" x14ac:dyDescent="0.2">
      <c r="AE203" s="204"/>
      <c r="AF203" s="127"/>
      <c r="AG203" s="127"/>
      <c r="AH203" s="127"/>
      <c r="AI203" s="127"/>
      <c r="AJ203" s="127"/>
      <c r="AK203" s="127"/>
      <c r="AL203" s="127"/>
      <c r="AM203" s="127"/>
      <c r="AN203" s="127"/>
      <c r="AO203" s="127"/>
      <c r="AP203" s="127"/>
      <c r="AQ203" s="127"/>
      <c r="AR203" s="127"/>
      <c r="AS203" s="127"/>
      <c r="AT203" s="127"/>
    </row>
    <row r="204" spans="31:46" x14ac:dyDescent="0.2">
      <c r="AE204" s="204"/>
      <c r="AF204" s="127"/>
      <c r="AG204" s="127"/>
      <c r="AH204" s="127"/>
      <c r="AI204" s="127"/>
      <c r="AJ204" s="127"/>
      <c r="AK204" s="127"/>
      <c r="AL204" s="127"/>
      <c r="AM204" s="127"/>
      <c r="AN204" s="127"/>
      <c r="AO204" s="127"/>
      <c r="AP204" s="127"/>
      <c r="AQ204" s="127"/>
      <c r="AR204" s="127"/>
      <c r="AS204" s="127"/>
      <c r="AT204" s="127"/>
    </row>
    <row r="205" spans="31:46" x14ac:dyDescent="0.2">
      <c r="AE205" s="204"/>
      <c r="AF205" s="127"/>
      <c r="AG205" s="127"/>
      <c r="AH205" s="127"/>
      <c r="AI205" s="127"/>
      <c r="AJ205" s="127"/>
      <c r="AK205" s="127"/>
      <c r="AL205" s="127"/>
      <c r="AM205" s="127"/>
      <c r="AN205" s="127"/>
      <c r="AO205" s="127"/>
      <c r="AP205" s="127"/>
      <c r="AQ205" s="127"/>
      <c r="AR205" s="127"/>
      <c r="AS205" s="127"/>
      <c r="AT205" s="127"/>
    </row>
    <row r="206" spans="31:46" x14ac:dyDescent="0.2">
      <c r="AE206" s="204"/>
      <c r="AF206" s="127"/>
      <c r="AG206" s="127"/>
      <c r="AH206" s="127"/>
      <c r="AI206" s="127"/>
      <c r="AJ206" s="127"/>
      <c r="AK206" s="127"/>
      <c r="AL206" s="127"/>
      <c r="AM206" s="127"/>
      <c r="AN206" s="127"/>
      <c r="AO206" s="127"/>
      <c r="AP206" s="127"/>
      <c r="AQ206" s="127"/>
      <c r="AR206" s="127"/>
      <c r="AS206" s="127"/>
      <c r="AT206" s="127"/>
    </row>
    <row r="207" spans="31:46" x14ac:dyDescent="0.2">
      <c r="AE207" s="204"/>
      <c r="AF207" s="127"/>
      <c r="AG207" s="127"/>
      <c r="AH207" s="127"/>
      <c r="AI207" s="127"/>
      <c r="AJ207" s="127"/>
      <c r="AK207" s="127"/>
      <c r="AL207" s="127"/>
      <c r="AM207" s="127"/>
      <c r="AN207" s="127"/>
      <c r="AO207" s="127"/>
      <c r="AP207" s="127"/>
      <c r="AQ207" s="127"/>
      <c r="AR207" s="127"/>
      <c r="AS207" s="127"/>
      <c r="AT207" s="127"/>
    </row>
    <row r="208" spans="31:46" x14ac:dyDescent="0.2">
      <c r="AE208" s="204"/>
      <c r="AF208" s="127"/>
      <c r="AG208" s="127"/>
      <c r="AH208" s="127"/>
      <c r="AI208" s="127"/>
      <c r="AJ208" s="127"/>
      <c r="AK208" s="127"/>
      <c r="AL208" s="127"/>
      <c r="AM208" s="127"/>
      <c r="AN208" s="127"/>
      <c r="AO208" s="127"/>
      <c r="AP208" s="127"/>
      <c r="AQ208" s="127"/>
      <c r="AR208" s="127"/>
      <c r="AS208" s="127"/>
      <c r="AT208" s="127"/>
    </row>
    <row r="209" spans="31:46" x14ac:dyDescent="0.2">
      <c r="AE209" s="204"/>
      <c r="AF209" s="127"/>
      <c r="AG209" s="127"/>
      <c r="AH209" s="127"/>
      <c r="AI209" s="127"/>
      <c r="AJ209" s="127"/>
      <c r="AK209" s="127"/>
      <c r="AL209" s="127"/>
      <c r="AM209" s="127"/>
      <c r="AN209" s="127"/>
      <c r="AO209" s="127"/>
      <c r="AP209" s="127"/>
      <c r="AQ209" s="127"/>
      <c r="AR209" s="127"/>
      <c r="AS209" s="127"/>
      <c r="AT209" s="127"/>
    </row>
    <row r="210" spans="31:46" x14ac:dyDescent="0.2">
      <c r="AE210" s="204"/>
      <c r="AF210" s="127"/>
      <c r="AG210" s="127"/>
      <c r="AH210" s="127"/>
      <c r="AI210" s="127"/>
      <c r="AJ210" s="127"/>
      <c r="AK210" s="127"/>
      <c r="AL210" s="127"/>
      <c r="AM210" s="127"/>
      <c r="AN210" s="127"/>
      <c r="AO210" s="127"/>
      <c r="AP210" s="127"/>
      <c r="AQ210" s="127"/>
      <c r="AR210" s="127"/>
      <c r="AS210" s="127"/>
      <c r="AT210" s="127"/>
    </row>
    <row r="211" spans="31:46" x14ac:dyDescent="0.2">
      <c r="AE211" s="204"/>
      <c r="AF211" s="127"/>
      <c r="AG211" s="127"/>
      <c r="AH211" s="127"/>
      <c r="AI211" s="127"/>
      <c r="AJ211" s="127"/>
      <c r="AK211" s="127"/>
      <c r="AL211" s="127"/>
      <c r="AM211" s="127"/>
      <c r="AN211" s="127"/>
      <c r="AO211" s="127"/>
      <c r="AP211" s="127"/>
      <c r="AQ211" s="127"/>
      <c r="AR211" s="127"/>
      <c r="AS211" s="127"/>
      <c r="AT211" s="127"/>
    </row>
    <row r="212" spans="31:46" x14ac:dyDescent="0.2">
      <c r="AE212" s="204"/>
      <c r="AF212" s="127"/>
      <c r="AG212" s="127"/>
      <c r="AH212" s="127"/>
      <c r="AI212" s="127"/>
      <c r="AJ212" s="127"/>
      <c r="AK212" s="127"/>
      <c r="AL212" s="127"/>
      <c r="AM212" s="127"/>
      <c r="AN212" s="127"/>
      <c r="AO212" s="127"/>
      <c r="AP212" s="127"/>
      <c r="AQ212" s="127"/>
      <c r="AR212" s="127"/>
      <c r="AS212" s="127"/>
      <c r="AT212" s="127"/>
    </row>
    <row r="213" spans="31:46" x14ac:dyDescent="0.2">
      <c r="AE213" s="204"/>
      <c r="AF213" s="127"/>
      <c r="AG213" s="127"/>
      <c r="AH213" s="127"/>
      <c r="AI213" s="127"/>
      <c r="AJ213" s="127"/>
      <c r="AK213" s="127"/>
      <c r="AL213" s="127"/>
      <c r="AM213" s="127"/>
      <c r="AN213" s="127"/>
      <c r="AO213" s="127"/>
      <c r="AP213" s="127"/>
      <c r="AQ213" s="127"/>
      <c r="AR213" s="127"/>
      <c r="AS213" s="127"/>
      <c r="AT213" s="127"/>
    </row>
    <row r="215" spans="31:46" x14ac:dyDescent="0.2">
      <c r="AE215" s="204"/>
      <c r="AF215" s="127"/>
      <c r="AG215" s="127"/>
      <c r="AH215" s="127"/>
      <c r="AI215" s="127"/>
      <c r="AJ215" s="127"/>
      <c r="AK215" s="127"/>
      <c r="AL215" s="127"/>
      <c r="AM215" s="127"/>
      <c r="AN215" s="127"/>
      <c r="AO215" s="127"/>
      <c r="AP215" s="127"/>
      <c r="AQ215" s="127"/>
      <c r="AR215" s="127"/>
      <c r="AS215" s="127"/>
      <c r="AT215" s="127"/>
    </row>
    <row r="216" spans="31:46" x14ac:dyDescent="0.2">
      <c r="AF216" s="127"/>
      <c r="AG216" s="127"/>
      <c r="AH216" s="127"/>
      <c r="AI216" s="127"/>
      <c r="AJ216" s="127"/>
      <c r="AK216" s="127"/>
      <c r="AL216" s="127"/>
      <c r="AM216" s="127"/>
      <c r="AN216" s="127"/>
      <c r="AO216" s="127"/>
      <c r="AP216" s="127"/>
      <c r="AQ216" s="127"/>
      <c r="AR216" s="127"/>
      <c r="AS216" s="127"/>
      <c r="AT216" s="127"/>
    </row>
    <row r="217" spans="31:46" x14ac:dyDescent="0.2">
      <c r="AF217" s="127"/>
      <c r="AG217" s="127"/>
      <c r="AH217" s="127"/>
      <c r="AI217" s="127"/>
      <c r="AJ217" s="127"/>
      <c r="AK217" s="127"/>
      <c r="AL217" s="127"/>
      <c r="AM217" s="127"/>
      <c r="AN217" s="127"/>
      <c r="AO217" s="127"/>
      <c r="AP217" s="127"/>
      <c r="AQ217" s="127"/>
      <c r="AR217" s="127"/>
      <c r="AS217" s="127"/>
      <c r="AT217" s="127"/>
    </row>
    <row r="218" spans="31:46" x14ac:dyDescent="0.2">
      <c r="AF218" s="127"/>
      <c r="AG218" s="127"/>
      <c r="AH218" s="127"/>
      <c r="AI218" s="127"/>
      <c r="AJ218" s="127"/>
      <c r="AK218" s="127"/>
      <c r="AL218" s="127"/>
      <c r="AM218" s="127"/>
      <c r="AN218" s="127"/>
      <c r="AO218" s="127"/>
      <c r="AP218" s="127"/>
      <c r="AQ218" s="127"/>
      <c r="AR218" s="127"/>
      <c r="AS218" s="127"/>
      <c r="AT218" s="127"/>
    </row>
    <row r="219" spans="31:46" x14ac:dyDescent="0.2">
      <c r="AF219" s="127"/>
      <c r="AG219" s="127"/>
      <c r="AH219" s="127"/>
      <c r="AI219" s="127"/>
      <c r="AJ219" s="127"/>
      <c r="AK219" s="127"/>
      <c r="AL219" s="127"/>
      <c r="AM219" s="127"/>
      <c r="AN219" s="127"/>
      <c r="AO219" s="127"/>
      <c r="AP219" s="127"/>
      <c r="AQ219" s="127"/>
      <c r="AR219" s="127"/>
      <c r="AS219" s="127"/>
      <c r="AT219" s="127"/>
    </row>
    <row r="220" spans="31:46" x14ac:dyDescent="0.2">
      <c r="AF220" s="127"/>
      <c r="AG220" s="127"/>
      <c r="AH220" s="127"/>
      <c r="AI220" s="127"/>
      <c r="AJ220" s="127"/>
      <c r="AK220" s="127"/>
      <c r="AL220" s="127"/>
      <c r="AM220" s="127"/>
      <c r="AN220" s="127"/>
      <c r="AO220" s="127"/>
      <c r="AP220" s="127"/>
      <c r="AQ220" s="127"/>
      <c r="AR220" s="127"/>
      <c r="AS220" s="127"/>
      <c r="AT220" s="127"/>
    </row>
    <row r="221" spans="31:46" x14ac:dyDescent="0.2">
      <c r="AF221" s="127"/>
      <c r="AG221" s="127"/>
      <c r="AH221" s="127"/>
      <c r="AI221" s="127"/>
      <c r="AJ221" s="127"/>
      <c r="AK221" s="127"/>
      <c r="AL221" s="127"/>
      <c r="AM221" s="127"/>
      <c r="AN221" s="127"/>
      <c r="AO221" s="127"/>
      <c r="AP221" s="127"/>
      <c r="AQ221" s="127"/>
      <c r="AR221" s="127"/>
      <c r="AS221" s="127"/>
      <c r="AT221" s="127"/>
    </row>
    <row r="222" spans="31:46" x14ac:dyDescent="0.2">
      <c r="AF222" s="127"/>
      <c r="AG222" s="127"/>
      <c r="AH222" s="127"/>
      <c r="AI222" s="127"/>
      <c r="AJ222" s="127"/>
      <c r="AK222" s="127"/>
      <c r="AL222" s="127"/>
      <c r="AM222" s="127"/>
      <c r="AN222" s="127"/>
      <c r="AO222" s="127"/>
      <c r="AP222" s="127"/>
      <c r="AQ222" s="127"/>
      <c r="AR222" s="127"/>
      <c r="AS222" s="127"/>
      <c r="AT222" s="127"/>
    </row>
    <row r="223" spans="31:46" x14ac:dyDescent="0.2">
      <c r="AF223" s="127"/>
      <c r="AG223" s="127"/>
      <c r="AH223" s="127"/>
      <c r="AI223" s="127"/>
      <c r="AJ223" s="127"/>
      <c r="AK223" s="127"/>
      <c r="AL223" s="127"/>
      <c r="AM223" s="127"/>
      <c r="AN223" s="127"/>
      <c r="AO223" s="127"/>
      <c r="AP223" s="127"/>
      <c r="AQ223" s="127"/>
      <c r="AR223" s="127"/>
      <c r="AS223" s="127"/>
      <c r="AT223" s="127"/>
    </row>
    <row r="224" spans="31:46" x14ac:dyDescent="0.2">
      <c r="AF224" s="127"/>
      <c r="AG224" s="127"/>
      <c r="AH224" s="127"/>
      <c r="AI224" s="127"/>
      <c r="AJ224" s="127"/>
      <c r="AK224" s="127"/>
      <c r="AL224" s="127"/>
      <c r="AM224" s="127"/>
      <c r="AN224" s="127"/>
      <c r="AO224" s="127"/>
      <c r="AP224" s="127"/>
      <c r="AQ224" s="127"/>
      <c r="AR224" s="127"/>
      <c r="AS224" s="127"/>
      <c r="AT224" s="127"/>
    </row>
    <row r="225" spans="31:52" x14ac:dyDescent="0.2">
      <c r="AF225" s="127"/>
      <c r="AG225" s="127"/>
      <c r="AH225" s="127"/>
      <c r="AI225" s="127"/>
      <c r="AJ225" s="127"/>
      <c r="AK225" s="127"/>
      <c r="AL225" s="127"/>
      <c r="AM225" s="127"/>
      <c r="AN225" s="127"/>
      <c r="AO225" s="127"/>
      <c r="AP225" s="127"/>
      <c r="AQ225" s="127"/>
      <c r="AR225" s="127"/>
      <c r="AS225" s="127"/>
      <c r="AT225" s="127"/>
    </row>
    <row r="226" spans="31:52" x14ac:dyDescent="0.2">
      <c r="AF226" s="127"/>
      <c r="AG226" s="127"/>
      <c r="AH226" s="127"/>
      <c r="AI226" s="127"/>
      <c r="AJ226" s="127"/>
      <c r="AK226" s="127"/>
      <c r="AL226" s="127"/>
      <c r="AM226" s="127"/>
      <c r="AN226" s="127"/>
      <c r="AO226" s="127"/>
      <c r="AP226" s="127"/>
      <c r="AQ226" s="127"/>
      <c r="AR226" s="127"/>
      <c r="AS226" s="127"/>
      <c r="AT226" s="127"/>
    </row>
    <row r="227" spans="31:52" x14ac:dyDescent="0.2">
      <c r="AF227" s="127"/>
      <c r="AG227" s="127"/>
      <c r="AH227" s="127"/>
      <c r="AI227" s="127"/>
      <c r="AJ227" s="127"/>
      <c r="AK227" s="127"/>
      <c r="AL227" s="127"/>
      <c r="AM227" s="127"/>
      <c r="AN227" s="127"/>
      <c r="AO227" s="127"/>
      <c r="AP227" s="127"/>
      <c r="AQ227" s="127"/>
      <c r="AR227" s="127"/>
      <c r="AS227" s="127"/>
      <c r="AT227" s="127"/>
    </row>
    <row r="229" spans="31:52" x14ac:dyDescent="0.2">
      <c r="AE229" s="206"/>
      <c r="AF229" s="127"/>
      <c r="AG229" s="127"/>
      <c r="AH229" s="127"/>
      <c r="AI229" s="127"/>
      <c r="AJ229" s="127"/>
      <c r="AK229" s="127"/>
      <c r="AL229" s="127"/>
      <c r="AM229" s="127"/>
      <c r="AN229" s="127"/>
      <c r="AO229" s="127"/>
      <c r="AP229" s="127"/>
      <c r="AQ229" s="127"/>
      <c r="AR229" s="127"/>
      <c r="AS229" s="127"/>
      <c r="AT229" s="127"/>
      <c r="AU229" s="127"/>
      <c r="AV229" s="127"/>
      <c r="AW229" s="127"/>
      <c r="AX229" s="127"/>
      <c r="AY229" s="127"/>
      <c r="AZ229" s="127"/>
    </row>
    <row r="230" spans="31:52" x14ac:dyDescent="0.2">
      <c r="AF230" s="127"/>
      <c r="AG230" s="127"/>
      <c r="AH230" s="127"/>
      <c r="AI230" s="127"/>
      <c r="AJ230" s="127"/>
      <c r="AK230" s="127"/>
      <c r="AL230" s="127"/>
      <c r="AM230" s="127"/>
      <c r="AN230" s="127"/>
      <c r="AO230" s="127"/>
      <c r="AP230" s="127"/>
      <c r="AQ230" s="127"/>
      <c r="AR230" s="127"/>
      <c r="AS230" s="127"/>
      <c r="AT230" s="127"/>
      <c r="AU230" s="127"/>
      <c r="AV230" s="127"/>
      <c r="AW230" s="127"/>
      <c r="AX230" s="127"/>
      <c r="AY230" s="127"/>
      <c r="AZ230" s="127"/>
    </row>
    <row r="231" spans="31:52" x14ac:dyDescent="0.2">
      <c r="AF231" s="127"/>
      <c r="AG231" s="127"/>
      <c r="AH231" s="127"/>
      <c r="AI231" s="127"/>
      <c r="AJ231" s="127"/>
      <c r="AK231" s="127"/>
      <c r="AL231" s="127"/>
      <c r="AM231" s="127"/>
      <c r="AN231" s="127"/>
      <c r="AO231" s="127"/>
      <c r="AP231" s="127"/>
      <c r="AQ231" s="127"/>
      <c r="AR231" s="127"/>
      <c r="AS231" s="127"/>
      <c r="AT231" s="127"/>
      <c r="AU231" s="127"/>
      <c r="AV231" s="127"/>
      <c r="AW231" s="127"/>
      <c r="AX231" s="127"/>
      <c r="AY231" s="127"/>
      <c r="AZ231" s="127"/>
    </row>
    <row r="232" spans="31:52" x14ac:dyDescent="0.2">
      <c r="AF232" s="127"/>
      <c r="AG232" s="127"/>
      <c r="AH232" s="127"/>
      <c r="AI232" s="127"/>
      <c r="AJ232" s="127"/>
      <c r="AK232" s="127"/>
      <c r="AL232" s="127"/>
      <c r="AM232" s="127"/>
      <c r="AN232" s="127"/>
      <c r="AO232" s="127"/>
      <c r="AP232" s="127"/>
      <c r="AQ232" s="127"/>
      <c r="AR232" s="127"/>
      <c r="AS232" s="127"/>
      <c r="AT232" s="127"/>
      <c r="AU232" s="127"/>
      <c r="AV232" s="127"/>
      <c r="AW232" s="127"/>
      <c r="AX232" s="127"/>
      <c r="AY232" s="127"/>
      <c r="AZ232" s="127"/>
    </row>
    <row r="233" spans="31:52" x14ac:dyDescent="0.2">
      <c r="AF233" s="127"/>
      <c r="AG233" s="127"/>
      <c r="AH233" s="127"/>
      <c r="AI233" s="127"/>
      <c r="AJ233" s="127"/>
      <c r="AK233" s="127"/>
      <c r="AL233" s="127"/>
      <c r="AM233" s="127"/>
      <c r="AN233" s="127"/>
      <c r="AO233" s="127"/>
      <c r="AP233" s="127"/>
      <c r="AQ233" s="127"/>
      <c r="AR233" s="127"/>
      <c r="AS233" s="127"/>
      <c r="AT233" s="127"/>
      <c r="AU233" s="127"/>
      <c r="AV233" s="127"/>
      <c r="AW233" s="127"/>
      <c r="AX233" s="127"/>
      <c r="AY233" s="127"/>
      <c r="AZ233" s="127"/>
    </row>
    <row r="234" spans="31:52" x14ac:dyDescent="0.2">
      <c r="AF234" s="127"/>
      <c r="AG234" s="127"/>
      <c r="AH234" s="127"/>
      <c r="AI234" s="127"/>
      <c r="AJ234" s="127"/>
      <c r="AK234" s="127"/>
      <c r="AL234" s="127"/>
      <c r="AM234" s="127"/>
      <c r="AN234" s="127"/>
      <c r="AO234" s="127"/>
      <c r="AP234" s="127"/>
      <c r="AQ234" s="127"/>
      <c r="AR234" s="127"/>
      <c r="AS234" s="127"/>
      <c r="AT234" s="127"/>
      <c r="AU234" s="127"/>
      <c r="AV234" s="127"/>
      <c r="AW234" s="127"/>
      <c r="AX234" s="127"/>
      <c r="AY234" s="127"/>
      <c r="AZ234" s="127"/>
    </row>
    <row r="235" spans="31:52" x14ac:dyDescent="0.2">
      <c r="AF235" s="127"/>
      <c r="AG235" s="127"/>
      <c r="AH235" s="127"/>
      <c r="AI235" s="127"/>
      <c r="AJ235" s="127"/>
      <c r="AK235" s="127"/>
      <c r="AL235" s="127"/>
      <c r="AM235" s="127"/>
      <c r="AN235" s="127"/>
      <c r="AO235" s="127"/>
      <c r="AP235" s="127"/>
      <c r="AQ235" s="127"/>
      <c r="AR235" s="127"/>
      <c r="AS235" s="127"/>
      <c r="AT235" s="127"/>
      <c r="AU235" s="127"/>
      <c r="AV235" s="127"/>
      <c r="AW235" s="127"/>
      <c r="AX235" s="127"/>
      <c r="AY235" s="127"/>
      <c r="AZ235" s="127"/>
    </row>
    <row r="236" spans="31:52" x14ac:dyDescent="0.2">
      <c r="AF236" s="127"/>
      <c r="AG236" s="127"/>
      <c r="AH236" s="127"/>
      <c r="AI236" s="127"/>
      <c r="AJ236" s="127"/>
      <c r="AK236" s="127"/>
      <c r="AL236" s="127"/>
      <c r="AM236" s="127"/>
      <c r="AN236" s="127"/>
      <c r="AO236" s="127"/>
      <c r="AP236" s="127"/>
      <c r="AQ236" s="127"/>
      <c r="AR236" s="127"/>
      <c r="AS236" s="127"/>
      <c r="AT236" s="127"/>
      <c r="AU236" s="127"/>
      <c r="AV236" s="127"/>
      <c r="AW236" s="127"/>
      <c r="AX236" s="127"/>
      <c r="AY236" s="127"/>
      <c r="AZ236" s="127"/>
    </row>
    <row r="237" spans="31:52" x14ac:dyDescent="0.2">
      <c r="AF237" s="127"/>
      <c r="AG237" s="127"/>
      <c r="AH237" s="127"/>
      <c r="AI237" s="127"/>
      <c r="AJ237" s="127"/>
      <c r="AK237" s="127"/>
      <c r="AL237" s="127"/>
      <c r="AM237" s="127"/>
      <c r="AN237" s="127"/>
      <c r="AO237" s="127"/>
      <c r="AP237" s="127"/>
      <c r="AQ237" s="127"/>
      <c r="AR237" s="127"/>
      <c r="AS237" s="127"/>
      <c r="AT237" s="127"/>
      <c r="AU237" s="127"/>
      <c r="AV237" s="127"/>
      <c r="AW237" s="127"/>
      <c r="AX237" s="127"/>
      <c r="AY237" s="127"/>
      <c r="AZ237" s="127"/>
    </row>
    <row r="238" spans="31:52" x14ac:dyDescent="0.2">
      <c r="AF238" s="127"/>
      <c r="AG238" s="127"/>
      <c r="AH238" s="127"/>
      <c r="AI238" s="127"/>
      <c r="AJ238" s="127"/>
      <c r="AK238" s="127"/>
      <c r="AL238" s="127"/>
      <c r="AM238" s="127"/>
      <c r="AN238" s="127"/>
      <c r="AO238" s="127"/>
      <c r="AP238" s="127"/>
      <c r="AQ238" s="127"/>
      <c r="AR238" s="127"/>
      <c r="AS238" s="127"/>
      <c r="AT238" s="127"/>
      <c r="AU238" s="127"/>
      <c r="AV238" s="127"/>
      <c r="AW238" s="127"/>
      <c r="AX238" s="127"/>
      <c r="AY238" s="127"/>
      <c r="AZ238" s="127"/>
    </row>
    <row r="239" spans="31:52" x14ac:dyDescent="0.2">
      <c r="AF239" s="127"/>
      <c r="AG239" s="127"/>
      <c r="AH239" s="127"/>
      <c r="AI239" s="127"/>
      <c r="AJ239" s="127"/>
      <c r="AK239" s="127"/>
      <c r="AL239" s="127"/>
      <c r="AM239" s="127"/>
      <c r="AN239" s="127"/>
      <c r="AO239" s="127"/>
      <c r="AP239" s="127"/>
      <c r="AQ239" s="127"/>
      <c r="AR239" s="127"/>
      <c r="AS239" s="127"/>
      <c r="AT239" s="127"/>
      <c r="AU239" s="127"/>
      <c r="AV239" s="127"/>
      <c r="AW239" s="127"/>
      <c r="AX239" s="127"/>
      <c r="AY239" s="127"/>
      <c r="AZ239" s="127"/>
    </row>
    <row r="240" spans="31:52" x14ac:dyDescent="0.2">
      <c r="AF240" s="127"/>
      <c r="AG240" s="127"/>
      <c r="AH240" s="127"/>
      <c r="AI240" s="127"/>
      <c r="AJ240" s="127"/>
      <c r="AK240" s="127"/>
      <c r="AL240" s="127"/>
      <c r="AM240" s="127"/>
      <c r="AN240" s="127"/>
      <c r="AO240" s="127"/>
      <c r="AP240" s="127"/>
      <c r="AQ240" s="127"/>
      <c r="AR240" s="127"/>
      <c r="AS240" s="127"/>
      <c r="AT240" s="127"/>
      <c r="AU240" s="127"/>
      <c r="AV240" s="127"/>
      <c r="AW240" s="127"/>
      <c r="AX240" s="127"/>
      <c r="AY240" s="127"/>
      <c r="AZ240" s="127"/>
    </row>
    <row r="241" spans="31:52" x14ac:dyDescent="0.2">
      <c r="AF241" s="127"/>
      <c r="AG241" s="127"/>
      <c r="AH241" s="127"/>
      <c r="AI241" s="127"/>
      <c r="AJ241" s="127"/>
      <c r="AK241" s="127"/>
      <c r="AL241" s="127"/>
      <c r="AM241" s="127"/>
      <c r="AN241" s="127"/>
      <c r="AO241" s="127"/>
      <c r="AP241" s="127"/>
      <c r="AQ241" s="127"/>
      <c r="AR241" s="127"/>
      <c r="AS241" s="127"/>
      <c r="AT241" s="127"/>
      <c r="AU241" s="127"/>
      <c r="AV241" s="127"/>
      <c r="AW241" s="127"/>
      <c r="AX241" s="127"/>
      <c r="AY241" s="127"/>
      <c r="AZ241" s="127"/>
    </row>
    <row r="242" spans="31:52" x14ac:dyDescent="0.2">
      <c r="AF242" s="127"/>
      <c r="AG242" s="127"/>
      <c r="AH242" s="127"/>
      <c r="AI242" s="127"/>
      <c r="AJ242" s="127"/>
      <c r="AK242" s="127"/>
      <c r="AL242" s="127"/>
      <c r="AM242" s="127"/>
      <c r="AN242" s="127"/>
      <c r="AO242" s="127"/>
      <c r="AP242" s="127"/>
      <c r="AQ242" s="127"/>
      <c r="AR242" s="127"/>
      <c r="AS242" s="127"/>
      <c r="AT242" s="127"/>
      <c r="AU242" s="127"/>
      <c r="AV242" s="127"/>
      <c r="AW242" s="127"/>
      <c r="AX242" s="127"/>
      <c r="AY242" s="127"/>
      <c r="AZ242" s="127"/>
    </row>
    <row r="243" spans="31:52" x14ac:dyDescent="0.2">
      <c r="AF243" s="127"/>
      <c r="AG243" s="127"/>
      <c r="AH243" s="127"/>
      <c r="AI243" s="127"/>
      <c r="AJ243" s="127"/>
      <c r="AK243" s="127"/>
      <c r="AL243" s="127"/>
      <c r="AM243" s="127"/>
      <c r="AN243" s="127"/>
      <c r="AO243" s="127"/>
      <c r="AP243" s="127"/>
      <c r="AQ243" s="127"/>
      <c r="AR243" s="127"/>
      <c r="AS243" s="127"/>
      <c r="AT243" s="127"/>
      <c r="AU243" s="127"/>
      <c r="AV243" s="127"/>
      <c r="AW243" s="127"/>
      <c r="AX243" s="127"/>
      <c r="AY243" s="127"/>
      <c r="AZ243" s="127"/>
    </row>
    <row r="244" spans="31:52" x14ac:dyDescent="0.2">
      <c r="AF244" s="127"/>
      <c r="AG244" s="127"/>
      <c r="AH244" s="127"/>
      <c r="AI244" s="127"/>
      <c r="AJ244" s="127"/>
      <c r="AK244" s="127"/>
      <c r="AL244" s="127"/>
      <c r="AM244" s="127"/>
      <c r="AN244" s="127"/>
      <c r="AO244" s="127"/>
      <c r="AP244" s="127"/>
      <c r="AQ244" s="127"/>
      <c r="AR244" s="127"/>
      <c r="AS244" s="127"/>
      <c r="AT244" s="127"/>
      <c r="AU244" s="127"/>
      <c r="AV244" s="127"/>
      <c r="AW244" s="127"/>
      <c r="AX244" s="127"/>
      <c r="AY244" s="127"/>
      <c r="AZ244" s="127"/>
    </row>
    <row r="245" spans="31:52" x14ac:dyDescent="0.2">
      <c r="AF245" s="127"/>
      <c r="AG245" s="127"/>
      <c r="AH245" s="127"/>
      <c r="AI245" s="127"/>
      <c r="AJ245" s="127"/>
      <c r="AK245" s="127"/>
      <c r="AL245" s="127"/>
      <c r="AM245" s="127"/>
      <c r="AN245" s="127"/>
      <c r="AO245" s="127"/>
      <c r="AP245" s="127"/>
      <c r="AQ245" s="127"/>
      <c r="AR245" s="127"/>
      <c r="AS245" s="127"/>
      <c r="AT245" s="127"/>
      <c r="AU245" s="127"/>
      <c r="AV245" s="127"/>
      <c r="AW245" s="127"/>
      <c r="AX245" s="127"/>
      <c r="AY245" s="127"/>
      <c r="AZ245" s="127"/>
    </row>
    <row r="246" spans="31:52" x14ac:dyDescent="0.2">
      <c r="AF246" s="127"/>
      <c r="AG246" s="127"/>
      <c r="AH246" s="127"/>
      <c r="AI246" s="127"/>
      <c r="AJ246" s="127"/>
      <c r="AK246" s="127"/>
      <c r="AL246" s="127"/>
      <c r="AM246" s="127"/>
      <c r="AN246" s="127"/>
      <c r="AO246" s="127"/>
      <c r="AP246" s="127"/>
      <c r="AQ246" s="127"/>
      <c r="AR246" s="127"/>
      <c r="AS246" s="127"/>
      <c r="AT246" s="127"/>
      <c r="AU246" s="127"/>
      <c r="AV246" s="127"/>
      <c r="AW246" s="127"/>
      <c r="AX246" s="127"/>
      <c r="AY246" s="127"/>
      <c r="AZ246" s="127"/>
    </row>
    <row r="247" spans="31:52" x14ac:dyDescent="0.2">
      <c r="AF247" s="127"/>
      <c r="AG247" s="127"/>
      <c r="AH247" s="127"/>
      <c r="AI247" s="127"/>
      <c r="AJ247" s="127"/>
      <c r="AK247" s="127"/>
      <c r="AL247" s="127"/>
      <c r="AM247" s="127"/>
      <c r="AN247" s="127"/>
      <c r="AO247" s="127"/>
      <c r="AP247" s="127"/>
      <c r="AQ247" s="127"/>
      <c r="AR247" s="127"/>
      <c r="AS247" s="127"/>
      <c r="AT247" s="127"/>
      <c r="AU247" s="127"/>
      <c r="AV247" s="127"/>
      <c r="AW247" s="127"/>
      <c r="AX247" s="127"/>
      <c r="AY247" s="127"/>
      <c r="AZ247" s="127"/>
    </row>
    <row r="248" spans="31:52" x14ac:dyDescent="0.2">
      <c r="AF248" s="127"/>
      <c r="AG248" s="127"/>
      <c r="AH248" s="127"/>
      <c r="AI248" s="127"/>
      <c r="AJ248" s="127"/>
      <c r="AK248" s="127"/>
      <c r="AL248" s="127"/>
      <c r="AM248" s="127"/>
      <c r="AN248" s="127"/>
      <c r="AO248" s="127"/>
      <c r="AP248" s="127"/>
      <c r="AQ248" s="127"/>
      <c r="AR248" s="127"/>
      <c r="AS248" s="127"/>
      <c r="AT248" s="127"/>
      <c r="AU248" s="127"/>
      <c r="AV248" s="127"/>
      <c r="AW248" s="127"/>
      <c r="AX248" s="127"/>
      <c r="AY248" s="127"/>
      <c r="AZ248" s="127"/>
    </row>
    <row r="249" spans="31:52" x14ac:dyDescent="0.2">
      <c r="AF249" s="127"/>
      <c r="AG249" s="127"/>
      <c r="AH249" s="127"/>
      <c r="AI249" s="127"/>
      <c r="AJ249" s="127"/>
      <c r="AK249" s="127"/>
      <c r="AL249" s="127"/>
      <c r="AM249" s="127"/>
      <c r="AN249" s="127"/>
      <c r="AO249" s="127"/>
      <c r="AP249" s="127"/>
      <c r="AQ249" s="127"/>
      <c r="AR249" s="127"/>
      <c r="AS249" s="127"/>
      <c r="AT249" s="127"/>
      <c r="AU249" s="127"/>
      <c r="AV249" s="127"/>
      <c r="AW249" s="127"/>
      <c r="AX249" s="127"/>
      <c r="AY249" s="127"/>
      <c r="AZ249" s="127"/>
    </row>
    <row r="250" spans="31:52" x14ac:dyDescent="0.2">
      <c r="AF250" s="127"/>
      <c r="AG250" s="127"/>
      <c r="AH250" s="127"/>
      <c r="AI250" s="127"/>
      <c r="AJ250" s="127"/>
      <c r="AK250" s="127"/>
      <c r="AL250" s="127"/>
      <c r="AM250" s="127"/>
      <c r="AN250" s="127"/>
      <c r="AO250" s="127"/>
      <c r="AP250" s="127"/>
      <c r="AQ250" s="127"/>
      <c r="AR250" s="127"/>
      <c r="AS250" s="127"/>
      <c r="AT250" s="127"/>
      <c r="AU250" s="127"/>
      <c r="AV250" s="127"/>
      <c r="AW250" s="127"/>
      <c r="AX250" s="127"/>
      <c r="AY250" s="127"/>
      <c r="AZ250" s="127"/>
    </row>
    <row r="251" spans="31:52" x14ac:dyDescent="0.2">
      <c r="AF251" s="127"/>
      <c r="AG251" s="127"/>
      <c r="AH251" s="127"/>
      <c r="AI251" s="127"/>
      <c r="AJ251" s="127"/>
      <c r="AK251" s="127"/>
      <c r="AL251" s="127"/>
      <c r="AM251" s="127"/>
      <c r="AN251" s="127"/>
      <c r="AO251" s="127"/>
      <c r="AP251" s="127"/>
      <c r="AQ251" s="127"/>
      <c r="AR251" s="127"/>
      <c r="AS251" s="127"/>
      <c r="AT251" s="127"/>
      <c r="AU251" s="127"/>
      <c r="AV251" s="127"/>
      <c r="AW251" s="127"/>
      <c r="AX251" s="127"/>
      <c r="AY251" s="127"/>
      <c r="AZ251" s="127"/>
    </row>
    <row r="252" spans="31:52" x14ac:dyDescent="0.2">
      <c r="AF252" s="127"/>
      <c r="AG252" s="127"/>
      <c r="AH252" s="127"/>
      <c r="AI252" s="127"/>
      <c r="AJ252" s="127"/>
      <c r="AK252" s="127"/>
      <c r="AL252" s="127"/>
      <c r="AM252" s="127"/>
      <c r="AN252" s="127"/>
      <c r="AO252" s="127"/>
      <c r="AP252" s="127"/>
      <c r="AQ252" s="127"/>
      <c r="AR252" s="127"/>
      <c r="AS252" s="127"/>
      <c r="AT252" s="127"/>
      <c r="AU252" s="127"/>
      <c r="AV252" s="127"/>
      <c r="AW252" s="127"/>
      <c r="AX252" s="127"/>
      <c r="AY252" s="127"/>
      <c r="AZ252" s="127"/>
    </row>
    <row r="253" spans="31:52" x14ac:dyDescent="0.2">
      <c r="AF253" s="127"/>
      <c r="AG253" s="127"/>
      <c r="AH253" s="127"/>
      <c r="AI253" s="127"/>
      <c r="AJ253" s="127"/>
      <c r="AK253" s="127"/>
      <c r="AL253" s="127"/>
      <c r="AM253" s="127"/>
      <c r="AN253" s="127"/>
      <c r="AO253" s="127"/>
      <c r="AP253" s="127"/>
      <c r="AQ253" s="127"/>
      <c r="AR253" s="127"/>
      <c r="AS253" s="127"/>
      <c r="AT253" s="127"/>
      <c r="AU253" s="127"/>
      <c r="AV253" s="127"/>
      <c r="AW253" s="127"/>
      <c r="AX253" s="127"/>
      <c r="AY253" s="127"/>
      <c r="AZ253" s="127"/>
    </row>
    <row r="255" spans="31:52" x14ac:dyDescent="0.2">
      <c r="AE255" s="207"/>
      <c r="AF255" s="127"/>
      <c r="AG255" s="127"/>
      <c r="AH255" s="127"/>
      <c r="AI255" s="127"/>
      <c r="AJ255" s="127"/>
      <c r="AK255" s="127"/>
      <c r="AL255" s="127"/>
      <c r="AM255" s="127"/>
      <c r="AN255" s="127"/>
      <c r="AO255" s="127"/>
      <c r="AP255" s="127"/>
      <c r="AQ255" s="127"/>
      <c r="AR255" s="127"/>
      <c r="AS255" s="127"/>
      <c r="AT255" s="127"/>
      <c r="AU255" s="127"/>
      <c r="AV255" s="127"/>
      <c r="AW255" s="127"/>
      <c r="AX255" s="127"/>
      <c r="AY255" s="127"/>
      <c r="AZ255" s="127"/>
    </row>
    <row r="256" spans="31:52" x14ac:dyDescent="0.2">
      <c r="AF256" s="127"/>
      <c r="AG256" s="127"/>
      <c r="AH256" s="127"/>
      <c r="AI256" s="127"/>
      <c r="AJ256" s="127"/>
      <c r="AK256" s="127"/>
      <c r="AL256" s="127"/>
      <c r="AM256" s="127"/>
      <c r="AN256" s="127"/>
      <c r="AO256" s="127"/>
      <c r="AP256" s="127"/>
      <c r="AQ256" s="127"/>
      <c r="AR256" s="127"/>
      <c r="AS256" s="127"/>
      <c r="AT256" s="127"/>
      <c r="AU256" s="127"/>
      <c r="AV256" s="127"/>
      <c r="AW256" s="127"/>
      <c r="AX256" s="127"/>
      <c r="AY256" s="127"/>
      <c r="AZ256" s="127"/>
    </row>
    <row r="257" spans="32:52" x14ac:dyDescent="0.2">
      <c r="AF257" s="127"/>
      <c r="AG257" s="127"/>
      <c r="AH257" s="127"/>
      <c r="AI257" s="127"/>
      <c r="AJ257" s="127"/>
      <c r="AK257" s="127"/>
      <c r="AL257" s="127"/>
      <c r="AM257" s="127"/>
      <c r="AN257" s="127"/>
      <c r="AO257" s="127"/>
      <c r="AP257" s="127"/>
      <c r="AQ257" s="127"/>
      <c r="AR257" s="127"/>
      <c r="AS257" s="127"/>
      <c r="AT257" s="127"/>
      <c r="AU257" s="127"/>
      <c r="AV257" s="127"/>
      <c r="AW257" s="127"/>
      <c r="AX257" s="127"/>
      <c r="AY257" s="127"/>
      <c r="AZ257" s="127"/>
    </row>
    <row r="258" spans="32:52" x14ac:dyDescent="0.2">
      <c r="AF258" s="127"/>
      <c r="AG258" s="127"/>
      <c r="AH258" s="127"/>
      <c r="AI258" s="127"/>
      <c r="AJ258" s="127"/>
      <c r="AK258" s="127"/>
      <c r="AL258" s="127"/>
      <c r="AM258" s="127"/>
      <c r="AN258" s="127"/>
      <c r="AO258" s="127"/>
      <c r="AP258" s="127"/>
      <c r="AQ258" s="127"/>
      <c r="AR258" s="127"/>
      <c r="AS258" s="127"/>
      <c r="AT258" s="127"/>
      <c r="AU258" s="127"/>
      <c r="AV258" s="127"/>
      <c r="AW258" s="127"/>
      <c r="AX258" s="127"/>
      <c r="AY258" s="127"/>
      <c r="AZ258" s="127"/>
    </row>
    <row r="259" spans="32:52" x14ac:dyDescent="0.2">
      <c r="AF259" s="127"/>
      <c r="AG259" s="127"/>
      <c r="AH259" s="127"/>
      <c r="AI259" s="127"/>
      <c r="AJ259" s="127"/>
      <c r="AK259" s="127"/>
      <c r="AL259" s="127"/>
      <c r="AM259" s="127"/>
      <c r="AN259" s="127"/>
      <c r="AO259" s="127"/>
      <c r="AP259" s="127"/>
      <c r="AQ259" s="127"/>
      <c r="AR259" s="127"/>
      <c r="AS259" s="127"/>
      <c r="AT259" s="127"/>
      <c r="AU259" s="127"/>
      <c r="AV259" s="127"/>
      <c r="AW259" s="127"/>
      <c r="AX259" s="127"/>
      <c r="AY259" s="127"/>
      <c r="AZ259" s="127"/>
    </row>
    <row r="260" spans="32:52" x14ac:dyDescent="0.2">
      <c r="AF260" s="127"/>
      <c r="AG260" s="127"/>
      <c r="AH260" s="127"/>
      <c r="AI260" s="127"/>
      <c r="AJ260" s="127"/>
      <c r="AK260" s="127"/>
      <c r="AL260" s="127"/>
      <c r="AM260" s="127"/>
      <c r="AN260" s="127"/>
      <c r="AO260" s="127"/>
      <c r="AP260" s="127"/>
      <c r="AQ260" s="127"/>
      <c r="AR260" s="127"/>
      <c r="AS260" s="127"/>
      <c r="AT260" s="127"/>
      <c r="AU260" s="127"/>
      <c r="AV260" s="127"/>
      <c r="AW260" s="127"/>
      <c r="AX260" s="127"/>
      <c r="AY260" s="127"/>
      <c r="AZ260" s="127"/>
    </row>
    <row r="261" spans="32:52" x14ac:dyDescent="0.2">
      <c r="AF261" s="127"/>
      <c r="AG261" s="127"/>
      <c r="AH261" s="127"/>
      <c r="AI261" s="127"/>
      <c r="AJ261" s="127"/>
      <c r="AK261" s="127"/>
      <c r="AL261" s="127"/>
      <c r="AM261" s="127"/>
      <c r="AN261" s="127"/>
      <c r="AO261" s="127"/>
      <c r="AP261" s="127"/>
      <c r="AQ261" s="127"/>
      <c r="AR261" s="127"/>
      <c r="AS261" s="127"/>
      <c r="AT261" s="127"/>
      <c r="AU261" s="127"/>
      <c r="AV261" s="127"/>
      <c r="AW261" s="127"/>
      <c r="AX261" s="127"/>
      <c r="AY261" s="127"/>
      <c r="AZ261" s="127"/>
    </row>
    <row r="262" spans="32:52" x14ac:dyDescent="0.2">
      <c r="AF262" s="127"/>
      <c r="AG262" s="127"/>
      <c r="AH262" s="127"/>
      <c r="AI262" s="127"/>
      <c r="AJ262" s="127"/>
      <c r="AK262" s="127"/>
      <c r="AL262" s="127"/>
      <c r="AM262" s="127"/>
      <c r="AN262" s="127"/>
      <c r="AO262" s="127"/>
      <c r="AP262" s="127"/>
      <c r="AQ262" s="127"/>
      <c r="AR262" s="127"/>
      <c r="AS262" s="127"/>
      <c r="AT262" s="127"/>
      <c r="AU262" s="127"/>
      <c r="AV262" s="127"/>
      <c r="AW262" s="127"/>
      <c r="AX262" s="127"/>
      <c r="AY262" s="127"/>
      <c r="AZ262" s="127"/>
    </row>
    <row r="263" spans="32:52" x14ac:dyDescent="0.2">
      <c r="AF263" s="127"/>
      <c r="AG263" s="127"/>
      <c r="AH263" s="127"/>
      <c r="AI263" s="127"/>
      <c r="AJ263" s="127"/>
      <c r="AK263" s="127"/>
      <c r="AL263" s="127"/>
      <c r="AM263" s="127"/>
      <c r="AN263" s="127"/>
      <c r="AO263" s="127"/>
      <c r="AP263" s="127"/>
      <c r="AQ263" s="127"/>
      <c r="AR263" s="127"/>
      <c r="AS263" s="127"/>
      <c r="AT263" s="127"/>
      <c r="AU263" s="127"/>
      <c r="AV263" s="127"/>
      <c r="AW263" s="127"/>
      <c r="AX263" s="127"/>
      <c r="AY263" s="127"/>
      <c r="AZ263" s="127"/>
    </row>
    <row r="264" spans="32:52" x14ac:dyDescent="0.2">
      <c r="AF264" s="127"/>
      <c r="AG264" s="127"/>
      <c r="AH264" s="127"/>
      <c r="AI264" s="127"/>
      <c r="AJ264" s="127"/>
      <c r="AK264" s="127"/>
      <c r="AL264" s="127"/>
      <c r="AM264" s="127"/>
      <c r="AN264" s="127"/>
      <c r="AO264" s="127"/>
      <c r="AP264" s="127"/>
      <c r="AQ264" s="127"/>
      <c r="AR264" s="127"/>
      <c r="AS264" s="127"/>
      <c r="AT264" s="127"/>
      <c r="AU264" s="127"/>
      <c r="AV264" s="127"/>
      <c r="AW264" s="127"/>
      <c r="AX264" s="127"/>
      <c r="AY264" s="127"/>
      <c r="AZ264" s="127"/>
    </row>
    <row r="265" spans="32:52" x14ac:dyDescent="0.2">
      <c r="AF265" s="127"/>
      <c r="AG265" s="127"/>
      <c r="AH265" s="127"/>
      <c r="AI265" s="127"/>
      <c r="AJ265" s="127"/>
      <c r="AK265" s="127"/>
      <c r="AL265" s="127"/>
      <c r="AM265" s="127"/>
      <c r="AN265" s="127"/>
      <c r="AO265" s="127"/>
      <c r="AP265" s="127"/>
      <c r="AQ265" s="127"/>
      <c r="AR265" s="127"/>
      <c r="AS265" s="127"/>
      <c r="AT265" s="127"/>
      <c r="AU265" s="127"/>
      <c r="AV265" s="127"/>
      <c r="AW265" s="127"/>
      <c r="AX265" s="127"/>
      <c r="AY265" s="127"/>
      <c r="AZ265" s="127"/>
    </row>
    <row r="266" spans="32:52" x14ac:dyDescent="0.2">
      <c r="AF266" s="127"/>
      <c r="AG266" s="127"/>
      <c r="AH266" s="127"/>
      <c r="AI266" s="127"/>
      <c r="AJ266" s="127"/>
      <c r="AK266" s="127"/>
      <c r="AL266" s="127"/>
      <c r="AM266" s="127"/>
      <c r="AN266" s="127"/>
      <c r="AO266" s="127"/>
      <c r="AP266" s="127"/>
      <c r="AQ266" s="127"/>
      <c r="AR266" s="127"/>
      <c r="AS266" s="127"/>
      <c r="AT266" s="127"/>
      <c r="AU266" s="127"/>
      <c r="AV266" s="127"/>
      <c r="AW266" s="127"/>
      <c r="AX266" s="127"/>
      <c r="AY266" s="127"/>
      <c r="AZ266" s="127"/>
    </row>
    <row r="267" spans="32:52" x14ac:dyDescent="0.2">
      <c r="AF267" s="127"/>
      <c r="AG267" s="127"/>
      <c r="AH267" s="127"/>
      <c r="AI267" s="127"/>
      <c r="AJ267" s="127"/>
      <c r="AK267" s="127"/>
      <c r="AL267" s="127"/>
      <c r="AM267" s="127"/>
      <c r="AN267" s="127"/>
      <c r="AO267" s="127"/>
      <c r="AP267" s="127"/>
      <c r="AQ267" s="127"/>
      <c r="AR267" s="127"/>
      <c r="AS267" s="127"/>
      <c r="AT267" s="127"/>
      <c r="AU267" s="127"/>
      <c r="AV267" s="127"/>
      <c r="AW267" s="127"/>
      <c r="AX267" s="127"/>
      <c r="AY267" s="127"/>
      <c r="AZ267" s="127"/>
    </row>
    <row r="268" spans="32:52" x14ac:dyDescent="0.2">
      <c r="AF268" s="127"/>
      <c r="AG268" s="127"/>
      <c r="AH268" s="127"/>
      <c r="AI268" s="127"/>
      <c r="AJ268" s="127"/>
      <c r="AK268" s="127"/>
      <c r="AL268" s="127"/>
      <c r="AM268" s="127"/>
      <c r="AN268" s="127"/>
      <c r="AO268" s="127"/>
      <c r="AP268" s="127"/>
      <c r="AQ268" s="127"/>
      <c r="AR268" s="127"/>
      <c r="AS268" s="127"/>
      <c r="AT268" s="127"/>
      <c r="AU268" s="127"/>
      <c r="AV268" s="127"/>
      <c r="AW268" s="127"/>
      <c r="AX268" s="127"/>
      <c r="AY268" s="127"/>
      <c r="AZ268" s="127"/>
    </row>
    <row r="269" spans="32:52" x14ac:dyDescent="0.2">
      <c r="AF269" s="127"/>
      <c r="AG269" s="127"/>
      <c r="AH269" s="127"/>
      <c r="AI269" s="127"/>
      <c r="AJ269" s="127"/>
      <c r="AK269" s="127"/>
      <c r="AL269" s="127"/>
      <c r="AM269" s="127"/>
      <c r="AN269" s="127"/>
      <c r="AO269" s="127"/>
      <c r="AP269" s="127"/>
      <c r="AQ269" s="127"/>
      <c r="AR269" s="127"/>
      <c r="AS269" s="127"/>
      <c r="AT269" s="127"/>
      <c r="AU269" s="127"/>
      <c r="AV269" s="127"/>
      <c r="AW269" s="127"/>
      <c r="AX269" s="127"/>
      <c r="AY269" s="127"/>
      <c r="AZ269" s="127"/>
    </row>
    <row r="270" spans="32:52" x14ac:dyDescent="0.2">
      <c r="AF270" s="127"/>
      <c r="AG270" s="127"/>
      <c r="AH270" s="127"/>
      <c r="AI270" s="127"/>
      <c r="AJ270" s="127"/>
      <c r="AK270" s="127"/>
      <c r="AL270" s="127"/>
      <c r="AM270" s="127"/>
      <c r="AN270" s="127"/>
      <c r="AO270" s="127"/>
      <c r="AP270" s="127"/>
      <c r="AQ270" s="127"/>
      <c r="AR270" s="127"/>
      <c r="AS270" s="127"/>
      <c r="AT270" s="127"/>
      <c r="AU270" s="127"/>
      <c r="AV270" s="127"/>
      <c r="AW270" s="127"/>
      <c r="AX270" s="127"/>
      <c r="AY270" s="127"/>
      <c r="AZ270" s="127"/>
    </row>
    <row r="271" spans="32:52" x14ac:dyDescent="0.2">
      <c r="AF271" s="127"/>
      <c r="AG271" s="127"/>
      <c r="AH271" s="127"/>
      <c r="AI271" s="127"/>
      <c r="AJ271" s="127"/>
      <c r="AK271" s="127"/>
      <c r="AL271" s="127"/>
      <c r="AM271" s="127"/>
      <c r="AN271" s="127"/>
      <c r="AO271" s="127"/>
      <c r="AP271" s="127"/>
      <c r="AQ271" s="127"/>
      <c r="AR271" s="127"/>
      <c r="AS271" s="127"/>
      <c r="AT271" s="127"/>
      <c r="AU271" s="127"/>
      <c r="AV271" s="127"/>
      <c r="AW271" s="127"/>
      <c r="AX271" s="127"/>
      <c r="AY271" s="127"/>
      <c r="AZ271" s="127"/>
    </row>
    <row r="272" spans="32:52" x14ac:dyDescent="0.2">
      <c r="AF272" s="127"/>
      <c r="AG272" s="127"/>
      <c r="AH272" s="127"/>
      <c r="AI272" s="127"/>
      <c r="AJ272" s="127"/>
      <c r="AK272" s="127"/>
      <c r="AL272" s="127"/>
      <c r="AM272" s="127"/>
      <c r="AN272" s="127"/>
      <c r="AO272" s="127"/>
      <c r="AP272" s="127"/>
      <c r="AQ272" s="127"/>
      <c r="AR272" s="127"/>
      <c r="AS272" s="127"/>
      <c r="AT272" s="127"/>
      <c r="AU272" s="127"/>
      <c r="AV272" s="127"/>
      <c r="AW272" s="127"/>
      <c r="AX272" s="127"/>
      <c r="AY272" s="127"/>
      <c r="AZ272" s="127"/>
    </row>
    <row r="273" spans="31:52" x14ac:dyDescent="0.2">
      <c r="AF273" s="127"/>
      <c r="AG273" s="127"/>
      <c r="AH273" s="127"/>
      <c r="AI273" s="127"/>
      <c r="AJ273" s="127"/>
      <c r="AK273" s="127"/>
      <c r="AL273" s="127"/>
      <c r="AM273" s="127"/>
      <c r="AN273" s="127"/>
      <c r="AO273" s="127"/>
      <c r="AP273" s="127"/>
      <c r="AQ273" s="127"/>
      <c r="AR273" s="127"/>
      <c r="AS273" s="127"/>
      <c r="AT273" s="127"/>
      <c r="AU273" s="127"/>
      <c r="AV273" s="127"/>
      <c r="AW273" s="127"/>
      <c r="AX273" s="127"/>
      <c r="AY273" s="127"/>
      <c r="AZ273" s="127"/>
    </row>
    <row r="274" spans="31:52" x14ac:dyDescent="0.2">
      <c r="AF274" s="127"/>
      <c r="AG274" s="127"/>
      <c r="AH274" s="127"/>
      <c r="AI274" s="127"/>
      <c r="AJ274" s="127"/>
      <c r="AK274" s="127"/>
      <c r="AL274" s="127"/>
      <c r="AM274" s="127"/>
      <c r="AN274" s="127"/>
      <c r="AO274" s="127"/>
      <c r="AP274" s="127"/>
      <c r="AQ274" s="127"/>
      <c r="AR274" s="127"/>
      <c r="AS274" s="127"/>
      <c r="AT274" s="127"/>
      <c r="AU274" s="127"/>
      <c r="AV274" s="127"/>
      <c r="AW274" s="127"/>
      <c r="AX274" s="127"/>
      <c r="AY274" s="127"/>
      <c r="AZ274" s="127"/>
    </row>
    <row r="275" spans="31:52" x14ac:dyDescent="0.2">
      <c r="AF275" s="127"/>
      <c r="AG275" s="127"/>
      <c r="AH275" s="127"/>
      <c r="AI275" s="127"/>
      <c r="AJ275" s="127"/>
      <c r="AK275" s="127"/>
      <c r="AL275" s="127"/>
      <c r="AM275" s="127"/>
      <c r="AN275" s="127"/>
      <c r="AO275" s="127"/>
      <c r="AP275" s="127"/>
      <c r="AQ275" s="127"/>
      <c r="AR275" s="127"/>
      <c r="AS275" s="127"/>
      <c r="AT275" s="127"/>
      <c r="AU275" s="127"/>
      <c r="AV275" s="127"/>
      <c r="AW275" s="127"/>
      <c r="AX275" s="127"/>
      <c r="AY275" s="127"/>
      <c r="AZ275" s="127"/>
    </row>
    <row r="276" spans="31:52" x14ac:dyDescent="0.2">
      <c r="AF276" s="127"/>
      <c r="AG276" s="127"/>
      <c r="AH276" s="127"/>
      <c r="AI276" s="127"/>
      <c r="AJ276" s="127"/>
      <c r="AK276" s="127"/>
      <c r="AL276" s="127"/>
      <c r="AM276" s="127"/>
      <c r="AN276" s="127"/>
      <c r="AO276" s="127"/>
      <c r="AP276" s="127"/>
      <c r="AQ276" s="127"/>
      <c r="AR276" s="127"/>
      <c r="AS276" s="127"/>
      <c r="AT276" s="127"/>
      <c r="AU276" s="127"/>
      <c r="AV276" s="127"/>
      <c r="AW276" s="127"/>
      <c r="AX276" s="127"/>
      <c r="AY276" s="127"/>
      <c r="AZ276" s="127"/>
    </row>
    <row r="277" spans="31:52" x14ac:dyDescent="0.2">
      <c r="AF277" s="127"/>
      <c r="AG277" s="127"/>
      <c r="AH277" s="127"/>
      <c r="AI277" s="127"/>
      <c r="AJ277" s="127"/>
      <c r="AK277" s="127"/>
      <c r="AL277" s="127"/>
      <c r="AM277" s="127"/>
      <c r="AN277" s="127"/>
      <c r="AO277" s="127"/>
      <c r="AP277" s="127"/>
      <c r="AQ277" s="127"/>
      <c r="AR277" s="127"/>
      <c r="AS277" s="127"/>
      <c r="AT277" s="127"/>
      <c r="AU277" s="127"/>
      <c r="AV277" s="127"/>
      <c r="AW277" s="127"/>
      <c r="AX277" s="127"/>
      <c r="AY277" s="127"/>
      <c r="AZ277" s="127"/>
    </row>
    <row r="278" spans="31:52" x14ac:dyDescent="0.2">
      <c r="AF278" s="127"/>
      <c r="AG278" s="127"/>
      <c r="AH278" s="127"/>
      <c r="AI278" s="127"/>
      <c r="AJ278" s="127"/>
      <c r="AK278" s="127"/>
      <c r="AL278" s="127"/>
      <c r="AM278" s="127"/>
      <c r="AN278" s="127"/>
      <c r="AO278" s="127"/>
      <c r="AP278" s="127"/>
      <c r="AQ278" s="127"/>
      <c r="AR278" s="127"/>
      <c r="AS278" s="127"/>
      <c r="AT278" s="127"/>
      <c r="AU278" s="127"/>
      <c r="AV278" s="127"/>
      <c r="AW278" s="127"/>
      <c r="AX278" s="127"/>
      <c r="AY278" s="127"/>
      <c r="AZ278" s="127"/>
    </row>
    <row r="279" spans="31:52" x14ac:dyDescent="0.2">
      <c r="AF279" s="127"/>
      <c r="AG279" s="127"/>
      <c r="AH279" s="127"/>
      <c r="AI279" s="127"/>
      <c r="AJ279" s="127"/>
      <c r="AK279" s="127"/>
      <c r="AL279" s="127"/>
      <c r="AM279" s="127"/>
      <c r="AN279" s="127"/>
      <c r="AO279" s="127"/>
      <c r="AP279" s="127"/>
      <c r="AQ279" s="127"/>
      <c r="AR279" s="127"/>
      <c r="AS279" s="127"/>
      <c r="AT279" s="127"/>
      <c r="AU279" s="127"/>
      <c r="AV279" s="127"/>
      <c r="AW279" s="127"/>
      <c r="AX279" s="127"/>
      <c r="AY279" s="127"/>
      <c r="AZ279" s="127"/>
    </row>
    <row r="281" spans="31:52" x14ac:dyDescent="0.2">
      <c r="AE281" s="207"/>
      <c r="AF281" s="127"/>
      <c r="AG281" s="127"/>
      <c r="AH281" s="127"/>
      <c r="AI281" s="127"/>
      <c r="AJ281" s="127"/>
      <c r="AK281" s="127"/>
      <c r="AL281" s="127"/>
      <c r="AM281" s="127"/>
      <c r="AN281" s="127"/>
      <c r="AO281" s="127"/>
      <c r="AP281" s="127"/>
      <c r="AQ281" s="127"/>
      <c r="AR281" s="127"/>
      <c r="AS281" s="127"/>
      <c r="AT281" s="127"/>
      <c r="AU281" s="127"/>
      <c r="AV281" s="127"/>
      <c r="AW281" s="127"/>
      <c r="AX281" s="127"/>
      <c r="AY281" s="127"/>
      <c r="AZ281" s="127"/>
    </row>
    <row r="282" spans="31:52" x14ac:dyDescent="0.2">
      <c r="AF282" s="127"/>
      <c r="AG282" s="127"/>
      <c r="AH282" s="127"/>
      <c r="AI282" s="127"/>
      <c r="AJ282" s="127"/>
      <c r="AK282" s="127"/>
      <c r="AL282" s="127"/>
      <c r="AM282" s="127"/>
      <c r="AN282" s="127"/>
      <c r="AO282" s="127"/>
      <c r="AP282" s="127"/>
      <c r="AQ282" s="127"/>
      <c r="AR282" s="127"/>
      <c r="AS282" s="127"/>
      <c r="AT282" s="127"/>
      <c r="AU282" s="127"/>
      <c r="AV282" s="127"/>
      <c r="AW282" s="127"/>
      <c r="AX282" s="127"/>
      <c r="AY282" s="127"/>
      <c r="AZ282" s="127"/>
    </row>
    <row r="283" spans="31:52" x14ac:dyDescent="0.2">
      <c r="AF283" s="127"/>
      <c r="AG283" s="127"/>
      <c r="AH283" s="127"/>
      <c r="AI283" s="127"/>
      <c r="AJ283" s="127"/>
      <c r="AK283" s="127"/>
      <c r="AL283" s="127"/>
      <c r="AM283" s="127"/>
      <c r="AN283" s="127"/>
      <c r="AO283" s="127"/>
      <c r="AP283" s="127"/>
      <c r="AQ283" s="127"/>
      <c r="AR283" s="127"/>
      <c r="AS283" s="127"/>
      <c r="AT283" s="127"/>
      <c r="AU283" s="127"/>
      <c r="AV283" s="127"/>
      <c r="AW283" s="127"/>
      <c r="AX283" s="127"/>
      <c r="AY283" s="127"/>
      <c r="AZ283" s="127"/>
    </row>
    <row r="284" spans="31:52" x14ac:dyDescent="0.2">
      <c r="AF284" s="127"/>
      <c r="AG284" s="127"/>
      <c r="AH284" s="127"/>
      <c r="AI284" s="127"/>
      <c r="AJ284" s="127"/>
      <c r="AK284" s="127"/>
      <c r="AL284" s="127"/>
      <c r="AM284" s="127"/>
      <c r="AN284" s="127"/>
      <c r="AO284" s="127"/>
      <c r="AP284" s="127"/>
      <c r="AQ284" s="127"/>
      <c r="AR284" s="127"/>
      <c r="AS284" s="127"/>
      <c r="AT284" s="127"/>
      <c r="AU284" s="127"/>
      <c r="AV284" s="127"/>
      <c r="AW284" s="127"/>
      <c r="AX284" s="127"/>
      <c r="AY284" s="127"/>
      <c r="AZ284" s="127"/>
    </row>
    <row r="285" spans="31:52" x14ac:dyDescent="0.2">
      <c r="AF285" s="127"/>
      <c r="AG285" s="127"/>
      <c r="AH285" s="127"/>
      <c r="AI285" s="127"/>
      <c r="AJ285" s="127"/>
      <c r="AK285" s="127"/>
      <c r="AL285" s="127"/>
      <c r="AM285" s="127"/>
      <c r="AN285" s="127"/>
      <c r="AO285" s="127"/>
      <c r="AP285" s="127"/>
      <c r="AQ285" s="127"/>
      <c r="AR285" s="127"/>
      <c r="AS285" s="127"/>
      <c r="AT285" s="127"/>
      <c r="AU285" s="127"/>
      <c r="AV285" s="127"/>
      <c r="AW285" s="127"/>
      <c r="AX285" s="127"/>
      <c r="AY285" s="127"/>
      <c r="AZ285" s="127"/>
    </row>
    <row r="286" spans="31:52" x14ac:dyDescent="0.2">
      <c r="AF286" s="127"/>
      <c r="AG286" s="127"/>
      <c r="AH286" s="127"/>
      <c r="AI286" s="127"/>
      <c r="AJ286" s="127"/>
      <c r="AK286" s="127"/>
      <c r="AL286" s="127"/>
      <c r="AM286" s="127"/>
      <c r="AN286" s="127"/>
      <c r="AO286" s="127"/>
      <c r="AP286" s="127"/>
      <c r="AQ286" s="127"/>
      <c r="AR286" s="127"/>
      <c r="AS286" s="127"/>
      <c r="AT286" s="127"/>
      <c r="AU286" s="127"/>
      <c r="AV286" s="127"/>
      <c r="AW286" s="127"/>
      <c r="AX286" s="127"/>
      <c r="AY286" s="127"/>
      <c r="AZ286" s="127"/>
    </row>
    <row r="287" spans="31:52" x14ac:dyDescent="0.2">
      <c r="AF287" s="127"/>
      <c r="AG287" s="127"/>
      <c r="AH287" s="127"/>
      <c r="AI287" s="127"/>
      <c r="AJ287" s="127"/>
      <c r="AK287" s="127"/>
      <c r="AL287" s="127"/>
      <c r="AM287" s="127"/>
      <c r="AN287" s="127"/>
      <c r="AO287" s="127"/>
      <c r="AP287" s="127"/>
      <c r="AQ287" s="127"/>
      <c r="AR287" s="127"/>
      <c r="AS287" s="127"/>
      <c r="AT287" s="127"/>
      <c r="AU287" s="127"/>
      <c r="AV287" s="127"/>
      <c r="AW287" s="127"/>
      <c r="AX287" s="127"/>
      <c r="AY287" s="127"/>
      <c r="AZ287" s="127"/>
    </row>
    <row r="288" spans="31:52" x14ac:dyDescent="0.2">
      <c r="AF288" s="127"/>
      <c r="AG288" s="127"/>
      <c r="AH288" s="127"/>
      <c r="AI288" s="127"/>
      <c r="AJ288" s="127"/>
      <c r="AK288" s="127"/>
      <c r="AL288" s="127"/>
      <c r="AM288" s="127"/>
      <c r="AN288" s="127"/>
      <c r="AO288" s="127"/>
      <c r="AP288" s="127"/>
      <c r="AQ288" s="127"/>
      <c r="AR288" s="127"/>
      <c r="AS288" s="127"/>
      <c r="AT288" s="127"/>
      <c r="AU288" s="127"/>
      <c r="AV288" s="127"/>
      <c r="AW288" s="127"/>
      <c r="AX288" s="127"/>
      <c r="AY288" s="127"/>
      <c r="AZ288" s="127"/>
    </row>
    <row r="289" spans="32:52" x14ac:dyDescent="0.2">
      <c r="AF289" s="127"/>
      <c r="AG289" s="127"/>
      <c r="AH289" s="127"/>
      <c r="AI289" s="127"/>
      <c r="AJ289" s="127"/>
      <c r="AK289" s="127"/>
      <c r="AL289" s="127"/>
      <c r="AM289" s="127"/>
      <c r="AN289" s="127"/>
      <c r="AO289" s="127"/>
      <c r="AP289" s="127"/>
      <c r="AQ289" s="127"/>
      <c r="AR289" s="127"/>
      <c r="AS289" s="127"/>
      <c r="AT289" s="127"/>
      <c r="AU289" s="127"/>
      <c r="AV289" s="127"/>
      <c r="AW289" s="127"/>
      <c r="AX289" s="127"/>
      <c r="AY289" s="127"/>
      <c r="AZ289" s="127"/>
    </row>
    <row r="290" spans="32:52" x14ac:dyDescent="0.2">
      <c r="AF290" s="127"/>
      <c r="AG290" s="127"/>
      <c r="AH290" s="127"/>
      <c r="AI290" s="127"/>
      <c r="AJ290" s="127"/>
      <c r="AK290" s="127"/>
      <c r="AL290" s="127"/>
      <c r="AM290" s="127"/>
      <c r="AN290" s="127"/>
      <c r="AO290" s="127"/>
      <c r="AP290" s="127"/>
      <c r="AQ290" s="127"/>
      <c r="AR290" s="127"/>
      <c r="AS290" s="127"/>
      <c r="AT290" s="127"/>
      <c r="AU290" s="127"/>
      <c r="AV290" s="127"/>
      <c r="AW290" s="127"/>
      <c r="AX290" s="127"/>
      <c r="AY290" s="127"/>
      <c r="AZ290" s="127"/>
    </row>
    <row r="291" spans="32:52" x14ac:dyDescent="0.2">
      <c r="AF291" s="127"/>
      <c r="AG291" s="127"/>
      <c r="AH291" s="127"/>
      <c r="AI291" s="127"/>
      <c r="AJ291" s="127"/>
      <c r="AK291" s="127"/>
      <c r="AL291" s="127"/>
      <c r="AM291" s="127"/>
      <c r="AN291" s="127"/>
      <c r="AO291" s="127"/>
      <c r="AP291" s="127"/>
      <c r="AQ291" s="127"/>
      <c r="AR291" s="127"/>
      <c r="AS291" s="127"/>
      <c r="AT291" s="127"/>
      <c r="AU291" s="127"/>
      <c r="AV291" s="127"/>
      <c r="AW291" s="127"/>
      <c r="AX291" s="127"/>
      <c r="AY291" s="127"/>
      <c r="AZ291" s="127"/>
    </row>
    <row r="292" spans="32:52" x14ac:dyDescent="0.2">
      <c r="AF292" s="127"/>
      <c r="AG292" s="127"/>
      <c r="AH292" s="127"/>
      <c r="AI292" s="127"/>
      <c r="AJ292" s="127"/>
      <c r="AK292" s="127"/>
      <c r="AL292" s="127"/>
      <c r="AM292" s="127"/>
      <c r="AN292" s="127"/>
      <c r="AO292" s="127"/>
      <c r="AP292" s="127"/>
      <c r="AQ292" s="127"/>
      <c r="AR292" s="127"/>
      <c r="AS292" s="127"/>
      <c r="AT292" s="127"/>
      <c r="AU292" s="127"/>
      <c r="AV292" s="127"/>
      <c r="AW292" s="127"/>
      <c r="AX292" s="127"/>
      <c r="AY292" s="127"/>
      <c r="AZ292" s="127"/>
    </row>
    <row r="293" spans="32:52" x14ac:dyDescent="0.2">
      <c r="AF293" s="127"/>
      <c r="AG293" s="127"/>
      <c r="AH293" s="127"/>
      <c r="AI293" s="127"/>
      <c r="AJ293" s="127"/>
      <c r="AK293" s="127"/>
      <c r="AL293" s="127"/>
      <c r="AM293" s="127"/>
      <c r="AN293" s="127"/>
      <c r="AO293" s="127"/>
      <c r="AP293" s="127"/>
      <c r="AQ293" s="127"/>
      <c r="AR293" s="127"/>
      <c r="AS293" s="127"/>
      <c r="AT293" s="127"/>
      <c r="AU293" s="127"/>
      <c r="AV293" s="127"/>
      <c r="AW293" s="127"/>
      <c r="AX293" s="127"/>
      <c r="AY293" s="127"/>
      <c r="AZ293" s="127"/>
    </row>
    <row r="294" spans="32:52" x14ac:dyDescent="0.2">
      <c r="AF294" s="127"/>
      <c r="AG294" s="127"/>
      <c r="AH294" s="127"/>
      <c r="AI294" s="127"/>
      <c r="AJ294" s="127"/>
      <c r="AK294" s="127"/>
      <c r="AL294" s="127"/>
      <c r="AM294" s="127"/>
      <c r="AN294" s="127"/>
      <c r="AO294" s="127"/>
      <c r="AP294" s="127"/>
      <c r="AQ294" s="127"/>
      <c r="AR294" s="127"/>
      <c r="AS294" s="127"/>
      <c r="AT294" s="127"/>
      <c r="AU294" s="127"/>
      <c r="AV294" s="127"/>
      <c r="AW294" s="127"/>
      <c r="AX294" s="127"/>
      <c r="AY294" s="127"/>
      <c r="AZ294" s="127"/>
    </row>
    <row r="295" spans="32:52" x14ac:dyDescent="0.2">
      <c r="AF295" s="127"/>
      <c r="AG295" s="127"/>
      <c r="AH295" s="127"/>
      <c r="AI295" s="127"/>
      <c r="AJ295" s="127"/>
      <c r="AK295" s="127"/>
      <c r="AL295" s="127"/>
      <c r="AM295" s="127"/>
      <c r="AN295" s="127"/>
      <c r="AO295" s="127"/>
      <c r="AP295" s="127"/>
      <c r="AQ295" s="127"/>
      <c r="AR295" s="127"/>
      <c r="AS295" s="127"/>
      <c r="AT295" s="127"/>
      <c r="AU295" s="127"/>
      <c r="AV295" s="127"/>
      <c r="AW295" s="127"/>
      <c r="AX295" s="127"/>
      <c r="AY295" s="127"/>
      <c r="AZ295" s="127"/>
    </row>
    <row r="296" spans="32:52" x14ac:dyDescent="0.2">
      <c r="AF296" s="127"/>
      <c r="AG296" s="127"/>
      <c r="AH296" s="127"/>
      <c r="AI296" s="127"/>
      <c r="AJ296" s="127"/>
      <c r="AK296" s="127"/>
      <c r="AL296" s="127"/>
      <c r="AM296" s="127"/>
      <c r="AN296" s="127"/>
      <c r="AO296" s="127"/>
      <c r="AP296" s="127"/>
      <c r="AQ296" s="127"/>
      <c r="AR296" s="127"/>
      <c r="AS296" s="127"/>
      <c r="AT296" s="127"/>
      <c r="AU296" s="127"/>
      <c r="AV296" s="127"/>
      <c r="AW296" s="127"/>
      <c r="AX296" s="127"/>
      <c r="AY296" s="127"/>
      <c r="AZ296" s="127"/>
    </row>
    <row r="297" spans="32:52" x14ac:dyDescent="0.2">
      <c r="AF297" s="127"/>
      <c r="AG297" s="127"/>
      <c r="AH297" s="127"/>
      <c r="AI297" s="127"/>
      <c r="AJ297" s="127"/>
      <c r="AK297" s="127"/>
      <c r="AL297" s="127"/>
      <c r="AM297" s="127"/>
      <c r="AN297" s="127"/>
      <c r="AO297" s="127"/>
      <c r="AP297" s="127"/>
      <c r="AQ297" s="127"/>
      <c r="AR297" s="127"/>
      <c r="AS297" s="127"/>
      <c r="AT297" s="127"/>
      <c r="AU297" s="127"/>
      <c r="AV297" s="127"/>
      <c r="AW297" s="127"/>
      <c r="AX297" s="127"/>
      <c r="AY297" s="127"/>
      <c r="AZ297" s="127"/>
    </row>
    <row r="298" spans="32:52" x14ac:dyDescent="0.2">
      <c r="AF298" s="127"/>
      <c r="AG298" s="127"/>
      <c r="AH298" s="127"/>
      <c r="AI298" s="127"/>
      <c r="AJ298" s="127"/>
      <c r="AK298" s="127"/>
      <c r="AL298" s="127"/>
      <c r="AM298" s="127"/>
      <c r="AN298" s="127"/>
      <c r="AO298" s="127"/>
      <c r="AP298" s="127"/>
      <c r="AQ298" s="127"/>
      <c r="AR298" s="127"/>
      <c r="AS298" s="127"/>
      <c r="AT298" s="127"/>
      <c r="AU298" s="127"/>
      <c r="AV298" s="127"/>
      <c r="AW298" s="127"/>
      <c r="AX298" s="127"/>
      <c r="AY298" s="127"/>
      <c r="AZ298" s="127"/>
    </row>
    <row r="299" spans="32:52" x14ac:dyDescent="0.2">
      <c r="AF299" s="127"/>
      <c r="AG299" s="127"/>
      <c r="AH299" s="127"/>
      <c r="AI299" s="127"/>
      <c r="AJ299" s="127"/>
      <c r="AK299" s="127"/>
      <c r="AL299" s="127"/>
      <c r="AM299" s="127"/>
      <c r="AN299" s="127"/>
      <c r="AO299" s="127"/>
      <c r="AP299" s="127"/>
      <c r="AQ299" s="127"/>
      <c r="AR299" s="127"/>
      <c r="AS299" s="127"/>
      <c r="AT299" s="127"/>
      <c r="AU299" s="127"/>
      <c r="AV299" s="127"/>
      <c r="AW299" s="127"/>
      <c r="AX299" s="127"/>
      <c r="AY299" s="127"/>
      <c r="AZ299" s="127"/>
    </row>
    <row r="300" spans="32:52" x14ac:dyDescent="0.2">
      <c r="AF300" s="127"/>
      <c r="AG300" s="127"/>
      <c r="AH300" s="127"/>
      <c r="AI300" s="127"/>
      <c r="AJ300" s="127"/>
      <c r="AK300" s="127"/>
      <c r="AL300" s="127"/>
      <c r="AM300" s="127"/>
      <c r="AN300" s="127"/>
      <c r="AO300" s="127"/>
      <c r="AP300" s="127"/>
      <c r="AQ300" s="127"/>
      <c r="AR300" s="127"/>
      <c r="AS300" s="127"/>
      <c r="AT300" s="127"/>
      <c r="AU300" s="127"/>
      <c r="AV300" s="127"/>
      <c r="AW300" s="127"/>
      <c r="AX300" s="127"/>
      <c r="AY300" s="127"/>
      <c r="AZ300" s="127"/>
    </row>
    <row r="301" spans="32:52" x14ac:dyDescent="0.2">
      <c r="AF301" s="127"/>
      <c r="AG301" s="127"/>
      <c r="AH301" s="127"/>
      <c r="AI301" s="127"/>
      <c r="AJ301" s="127"/>
      <c r="AK301" s="127"/>
      <c r="AL301" s="127"/>
      <c r="AM301" s="127"/>
      <c r="AN301" s="127"/>
      <c r="AO301" s="127"/>
      <c r="AP301" s="127"/>
      <c r="AQ301" s="127"/>
      <c r="AR301" s="127"/>
      <c r="AS301" s="127"/>
      <c r="AT301" s="127"/>
      <c r="AU301" s="127"/>
      <c r="AV301" s="127"/>
      <c r="AW301" s="127"/>
      <c r="AX301" s="127"/>
      <c r="AY301" s="127"/>
      <c r="AZ301" s="127"/>
    </row>
    <row r="302" spans="32:52" x14ac:dyDescent="0.2">
      <c r="AF302" s="127"/>
      <c r="AG302" s="127"/>
      <c r="AH302" s="127"/>
      <c r="AI302" s="127"/>
      <c r="AJ302" s="127"/>
      <c r="AK302" s="127"/>
      <c r="AL302" s="127"/>
      <c r="AM302" s="127"/>
      <c r="AN302" s="127"/>
      <c r="AO302" s="127"/>
      <c r="AP302" s="127"/>
      <c r="AQ302" s="127"/>
      <c r="AR302" s="127"/>
      <c r="AS302" s="127"/>
      <c r="AT302" s="127"/>
      <c r="AU302" s="127"/>
      <c r="AV302" s="127"/>
      <c r="AW302" s="127"/>
      <c r="AX302" s="127"/>
      <c r="AY302" s="127"/>
      <c r="AZ302" s="127"/>
    </row>
    <row r="303" spans="32:52" x14ac:dyDescent="0.2">
      <c r="AF303" s="127"/>
      <c r="AG303" s="127"/>
      <c r="AH303" s="127"/>
      <c r="AI303" s="127"/>
      <c r="AJ303" s="127"/>
      <c r="AK303" s="127"/>
      <c r="AL303" s="127"/>
      <c r="AM303" s="127"/>
      <c r="AN303" s="127"/>
      <c r="AO303" s="127"/>
      <c r="AP303" s="127"/>
      <c r="AQ303" s="127"/>
      <c r="AR303" s="127"/>
      <c r="AS303" s="127"/>
      <c r="AT303" s="127"/>
      <c r="AU303" s="127"/>
      <c r="AV303" s="127"/>
      <c r="AW303" s="127"/>
      <c r="AX303" s="127"/>
      <c r="AY303" s="127"/>
      <c r="AZ303" s="127"/>
    </row>
    <row r="304" spans="32:52" x14ac:dyDescent="0.2">
      <c r="AF304" s="127"/>
      <c r="AG304" s="127"/>
      <c r="AH304" s="127"/>
      <c r="AI304" s="127"/>
      <c r="AJ304" s="127"/>
      <c r="AK304" s="127"/>
      <c r="AL304" s="127"/>
      <c r="AM304" s="127"/>
      <c r="AN304" s="127"/>
      <c r="AO304" s="127"/>
      <c r="AP304" s="127"/>
      <c r="AQ304" s="127"/>
      <c r="AR304" s="127"/>
      <c r="AS304" s="127"/>
      <c r="AT304" s="127"/>
      <c r="AU304" s="127"/>
      <c r="AV304" s="127"/>
      <c r="AW304" s="127"/>
      <c r="AX304" s="127"/>
      <c r="AY304" s="127"/>
      <c r="AZ304" s="127"/>
    </row>
    <row r="305" spans="32:52" x14ac:dyDescent="0.2">
      <c r="AF305" s="127"/>
      <c r="AG305" s="127"/>
      <c r="AH305" s="127"/>
      <c r="AI305" s="127"/>
      <c r="AJ305" s="127"/>
      <c r="AK305" s="127"/>
      <c r="AL305" s="127"/>
      <c r="AM305" s="127"/>
      <c r="AN305" s="127"/>
      <c r="AO305" s="127"/>
      <c r="AP305" s="127"/>
      <c r="AQ305" s="127"/>
      <c r="AR305" s="127"/>
      <c r="AS305" s="127"/>
      <c r="AT305" s="127"/>
      <c r="AU305" s="127"/>
      <c r="AV305" s="127"/>
      <c r="AW305" s="127"/>
      <c r="AX305" s="127"/>
      <c r="AY305" s="127"/>
      <c r="AZ305" s="127"/>
    </row>
  </sheetData>
  <sheetProtection algorithmName="SHA-512" hashValue="Bp/F8eLYUWKKiufwYzfzv+Oqv1BHSlwPmZXLY1jXxmaq/mBYPUIXDI5Bq0xznwkh2t1D6Ky2CJHil/omcDRyDQ==" saltValue="MacJM7dHBY5kIrx1lBY5ug==" spinCount="100000" sheet="1" objects="1" scenarios="1"/>
  <mergeCells count="218">
    <mergeCell ref="BE5:BE6"/>
    <mergeCell ref="BF5:BF6"/>
    <mergeCell ref="BG5:BG6"/>
    <mergeCell ref="M6:Q6"/>
    <mergeCell ref="Y6:AF6"/>
    <mergeCell ref="AJ6:AL6"/>
    <mergeCell ref="Y7:AF7"/>
    <mergeCell ref="AJ7:AL7"/>
    <mergeCell ref="A9:A11"/>
    <mergeCell ref="AL10:AM10"/>
    <mergeCell ref="S5:X5"/>
    <mergeCell ref="Y5:AF5"/>
    <mergeCell ref="AJ5:AL5"/>
    <mergeCell ref="AZ9:BA9"/>
    <mergeCell ref="BE9:BG9"/>
    <mergeCell ref="F10:G10"/>
    <mergeCell ref="J10:K10"/>
    <mergeCell ref="N10:O10"/>
    <mergeCell ref="R10:S10"/>
    <mergeCell ref="V10:W10"/>
    <mergeCell ref="Z10:AA10"/>
    <mergeCell ref="AD10:AE10"/>
    <mergeCell ref="AH10:AI10"/>
    <mergeCell ref="AP10:AQ10"/>
    <mergeCell ref="AZ10:BA10"/>
    <mergeCell ref="E13:E19"/>
    <mergeCell ref="H13:H19"/>
    <mergeCell ref="L13:L19"/>
    <mergeCell ref="P13:P19"/>
    <mergeCell ref="T13:T19"/>
    <mergeCell ref="X13:X19"/>
    <mergeCell ref="AB13:AB19"/>
    <mergeCell ref="AF13:AF19"/>
    <mergeCell ref="AH14:AI15"/>
    <mergeCell ref="AL14:AM15"/>
    <mergeCell ref="AP14:AQ15"/>
    <mergeCell ref="AX15:BA18"/>
    <mergeCell ref="F16:G17"/>
    <mergeCell ref="J16:K17"/>
    <mergeCell ref="N16:O17"/>
    <mergeCell ref="R16:S17"/>
    <mergeCell ref="V16:W17"/>
    <mergeCell ref="Z16:AA17"/>
    <mergeCell ref="AJ13:AJ19"/>
    <mergeCell ref="AN13:AN19"/>
    <mergeCell ref="AR13:AR19"/>
    <mergeCell ref="F14:G15"/>
    <mergeCell ref="J14:K15"/>
    <mergeCell ref="N14:O15"/>
    <mergeCell ref="R14:S15"/>
    <mergeCell ref="V14:W15"/>
    <mergeCell ref="Z14:AA15"/>
    <mergeCell ref="AD14:AE15"/>
    <mergeCell ref="AD16:AE17"/>
    <mergeCell ref="AH16:AI17"/>
    <mergeCell ref="AL16:AM17"/>
    <mergeCell ref="AP16:AQ17"/>
    <mergeCell ref="AX19:BA20"/>
    <mergeCell ref="G20:J20"/>
    <mergeCell ref="K20:N20"/>
    <mergeCell ref="O20:R20"/>
    <mergeCell ref="S20:V20"/>
    <mergeCell ref="W20:Z20"/>
    <mergeCell ref="AA20:AD20"/>
    <mergeCell ref="AE20:AH20"/>
    <mergeCell ref="AI20:AL20"/>
    <mergeCell ref="AM20:AP20"/>
    <mergeCell ref="H21:I21"/>
    <mergeCell ref="L21:M21"/>
    <mergeCell ref="N21:O21"/>
    <mergeCell ref="P21:Q21"/>
    <mergeCell ref="R21:S21"/>
    <mergeCell ref="T21:U21"/>
    <mergeCell ref="AH21:AI21"/>
    <mergeCell ref="AJ21:AK21"/>
    <mergeCell ref="AL21:AM21"/>
    <mergeCell ref="AN21:AO21"/>
    <mergeCell ref="E22:H22"/>
    <mergeCell ref="I22:L22"/>
    <mergeCell ref="M22:P22"/>
    <mergeCell ref="Q22:T22"/>
    <mergeCell ref="U22:X22"/>
    <mergeCell ref="Y22:AB22"/>
    <mergeCell ref="V21:W21"/>
    <mergeCell ref="X21:Y21"/>
    <mergeCell ref="Z21:AA21"/>
    <mergeCell ref="AB21:AC21"/>
    <mergeCell ref="AD21:AE21"/>
    <mergeCell ref="AF21:AG21"/>
    <mergeCell ref="AC22:AF22"/>
    <mergeCell ref="AG22:AJ22"/>
    <mergeCell ref="AK22:AN22"/>
    <mergeCell ref="AO22:AR22"/>
    <mergeCell ref="AX22:BA24"/>
    <mergeCell ref="E23:H23"/>
    <mergeCell ref="I23:L23"/>
    <mergeCell ref="M23:P23"/>
    <mergeCell ref="Q23:T23"/>
    <mergeCell ref="U23:X23"/>
    <mergeCell ref="Y23:AB23"/>
    <mergeCell ref="AC23:AF23"/>
    <mergeCell ref="AG23:AJ23"/>
    <mergeCell ref="AK23:AN23"/>
    <mergeCell ref="AO23:AR23"/>
    <mergeCell ref="E24:H24"/>
    <mergeCell ref="I24:L24"/>
    <mergeCell ref="M24:P24"/>
    <mergeCell ref="Q24:T24"/>
    <mergeCell ref="U24:X24"/>
    <mergeCell ref="Y24:AB24"/>
    <mergeCell ref="AC24:AF24"/>
    <mergeCell ref="AG24:AJ24"/>
    <mergeCell ref="AK24:AN24"/>
    <mergeCell ref="AO24:AR24"/>
    <mergeCell ref="E25:H25"/>
    <mergeCell ref="I25:L25"/>
    <mergeCell ref="M25:P25"/>
    <mergeCell ref="Q25:T25"/>
    <mergeCell ref="U25:X25"/>
    <mergeCell ref="Y25:AB25"/>
    <mergeCell ref="AC25:AF25"/>
    <mergeCell ref="AG25:AJ25"/>
    <mergeCell ref="AK25:AN25"/>
    <mergeCell ref="AO25:AR25"/>
    <mergeCell ref="AX25:AZ26"/>
    <mergeCell ref="AC26:AF26"/>
    <mergeCell ref="AG26:AJ26"/>
    <mergeCell ref="AK26:AN26"/>
    <mergeCell ref="AO26:AR26"/>
    <mergeCell ref="E28:H28"/>
    <mergeCell ref="I28:L28"/>
    <mergeCell ref="M28:P28"/>
    <mergeCell ref="Q28:T28"/>
    <mergeCell ref="U28:X28"/>
    <mergeCell ref="Y28:AB28"/>
    <mergeCell ref="E26:H26"/>
    <mergeCell ref="I26:L26"/>
    <mergeCell ref="M26:P26"/>
    <mergeCell ref="Q26:T26"/>
    <mergeCell ref="U26:X26"/>
    <mergeCell ref="Y26:AB26"/>
    <mergeCell ref="AX34:AY34"/>
    <mergeCell ref="AX35:AY35"/>
    <mergeCell ref="AX36:AY36"/>
    <mergeCell ref="AX37:AY37"/>
    <mergeCell ref="AF38:AL38"/>
    <mergeCell ref="AM38:AN38"/>
    <mergeCell ref="AX38:AY38"/>
    <mergeCell ref="AC28:AF28"/>
    <mergeCell ref="AG28:AJ28"/>
    <mergeCell ref="AK28:AN28"/>
    <mergeCell ref="AO28:AR28"/>
    <mergeCell ref="AW30:BA32"/>
    <mergeCell ref="AX33:AY33"/>
    <mergeCell ref="AL39:AS39"/>
    <mergeCell ref="AX39:AY39"/>
    <mergeCell ref="Z40:Z41"/>
    <mergeCell ref="AX40:AY40"/>
    <mergeCell ref="AX41:AY41"/>
    <mergeCell ref="Z42:Z45"/>
    <mergeCell ref="AX42:AY42"/>
    <mergeCell ref="AM43:AQ43"/>
    <mergeCell ref="AR43:AS43"/>
    <mergeCell ref="P44:S45"/>
    <mergeCell ref="AO44:AS44"/>
    <mergeCell ref="T45:U45"/>
    <mergeCell ref="AM45:AS45"/>
    <mergeCell ref="I46:K46"/>
    <mergeCell ref="Z46:Z54"/>
    <mergeCell ref="AM46:AS46"/>
    <mergeCell ref="I47:K47"/>
    <mergeCell ref="AM47:AS47"/>
    <mergeCell ref="I48:K48"/>
    <mergeCell ref="AF48:AL50"/>
    <mergeCell ref="AW48:AX48"/>
    <mergeCell ref="I49:K49"/>
    <mergeCell ref="AM49:AP49"/>
    <mergeCell ref="AE53:AG53"/>
    <mergeCell ref="AI53:AJ53"/>
    <mergeCell ref="AK53:AL53"/>
    <mergeCell ref="AM53:AN53"/>
    <mergeCell ref="AP53:AQ53"/>
    <mergeCell ref="F72:I72"/>
    <mergeCell ref="L72:O72"/>
    <mergeCell ref="X72:AA72"/>
    <mergeCell ref="AN78:AP78"/>
    <mergeCell ref="AN79:AP79"/>
    <mergeCell ref="AN80:AS80"/>
    <mergeCell ref="AE55:AN55"/>
    <mergeCell ref="AO55:AP55"/>
    <mergeCell ref="AI57:AS57"/>
    <mergeCell ref="Q59:AB60"/>
    <mergeCell ref="AE70:AL70"/>
    <mergeCell ref="AN70:AS70"/>
    <mergeCell ref="Z87:AB89"/>
    <mergeCell ref="AM87:AO87"/>
    <mergeCell ref="AM88:AR88"/>
    <mergeCell ref="AE90:AS92"/>
    <mergeCell ref="Z91:AB93"/>
    <mergeCell ref="H96:K96"/>
    <mergeCell ref="O96:R96"/>
    <mergeCell ref="AQ96:AR96"/>
    <mergeCell ref="AE84:AL84"/>
    <mergeCell ref="H85:K85"/>
    <mergeCell ref="O85:R85"/>
    <mergeCell ref="V85:Y85"/>
    <mergeCell ref="AE85:AL85"/>
    <mergeCell ref="AP86:AR86"/>
    <mergeCell ref="T110:Y110"/>
    <mergeCell ref="T112:Y112"/>
    <mergeCell ref="T114:U114"/>
    <mergeCell ref="E116:R118"/>
    <mergeCell ref="AW96:AX96"/>
    <mergeCell ref="V97:Y97"/>
    <mergeCell ref="C98:AO98"/>
    <mergeCell ref="T104:U104"/>
    <mergeCell ref="T106:U106"/>
    <mergeCell ref="T108:U108"/>
  </mergeCells>
  <conditionalFormatting sqref="AG45:AL45">
    <cfRule type="expression" dxfId="995" priority="299">
      <formula>$AC$43="x"</formula>
    </cfRule>
  </conditionalFormatting>
  <conditionalFormatting sqref="AO44:AS44">
    <cfRule type="expression" dxfId="994" priority="298">
      <formula>$AK$42="x"</formula>
    </cfRule>
  </conditionalFormatting>
  <conditionalFormatting sqref="AP7:AS7">
    <cfRule type="expression" dxfId="993" priority="297">
      <formula>$AM$5&gt;0</formula>
    </cfRule>
  </conditionalFormatting>
  <conditionalFormatting sqref="E28:AR28">
    <cfRule type="expression" dxfId="992" priority="284">
      <formula>AND($A$28&lt;&gt;"",F$10&lt;&gt;"")</formula>
    </cfRule>
  </conditionalFormatting>
  <conditionalFormatting sqref="F72:I72">
    <cfRule type="expression" dxfId="991" priority="318">
      <formula>$F$72=""</formula>
    </cfRule>
  </conditionalFormatting>
  <conditionalFormatting sqref="H85:K85">
    <cfRule type="expression" dxfId="990" priority="289">
      <formula>$H$85=""</formula>
    </cfRule>
  </conditionalFormatting>
  <conditionalFormatting sqref="O85:R85">
    <cfRule type="expression" dxfId="989" priority="316">
      <formula>$O$85=""</formula>
    </cfRule>
  </conditionalFormatting>
  <conditionalFormatting sqref="V85:Y85">
    <cfRule type="expression" dxfId="988" priority="288">
      <formula>$V$85=""</formula>
    </cfRule>
  </conditionalFormatting>
  <conditionalFormatting sqref="AM49:AP49">
    <cfRule type="expression" dxfId="987" priority="186">
      <formula>$AM$49=""</formula>
    </cfRule>
  </conditionalFormatting>
  <conditionalFormatting sqref="AH54">
    <cfRule type="expression" dxfId="986" priority="300">
      <formula>$AE$53=0</formula>
    </cfRule>
  </conditionalFormatting>
  <conditionalFormatting sqref="L72:O72">
    <cfRule type="expression" dxfId="985" priority="291">
      <formula>$L$72=""</formula>
    </cfRule>
  </conditionalFormatting>
  <conditionalFormatting sqref="X72:AA72">
    <cfRule type="expression" dxfId="984" priority="290">
      <formula>$X$72=""</formula>
    </cfRule>
  </conditionalFormatting>
  <conditionalFormatting sqref="AT5">
    <cfRule type="expression" dxfId="983" priority="161">
      <formula>$AT$5=1</formula>
    </cfRule>
  </conditionalFormatting>
  <conditionalFormatting sqref="AM43:AQ43">
    <cfRule type="expression" dxfId="982" priority="189">
      <formula>$AM$43=""</formula>
    </cfRule>
  </conditionalFormatting>
  <conditionalFormatting sqref="AR43:AS43">
    <cfRule type="expression" dxfId="981" priority="160">
      <formula>$AR$43=""</formula>
    </cfRule>
  </conditionalFormatting>
  <conditionalFormatting sqref="AM45:AS45">
    <cfRule type="expression" dxfId="980" priority="188">
      <formula>$AM$45=""</formula>
    </cfRule>
  </conditionalFormatting>
  <conditionalFormatting sqref="AE70:AL70">
    <cfRule type="expression" dxfId="979" priority="170">
      <formula>$AE$70=""</formula>
    </cfRule>
  </conditionalFormatting>
  <conditionalFormatting sqref="AN70:AS70">
    <cfRule type="expression" dxfId="978" priority="156">
      <formula>$AN$70=""</formula>
    </cfRule>
  </conditionalFormatting>
  <conditionalFormatting sqref="AO55:AP55">
    <cfRule type="expression" dxfId="977" priority="53">
      <formula>$AT$52=1</formula>
    </cfRule>
    <cfRule type="expression" dxfId="976" priority="154">
      <formula>$AO$55=""</formula>
    </cfRule>
  </conditionalFormatting>
  <conditionalFormatting sqref="AN80:AS80">
    <cfRule type="expression" dxfId="975" priority="151">
      <formula>$AN$80=""</formula>
    </cfRule>
  </conditionalFormatting>
  <conditionalFormatting sqref="H96:K96">
    <cfRule type="expression" dxfId="974" priority="302">
      <formula>$H$96=""</formula>
    </cfRule>
  </conditionalFormatting>
  <conditionalFormatting sqref="AM88:AR88">
    <cfRule type="expression" dxfId="973" priority="144">
      <formula>$AM$88=""</formula>
    </cfRule>
  </conditionalFormatting>
  <conditionalFormatting sqref="Y5:AF5">
    <cfRule type="expression" dxfId="972" priority="278">
      <formula>$Y$5=""</formula>
    </cfRule>
  </conditionalFormatting>
  <conditionalFormatting sqref="Y6:AF6">
    <cfRule type="expression" dxfId="971" priority="141">
      <formula>$Y$6=""</formula>
    </cfRule>
  </conditionalFormatting>
  <conditionalFormatting sqref="Y7:AF7">
    <cfRule type="expression" dxfId="970" priority="140">
      <formula>$Y$7=""</formula>
    </cfRule>
  </conditionalFormatting>
  <conditionalFormatting sqref="AJ5:AL5">
    <cfRule type="expression" dxfId="969" priority="274">
      <formula>$AJ$5=""</formula>
    </cfRule>
  </conditionalFormatting>
  <conditionalFormatting sqref="AJ6:AL6">
    <cfRule type="expression" dxfId="968" priority="138">
      <formula>$AJ$6=""</formula>
    </cfRule>
  </conditionalFormatting>
  <conditionalFormatting sqref="AJ7:AL7">
    <cfRule type="expression" dxfId="967" priority="137">
      <formula>$AJ$7=""</formula>
    </cfRule>
  </conditionalFormatting>
  <conditionalFormatting sqref="I49:K49">
    <cfRule type="expression" dxfId="966" priority="136">
      <formula>$I$49=""</formula>
    </cfRule>
  </conditionalFormatting>
  <conditionalFormatting sqref="T45:U45">
    <cfRule type="expression" dxfId="965" priority="135">
      <formula>$T$45=""</formula>
    </cfRule>
  </conditionalFormatting>
  <conditionalFormatting sqref="Z42:Z45">
    <cfRule type="expression" dxfId="964" priority="134">
      <formula>$Z$42=""</formula>
    </cfRule>
  </conditionalFormatting>
  <conditionalFormatting sqref="AX33:AY42">
    <cfRule type="expression" dxfId="963" priority="132">
      <formula>AW33=""</formula>
    </cfRule>
  </conditionalFormatting>
  <conditionalFormatting sqref="A9:A11">
    <cfRule type="expression" dxfId="962" priority="73">
      <formula>$C$11&lt;36</formula>
    </cfRule>
  </conditionalFormatting>
  <conditionalFormatting sqref="A28">
    <cfRule type="expression" dxfId="961" priority="130">
      <formula>$E$28&gt;0</formula>
    </cfRule>
  </conditionalFormatting>
  <conditionalFormatting sqref="AX33:AY42">
    <cfRule type="expression" dxfId="960" priority="133">
      <formula>AX33=""</formula>
    </cfRule>
  </conditionalFormatting>
  <conditionalFormatting sqref="R112:Y114">
    <cfRule type="expression" dxfId="959" priority="80">
      <formula>$T$110=""</formula>
    </cfRule>
  </conditionalFormatting>
  <conditionalFormatting sqref="AE53:AG53">
    <cfRule type="expression" dxfId="958" priority="54">
      <formula>$AT$52=1</formula>
    </cfRule>
    <cfRule type="expression" dxfId="957" priority="107">
      <formula>$AE$53=0</formula>
    </cfRule>
  </conditionalFormatting>
  <conditionalFormatting sqref="AW48:AX48">
    <cfRule type="expression" dxfId="956" priority="106">
      <formula>$AW$48=""</formula>
    </cfRule>
  </conditionalFormatting>
  <conditionalFormatting sqref="AE84:AL84">
    <cfRule type="expression" dxfId="955" priority="98">
      <formula>$AE$84=""</formula>
    </cfRule>
  </conditionalFormatting>
  <conditionalFormatting sqref="AB102:AB120">
    <cfRule type="expression" dxfId="954" priority="96">
      <formula>$T$104&lt;&gt;105</formula>
    </cfRule>
  </conditionalFormatting>
  <conditionalFormatting sqref="AB120:AG120">
    <cfRule type="expression" dxfId="953" priority="95">
      <formula>$T$104&lt;&gt;105</formula>
    </cfRule>
  </conditionalFormatting>
  <conditionalFormatting sqref="AG102:AG120">
    <cfRule type="expression" dxfId="952" priority="94">
      <formula>AND($T$104&lt;&gt;105,$T$104&lt;&gt;85)</formula>
    </cfRule>
  </conditionalFormatting>
  <conditionalFormatting sqref="AB102:AG102">
    <cfRule type="expression" dxfId="951" priority="93">
      <formula>$T$104&lt;&gt;105</formula>
    </cfRule>
  </conditionalFormatting>
  <conditionalFormatting sqref="AH120:AM120">
    <cfRule type="expression" dxfId="950" priority="92">
      <formula>$T$104&lt;&gt;85</formula>
    </cfRule>
  </conditionalFormatting>
  <conditionalFormatting sqref="AH102:AM102">
    <cfRule type="expression" dxfId="949" priority="91">
      <formula>$T$104&lt;&gt;85</formula>
    </cfRule>
  </conditionalFormatting>
  <conditionalFormatting sqref="AN102:AN120">
    <cfRule type="expression" dxfId="948" priority="90">
      <formula>AND($T$104&lt;&gt;85,$T$104&lt;&gt;110)</formula>
    </cfRule>
  </conditionalFormatting>
  <conditionalFormatting sqref="AN120:AT120">
    <cfRule type="expression" dxfId="947" priority="89">
      <formula>$T$104&lt;&gt;110</formula>
    </cfRule>
  </conditionalFormatting>
  <conditionalFormatting sqref="AT102:AT120">
    <cfRule type="expression" dxfId="946" priority="88">
      <formula>$T$104&lt;&gt;110</formula>
    </cfRule>
  </conditionalFormatting>
  <conditionalFormatting sqref="AN102:AT102">
    <cfRule type="expression" dxfId="945" priority="87">
      <formula>$T$104&lt;&gt;110</formula>
    </cfRule>
  </conditionalFormatting>
  <conditionalFormatting sqref="T104:U104">
    <cfRule type="expression" dxfId="944" priority="86">
      <formula>$T$104=""</formula>
    </cfRule>
  </conditionalFormatting>
  <conditionalFormatting sqref="T106:U106">
    <cfRule type="expression" dxfId="943" priority="85">
      <formula>$T$106=""</formula>
    </cfRule>
  </conditionalFormatting>
  <conditionalFormatting sqref="T108:U108">
    <cfRule type="expression" dxfId="942" priority="84">
      <formula>$T$108=""</formula>
    </cfRule>
  </conditionalFormatting>
  <conditionalFormatting sqref="T114:U114">
    <cfRule type="expression" dxfId="941" priority="83">
      <formula>$T$114=""</formula>
    </cfRule>
  </conditionalFormatting>
  <conditionalFormatting sqref="T110:Y110">
    <cfRule type="expression" dxfId="940" priority="81">
      <formula>$T$110=""</formula>
    </cfRule>
  </conditionalFormatting>
  <conditionalFormatting sqref="T112:Y112">
    <cfRule type="expression" dxfId="939" priority="82">
      <formula>$T$112=""</formula>
    </cfRule>
  </conditionalFormatting>
  <conditionalFormatting sqref="AI57:AS57">
    <cfRule type="expression" dxfId="938" priority="185">
      <formula>$AI$57=""</formula>
    </cfRule>
  </conditionalFormatting>
  <conditionalFormatting sqref="AX25:AZ26">
    <cfRule type="expression" dxfId="937" priority="75">
      <formula>$AX$25=""</formula>
    </cfRule>
  </conditionalFormatting>
  <conditionalFormatting sqref="AM87:AO87">
    <cfRule type="expression" dxfId="936" priority="71">
      <formula>$AM$87=""</formula>
    </cfRule>
  </conditionalFormatting>
  <conditionalFormatting sqref="AX76">
    <cfRule type="expression" dxfId="935" priority="60">
      <formula>$AN$80=""</formula>
    </cfRule>
  </conditionalFormatting>
  <conditionalFormatting sqref="AX77">
    <cfRule type="expression" dxfId="934" priority="59">
      <formula>$AN$80=""</formula>
    </cfRule>
  </conditionalFormatting>
  <conditionalFormatting sqref="AX78">
    <cfRule type="expression" dxfId="933" priority="58">
      <formula>$AN$80=""</formula>
    </cfRule>
  </conditionalFormatting>
  <conditionalFormatting sqref="AX79">
    <cfRule type="expression" dxfId="932" priority="57">
      <formula>$AN$80=""</formula>
    </cfRule>
  </conditionalFormatting>
  <conditionalFormatting sqref="AX80">
    <cfRule type="expression" dxfId="931" priority="56">
      <formula>$AN$80=""</formula>
    </cfRule>
  </conditionalFormatting>
  <conditionalFormatting sqref="AT52">
    <cfRule type="expression" dxfId="930" priority="55">
      <formula>$AT$52=1</formula>
    </cfRule>
  </conditionalFormatting>
  <conditionalFormatting sqref="M6:Q6">
    <cfRule type="expression" dxfId="929" priority="42">
      <formula>$M$6=""</formula>
    </cfRule>
  </conditionalFormatting>
  <conditionalFormatting sqref="AN78:AP78">
    <cfRule type="expression" dxfId="928" priority="153">
      <formula>$AN$78=""</formula>
    </cfRule>
  </conditionalFormatting>
  <conditionalFormatting sqref="AN79:AP79">
    <cfRule type="expression" dxfId="927" priority="152">
      <formula>$AN$79=""</formula>
    </cfRule>
  </conditionalFormatting>
  <conditionalFormatting sqref="AM46:AS46">
    <cfRule type="expression" dxfId="926" priority="157">
      <formula>$AM$46=""</formula>
    </cfRule>
  </conditionalFormatting>
  <conditionalFormatting sqref="AM47:AS47">
    <cfRule type="expression" dxfId="925" priority="34">
      <formula>$AM$47=""</formula>
    </cfRule>
  </conditionalFormatting>
  <conditionalFormatting sqref="AB62">
    <cfRule type="expression" dxfId="924" priority="20">
      <formula>$AB$62&gt;0</formula>
    </cfRule>
  </conditionalFormatting>
  <conditionalFormatting sqref="AB73">
    <cfRule type="expression" dxfId="923" priority="19">
      <formula>$AB$73&gt;0</formula>
    </cfRule>
  </conditionalFormatting>
  <conditionalFormatting sqref="AQ96:AR96">
    <cfRule type="expression" dxfId="922" priority="18">
      <formula>$AQ$96=""</formula>
    </cfRule>
  </conditionalFormatting>
  <conditionalFormatting sqref="BD2:BI10">
    <cfRule type="expression" dxfId="921" priority="9">
      <formula>$AW$2=""</formula>
    </cfRule>
  </conditionalFormatting>
  <conditionalFormatting sqref="AZ9:BA9">
    <cfRule type="expression" dxfId="920" priority="6">
      <formula>$AZ$9=""</formula>
    </cfRule>
  </conditionalFormatting>
  <conditionalFormatting sqref="AZ10:BA10">
    <cfRule type="expression" dxfId="919" priority="5">
      <formula>$AZ$10=""</formula>
    </cfRule>
  </conditionalFormatting>
  <dataValidations count="7">
    <dataValidation type="whole" allowBlank="1" showInputMessage="1" showErrorMessage="1" sqref="J58:M59 I46:K49" xr:uid="{9B59A7DF-AA45-43A5-9CEB-E5E8BC5DF94E}">
      <formula1>0</formula1>
      <formula2>100000</formula2>
    </dataValidation>
    <dataValidation type="custom" operator="equal" allowBlank="1" showInputMessage="1" showErrorMessage="1" sqref="AA47:AA49 E33:E34 E40:E41 Q40:Q41 E6:E7 AN33 AN44" xr:uid="{83881600-3486-45C5-B0F8-385A9873B799}">
      <formula1>E6="X"</formula1>
    </dataValidation>
    <dataValidation type="whole" allowBlank="1" showInputMessage="1" showErrorMessage="1" sqref="H21:I21 AJ21:AK21 L21:M21 P21:Q21 T21:U21 X21:Y21 AB21:AC21 AF21:AG21 AN21:AO21" xr:uid="{16115505-7E59-4E42-B8E1-0CA354ED5387}">
      <formula1>0</formula1>
      <formula2>360</formula2>
    </dataValidation>
    <dataValidation type="whole" allowBlank="1" showInputMessage="1" showErrorMessage="1" sqref="E28:AR28 Z42:Z45" xr:uid="{7098F5A2-9851-4B56-A192-A5D60AF6D3E0}">
      <formula1>0</formula1>
      <formula2>10000</formula2>
    </dataValidation>
    <dataValidation type="whole" allowBlank="1" showInputMessage="1" showErrorMessage="1" sqref="T45:U45" xr:uid="{261656A4-0613-451D-818F-289C9C2B940D}">
      <formula1>0</formula1>
      <formula2>3000</formula2>
    </dataValidation>
    <dataValidation type="date" operator="greaterThanOrEqual" allowBlank="1" showInputMessage="1" showErrorMessage="1" sqref="Y7:AF7" xr:uid="{999D6637-629B-44C4-A387-EC77EFFEFF78}">
      <formula1>TODAY()-3</formula1>
    </dataValidation>
    <dataValidation type="whole" allowBlank="1" showInputMessage="1" showErrorMessage="1" sqref="AJ6:AL6" xr:uid="{5DAC0B71-B025-4987-8E80-136A1D0A3AAD}">
      <formula1>-1</formula1>
      <formula2>10000</formula2>
    </dataValidation>
  </dataValidations>
  <printOptions horizontalCentered="1" verticalCentered="1"/>
  <pageMargins left="0.31496062992125984" right="0.31496062992125984" top="0.19685039370078741" bottom="0.39370078740157483" header="0.31496062992125984" footer="0.31496062992125984"/>
  <pageSetup paperSize="9" scale="65" fitToHeight="0" orientation="portrait" r:id="rId1"/>
  <rowBreaks count="1" manualBreakCount="1">
    <brk id="98" min="1" max="46" man="1"/>
  </rowBreaks>
  <drawing r:id="rId2"/>
  <legacyDrawing r:id="rId3"/>
  <mc:AlternateContent xmlns:mc="http://schemas.openxmlformats.org/markup-compatibility/2006">
    <mc:Choice Requires="x14">
      <controls>
        <mc:AlternateContent xmlns:mc="http://schemas.openxmlformats.org/markup-compatibility/2006">
          <mc:Choice Requires="x14">
            <control shapeId="11265" r:id="rId4" name="Drop Down 1">
              <controlPr locked="0" defaultSize="0" autoLine="0" autoPict="0">
                <anchor>
                  <from>
                    <xdr:col>48</xdr:col>
                    <xdr:colOff>752475</xdr:colOff>
                    <xdr:row>2</xdr:row>
                    <xdr:rowOff>295275</xdr:rowOff>
                  </from>
                  <to>
                    <xdr:col>50</xdr:col>
                    <xdr:colOff>495300</xdr:colOff>
                    <xdr:row>3</xdr:row>
                    <xdr:rowOff>104775</xdr:rowOff>
                  </to>
                </anchor>
              </controlPr>
            </control>
          </mc:Choice>
        </mc:AlternateContent>
        <mc:AlternateContent xmlns:mc="http://schemas.openxmlformats.org/markup-compatibility/2006">
          <mc:Choice Requires="x14">
            <control shapeId="11266" r:id="rId5" name="Check Box 2">
              <controlPr locked="0" defaultSize="0" autoFill="0" autoLine="0" autoPict="0">
                <anchor moveWithCells="1">
                  <from>
                    <xdr:col>4</xdr:col>
                    <xdr:colOff>9525</xdr:colOff>
                    <xdr:row>39</xdr:row>
                    <xdr:rowOff>0</xdr:rowOff>
                  </from>
                  <to>
                    <xdr:col>5</xdr:col>
                    <xdr:colOff>9525</xdr:colOff>
                    <xdr:row>40</xdr:row>
                    <xdr:rowOff>38100</xdr:rowOff>
                  </to>
                </anchor>
              </controlPr>
            </control>
          </mc:Choice>
        </mc:AlternateContent>
        <mc:AlternateContent xmlns:mc="http://schemas.openxmlformats.org/markup-compatibility/2006">
          <mc:Choice Requires="x14">
            <control shapeId="11267" r:id="rId6" name="Check Box 3">
              <controlPr locked="0" defaultSize="0" autoFill="0" autoLine="0" autoPict="0">
                <anchor moveWithCells="1">
                  <from>
                    <xdr:col>13</xdr:col>
                    <xdr:colOff>219075</xdr:colOff>
                    <xdr:row>39</xdr:row>
                    <xdr:rowOff>9525</xdr:rowOff>
                  </from>
                  <to>
                    <xdr:col>15</xdr:col>
                    <xdr:colOff>0</xdr:colOff>
                    <xdr:row>40</xdr:row>
                    <xdr:rowOff>38100</xdr:rowOff>
                  </to>
                </anchor>
              </controlPr>
            </control>
          </mc:Choice>
        </mc:AlternateContent>
        <mc:AlternateContent xmlns:mc="http://schemas.openxmlformats.org/markup-compatibility/2006">
          <mc:Choice Requires="x14">
            <control shapeId="11268" r:id="rId7" name="Check Box 4">
              <controlPr locked="0" defaultSize="0" autoFill="0" autoLine="0" autoPict="0">
                <anchor moveWithCells="1">
                  <from>
                    <xdr:col>30</xdr:col>
                    <xdr:colOff>0</xdr:colOff>
                    <xdr:row>33</xdr:row>
                    <xdr:rowOff>0</xdr:rowOff>
                  </from>
                  <to>
                    <xdr:col>31</xdr:col>
                    <xdr:colOff>0</xdr:colOff>
                    <xdr:row>34</xdr:row>
                    <xdr:rowOff>0</xdr:rowOff>
                  </to>
                </anchor>
              </controlPr>
            </control>
          </mc:Choice>
        </mc:AlternateContent>
        <mc:AlternateContent xmlns:mc="http://schemas.openxmlformats.org/markup-compatibility/2006">
          <mc:Choice Requires="x14">
            <control shapeId="11269" r:id="rId8" name="Check Box 5">
              <controlPr locked="0" defaultSize="0" autoFill="0" autoLine="0" autoPict="0">
                <anchor moveWithCells="1">
                  <from>
                    <xdr:col>29</xdr:col>
                    <xdr:colOff>219075</xdr:colOff>
                    <xdr:row>34</xdr:row>
                    <xdr:rowOff>0</xdr:rowOff>
                  </from>
                  <to>
                    <xdr:col>31</xdr:col>
                    <xdr:colOff>0</xdr:colOff>
                    <xdr:row>35</xdr:row>
                    <xdr:rowOff>9525</xdr:rowOff>
                  </to>
                </anchor>
              </controlPr>
            </control>
          </mc:Choice>
        </mc:AlternateContent>
        <mc:AlternateContent xmlns:mc="http://schemas.openxmlformats.org/markup-compatibility/2006">
          <mc:Choice Requires="x14">
            <control shapeId="11270" r:id="rId9" name="Check Box 6">
              <controlPr locked="0" defaultSize="0" autoFill="0" autoLine="0" autoPict="0">
                <anchor moveWithCells="1">
                  <from>
                    <xdr:col>29</xdr:col>
                    <xdr:colOff>219075</xdr:colOff>
                    <xdr:row>35</xdr:row>
                    <xdr:rowOff>0</xdr:rowOff>
                  </from>
                  <to>
                    <xdr:col>31</xdr:col>
                    <xdr:colOff>0</xdr:colOff>
                    <xdr:row>36</xdr:row>
                    <xdr:rowOff>9525</xdr:rowOff>
                  </to>
                </anchor>
              </controlPr>
            </control>
          </mc:Choice>
        </mc:AlternateContent>
        <mc:AlternateContent xmlns:mc="http://schemas.openxmlformats.org/markup-compatibility/2006">
          <mc:Choice Requires="x14">
            <control shapeId="11271" r:id="rId10" name="Check Box 7">
              <controlPr locked="0" defaultSize="0" autoFill="0" autoLine="0" autoPict="0">
                <anchor moveWithCells="1">
                  <from>
                    <xdr:col>29</xdr:col>
                    <xdr:colOff>219075</xdr:colOff>
                    <xdr:row>36</xdr:row>
                    <xdr:rowOff>0</xdr:rowOff>
                  </from>
                  <to>
                    <xdr:col>31</xdr:col>
                    <xdr:colOff>0</xdr:colOff>
                    <xdr:row>37</xdr:row>
                    <xdr:rowOff>9525</xdr:rowOff>
                  </to>
                </anchor>
              </controlPr>
            </control>
          </mc:Choice>
        </mc:AlternateContent>
        <mc:AlternateContent xmlns:mc="http://schemas.openxmlformats.org/markup-compatibility/2006">
          <mc:Choice Requires="x14">
            <control shapeId="11272" r:id="rId11" name="Check Box 8">
              <controlPr locked="0" defaultSize="0" autoFill="0" autoLine="0" autoPict="0">
                <anchor moveWithCells="1">
                  <from>
                    <xdr:col>30</xdr:col>
                    <xdr:colOff>0</xdr:colOff>
                    <xdr:row>37</xdr:row>
                    <xdr:rowOff>0</xdr:rowOff>
                  </from>
                  <to>
                    <xdr:col>30</xdr:col>
                    <xdr:colOff>209550</xdr:colOff>
                    <xdr:row>38</xdr:row>
                    <xdr:rowOff>9525</xdr:rowOff>
                  </to>
                </anchor>
              </controlPr>
            </control>
          </mc:Choice>
        </mc:AlternateContent>
        <mc:AlternateContent xmlns:mc="http://schemas.openxmlformats.org/markup-compatibility/2006">
          <mc:Choice Requires="x14">
            <control shapeId="11273" r:id="rId12" name="Check Box 9">
              <controlPr locked="0" defaultSize="0" autoFill="0" autoLine="0" autoPict="0">
                <anchor moveWithCells="1">
                  <from>
                    <xdr:col>29</xdr:col>
                    <xdr:colOff>219075</xdr:colOff>
                    <xdr:row>37</xdr:row>
                    <xdr:rowOff>152400</xdr:rowOff>
                  </from>
                  <to>
                    <xdr:col>31</xdr:col>
                    <xdr:colOff>0</xdr:colOff>
                    <xdr:row>39</xdr:row>
                    <xdr:rowOff>0</xdr:rowOff>
                  </to>
                </anchor>
              </controlPr>
            </control>
          </mc:Choice>
        </mc:AlternateContent>
        <mc:AlternateContent xmlns:mc="http://schemas.openxmlformats.org/markup-compatibility/2006">
          <mc:Choice Requires="x14">
            <control shapeId="11274" r:id="rId13" name="Check Box 10">
              <controlPr defaultSize="0" autoFill="0" autoLine="0" autoPict="0">
                <anchor moveWithCells="1">
                  <from>
                    <xdr:col>30</xdr:col>
                    <xdr:colOff>0</xdr:colOff>
                    <xdr:row>31</xdr:row>
                    <xdr:rowOff>180975</xdr:rowOff>
                  </from>
                  <to>
                    <xdr:col>31</xdr:col>
                    <xdr:colOff>0</xdr:colOff>
                    <xdr:row>33</xdr:row>
                    <xdr:rowOff>9525</xdr:rowOff>
                  </to>
                </anchor>
              </controlPr>
            </control>
          </mc:Choice>
        </mc:AlternateContent>
        <mc:AlternateContent xmlns:mc="http://schemas.openxmlformats.org/markup-compatibility/2006">
          <mc:Choice Requires="x14">
            <control shapeId="11275" r:id="rId14" name="Check Box 11">
              <controlPr locked="0" defaultSize="0" autoFill="0" autoLine="0" autoPict="0">
                <anchor moveWithCells="1">
                  <from>
                    <xdr:col>39</xdr:col>
                    <xdr:colOff>0</xdr:colOff>
                    <xdr:row>32</xdr:row>
                    <xdr:rowOff>0</xdr:rowOff>
                  </from>
                  <to>
                    <xdr:col>40</xdr:col>
                    <xdr:colOff>0</xdr:colOff>
                    <xdr:row>33</xdr:row>
                    <xdr:rowOff>0</xdr:rowOff>
                  </to>
                </anchor>
              </controlPr>
            </control>
          </mc:Choice>
        </mc:AlternateContent>
        <mc:AlternateContent xmlns:mc="http://schemas.openxmlformats.org/markup-compatibility/2006">
          <mc:Choice Requires="x14">
            <control shapeId="11276" r:id="rId15" name="Check Box 12">
              <controlPr locked="0" defaultSize="0" autoFill="0" autoLine="0" autoPict="0">
                <anchor moveWithCells="1">
                  <from>
                    <xdr:col>42</xdr:col>
                    <xdr:colOff>0</xdr:colOff>
                    <xdr:row>4</xdr:row>
                    <xdr:rowOff>0</xdr:rowOff>
                  </from>
                  <to>
                    <xdr:col>43</xdr:col>
                    <xdr:colOff>0</xdr:colOff>
                    <xdr:row>5</xdr:row>
                    <xdr:rowOff>9525</xdr:rowOff>
                  </to>
                </anchor>
              </controlPr>
            </control>
          </mc:Choice>
        </mc:AlternateContent>
        <mc:AlternateContent xmlns:mc="http://schemas.openxmlformats.org/markup-compatibility/2006">
          <mc:Choice Requires="x14">
            <control shapeId="11277" r:id="rId16" name="Check Box 13">
              <controlPr locked="0" defaultSize="0" autoFill="0" autoLine="0" autoPict="0">
                <anchor moveWithCells="1">
                  <from>
                    <xdr:col>42</xdr:col>
                    <xdr:colOff>0</xdr:colOff>
                    <xdr:row>5</xdr:row>
                    <xdr:rowOff>0</xdr:rowOff>
                  </from>
                  <to>
                    <xdr:col>43</xdr:col>
                    <xdr:colOff>0</xdr:colOff>
                    <xdr:row>6</xdr:row>
                    <xdr:rowOff>19050</xdr:rowOff>
                  </to>
                </anchor>
              </controlPr>
            </control>
          </mc:Choice>
        </mc:AlternateContent>
        <mc:AlternateContent xmlns:mc="http://schemas.openxmlformats.org/markup-compatibility/2006">
          <mc:Choice Requires="x14">
            <control shapeId="11278" r:id="rId17" name="Check Box 14">
              <controlPr locked="0" defaultSize="0" autoFill="0" autoLine="0" autoPict="0">
                <anchor moveWithCells="1">
                  <from>
                    <xdr:col>4</xdr:col>
                    <xdr:colOff>0</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1279" r:id="rId18" name="Check Box 15">
              <controlPr locked="0" defaultSize="0" autoFill="0" autoLine="0" autoPict="0">
                <anchor moveWithCells="1">
                  <from>
                    <xdr:col>4</xdr:col>
                    <xdr:colOff>0</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1280" r:id="rId19" name="Check Box 16">
              <controlPr locked="0" defaultSize="0" autoFill="0" autoLine="0" autoPict="0">
                <anchor moveWithCells="1">
                  <from>
                    <xdr:col>4</xdr:col>
                    <xdr:colOff>0</xdr:colOff>
                    <xdr:row>5</xdr:row>
                    <xdr:rowOff>0</xdr:rowOff>
                  </from>
                  <to>
                    <xdr:col>5</xdr:col>
                    <xdr:colOff>0</xdr:colOff>
                    <xdr:row>6</xdr:row>
                    <xdr:rowOff>19050</xdr:rowOff>
                  </to>
                </anchor>
              </controlPr>
            </control>
          </mc:Choice>
        </mc:AlternateContent>
        <mc:AlternateContent xmlns:mc="http://schemas.openxmlformats.org/markup-compatibility/2006">
          <mc:Choice Requires="x14">
            <control shapeId="11281" r:id="rId20" name="Check Box 17">
              <controlPr locked="0" defaultSize="0" autoFill="0" autoLine="0" autoPict="0">
                <anchor moveWithCells="1">
                  <from>
                    <xdr:col>4</xdr:col>
                    <xdr:colOff>0</xdr:colOff>
                    <xdr:row>6</xdr:row>
                    <xdr:rowOff>9525</xdr:rowOff>
                  </from>
                  <to>
                    <xdr:col>5</xdr:col>
                    <xdr:colOff>0</xdr:colOff>
                    <xdr:row>7</xdr:row>
                    <xdr:rowOff>38100</xdr:rowOff>
                  </to>
                </anchor>
              </controlPr>
            </control>
          </mc:Choice>
        </mc:AlternateContent>
        <mc:AlternateContent xmlns:mc="http://schemas.openxmlformats.org/markup-compatibility/2006">
          <mc:Choice Requires="x14">
            <control shapeId="11282" r:id="rId21" name="Check Box 18">
              <controlPr locked="0" defaultSize="0" autoFill="0" autoLine="0" autoPict="0">
                <anchor moveWithCells="1">
                  <from>
                    <xdr:col>6</xdr:col>
                    <xdr:colOff>9525</xdr:colOff>
                    <xdr:row>43</xdr:row>
                    <xdr:rowOff>114300</xdr:rowOff>
                  </from>
                  <to>
                    <xdr:col>7</xdr:col>
                    <xdr:colOff>38100</xdr:colOff>
                    <xdr:row>44</xdr:row>
                    <xdr:rowOff>114300</xdr:rowOff>
                  </to>
                </anchor>
              </controlPr>
            </control>
          </mc:Choice>
        </mc:AlternateContent>
        <mc:AlternateContent xmlns:mc="http://schemas.openxmlformats.org/markup-compatibility/2006">
          <mc:Choice Requires="x14">
            <control shapeId="11283" r:id="rId22" name="Check Box 19">
              <controlPr locked="0" defaultSize="0" autoFill="0" autoLine="0" autoPict="0">
                <anchor moveWithCells="1">
                  <from>
                    <xdr:col>11</xdr:col>
                    <xdr:colOff>152400</xdr:colOff>
                    <xdr:row>43</xdr:row>
                    <xdr:rowOff>114300</xdr:rowOff>
                  </from>
                  <to>
                    <xdr:col>12</xdr:col>
                    <xdr:colOff>152400</xdr:colOff>
                    <xdr:row>44</xdr:row>
                    <xdr:rowOff>104775</xdr:rowOff>
                  </to>
                </anchor>
              </controlPr>
            </control>
          </mc:Choice>
        </mc:AlternateContent>
        <mc:AlternateContent xmlns:mc="http://schemas.openxmlformats.org/markup-compatibility/2006">
          <mc:Choice Requires="x14">
            <control shapeId="11284" r:id="rId23" name="Check Box 20">
              <controlPr locked="0" defaultSize="0" autoFill="0" autoLine="0" autoPict="0">
                <anchor moveWithCells="1">
                  <from>
                    <xdr:col>7</xdr:col>
                    <xdr:colOff>171450</xdr:colOff>
                    <xdr:row>52</xdr:row>
                    <xdr:rowOff>85725</xdr:rowOff>
                  </from>
                  <to>
                    <xdr:col>8</xdr:col>
                    <xdr:colOff>171450</xdr:colOff>
                    <xdr:row>53</xdr:row>
                    <xdr:rowOff>85725</xdr:rowOff>
                  </to>
                </anchor>
              </controlPr>
            </control>
          </mc:Choice>
        </mc:AlternateContent>
        <mc:AlternateContent xmlns:mc="http://schemas.openxmlformats.org/markup-compatibility/2006">
          <mc:Choice Requires="x14">
            <control shapeId="11285" r:id="rId24" name="Check Box 21">
              <controlPr locked="0" defaultSize="0" autoFill="0" autoLine="0" autoPict="0">
                <anchor moveWithCells="1">
                  <from>
                    <xdr:col>9</xdr:col>
                    <xdr:colOff>219075</xdr:colOff>
                    <xdr:row>52</xdr:row>
                    <xdr:rowOff>85725</xdr:rowOff>
                  </from>
                  <to>
                    <xdr:col>11</xdr:col>
                    <xdr:colOff>0</xdr:colOff>
                    <xdr:row>53</xdr:row>
                    <xdr:rowOff>85725</xdr:rowOff>
                  </to>
                </anchor>
              </controlPr>
            </control>
          </mc:Choice>
        </mc:AlternateContent>
        <mc:AlternateContent xmlns:mc="http://schemas.openxmlformats.org/markup-compatibility/2006">
          <mc:Choice Requires="x14">
            <control shapeId="11286" r:id="rId25" name="Check Box 22">
              <controlPr locked="0" defaultSize="0" autoFill="0" autoLine="0" autoPict="0">
                <anchor moveWithCells="1">
                  <from>
                    <xdr:col>30</xdr:col>
                    <xdr:colOff>0</xdr:colOff>
                    <xdr:row>54</xdr:row>
                    <xdr:rowOff>142875</xdr:rowOff>
                  </from>
                  <to>
                    <xdr:col>31</xdr:col>
                    <xdr:colOff>0</xdr:colOff>
                    <xdr:row>55</xdr:row>
                    <xdr:rowOff>142875</xdr:rowOff>
                  </to>
                </anchor>
              </controlPr>
            </control>
          </mc:Choice>
        </mc:AlternateContent>
        <mc:AlternateContent xmlns:mc="http://schemas.openxmlformats.org/markup-compatibility/2006">
          <mc:Choice Requires="x14">
            <control shapeId="11287" r:id="rId26" name="Check Box 23">
              <controlPr locked="0" defaultSize="0" autoFill="0" autoLine="0" autoPict="0">
                <anchor moveWithCells="1">
                  <from>
                    <xdr:col>37</xdr:col>
                    <xdr:colOff>219075</xdr:colOff>
                    <xdr:row>55</xdr:row>
                    <xdr:rowOff>0</xdr:rowOff>
                  </from>
                  <to>
                    <xdr:col>39</xdr:col>
                    <xdr:colOff>0</xdr:colOff>
                    <xdr:row>56</xdr:row>
                    <xdr:rowOff>0</xdr:rowOff>
                  </to>
                </anchor>
              </controlPr>
            </control>
          </mc:Choice>
        </mc:AlternateContent>
        <mc:AlternateContent xmlns:mc="http://schemas.openxmlformats.org/markup-compatibility/2006">
          <mc:Choice Requires="x14">
            <control shapeId="11288" r:id="rId27" name="Check Box 24">
              <controlPr locked="0" defaultSize="0" autoFill="0" autoLine="0" autoPict="0">
                <anchor moveWithCells="1">
                  <from>
                    <xdr:col>30</xdr:col>
                    <xdr:colOff>9525</xdr:colOff>
                    <xdr:row>62</xdr:row>
                    <xdr:rowOff>0</xdr:rowOff>
                  </from>
                  <to>
                    <xdr:col>31</xdr:col>
                    <xdr:colOff>9525</xdr:colOff>
                    <xdr:row>63</xdr:row>
                    <xdr:rowOff>9525</xdr:rowOff>
                  </to>
                </anchor>
              </controlPr>
            </control>
          </mc:Choice>
        </mc:AlternateContent>
        <mc:AlternateContent xmlns:mc="http://schemas.openxmlformats.org/markup-compatibility/2006">
          <mc:Choice Requires="x14">
            <control shapeId="11289" r:id="rId28" name="Check Box 25">
              <controlPr locked="0" defaultSize="0" autoFill="0" autoLine="0" autoPict="0">
                <anchor moveWithCells="1">
                  <from>
                    <xdr:col>33</xdr:col>
                    <xdr:colOff>180975</xdr:colOff>
                    <xdr:row>62</xdr:row>
                    <xdr:rowOff>0</xdr:rowOff>
                  </from>
                  <to>
                    <xdr:col>34</xdr:col>
                    <xdr:colOff>190500</xdr:colOff>
                    <xdr:row>63</xdr:row>
                    <xdr:rowOff>9525</xdr:rowOff>
                  </to>
                </anchor>
              </controlPr>
            </control>
          </mc:Choice>
        </mc:AlternateContent>
        <mc:AlternateContent xmlns:mc="http://schemas.openxmlformats.org/markup-compatibility/2006">
          <mc:Choice Requires="x14">
            <control shapeId="11290" r:id="rId29" name="Check Box 26">
              <controlPr locked="0" defaultSize="0" autoFill="0" autoLine="0" autoPict="0">
                <anchor moveWithCells="1">
                  <from>
                    <xdr:col>37</xdr:col>
                    <xdr:colOff>104775</xdr:colOff>
                    <xdr:row>62</xdr:row>
                    <xdr:rowOff>0</xdr:rowOff>
                  </from>
                  <to>
                    <xdr:col>38</xdr:col>
                    <xdr:colOff>104775</xdr:colOff>
                    <xdr:row>63</xdr:row>
                    <xdr:rowOff>19050</xdr:rowOff>
                  </to>
                </anchor>
              </controlPr>
            </control>
          </mc:Choice>
        </mc:AlternateContent>
        <mc:AlternateContent xmlns:mc="http://schemas.openxmlformats.org/markup-compatibility/2006">
          <mc:Choice Requires="x14">
            <control shapeId="11291" r:id="rId30" name="Check Box 27">
              <controlPr locked="0" defaultSize="0" autoFill="0" autoLine="0" autoPict="0">
                <anchor moveWithCells="1">
                  <from>
                    <xdr:col>41</xdr:col>
                    <xdr:colOff>57150</xdr:colOff>
                    <xdr:row>62</xdr:row>
                    <xdr:rowOff>0</xdr:rowOff>
                  </from>
                  <to>
                    <xdr:col>42</xdr:col>
                    <xdr:colOff>57150</xdr:colOff>
                    <xdr:row>63</xdr:row>
                    <xdr:rowOff>9525</xdr:rowOff>
                  </to>
                </anchor>
              </controlPr>
            </control>
          </mc:Choice>
        </mc:AlternateContent>
        <mc:AlternateContent xmlns:mc="http://schemas.openxmlformats.org/markup-compatibility/2006">
          <mc:Choice Requires="x14">
            <control shapeId="11292" r:id="rId31" name="Check Box 28">
              <controlPr locked="0" defaultSize="0" autoFill="0" autoLine="0" autoPict="0">
                <anchor moveWithCells="1">
                  <from>
                    <xdr:col>39</xdr:col>
                    <xdr:colOff>0</xdr:colOff>
                    <xdr:row>83</xdr:row>
                    <xdr:rowOff>0</xdr:rowOff>
                  </from>
                  <to>
                    <xdr:col>40</xdr:col>
                    <xdr:colOff>0</xdr:colOff>
                    <xdr:row>84</xdr:row>
                    <xdr:rowOff>0</xdr:rowOff>
                  </to>
                </anchor>
              </controlPr>
            </control>
          </mc:Choice>
        </mc:AlternateContent>
        <mc:AlternateContent xmlns:mc="http://schemas.openxmlformats.org/markup-compatibility/2006">
          <mc:Choice Requires="x14">
            <control shapeId="11293" r:id="rId32" name="Check Box 29">
              <controlPr locked="0" defaultSize="0" autoFill="0" autoLine="0" autoPict="0">
                <anchor moveWithCells="1">
                  <from>
                    <xdr:col>39</xdr:col>
                    <xdr:colOff>0</xdr:colOff>
                    <xdr:row>84</xdr:row>
                    <xdr:rowOff>0</xdr:rowOff>
                  </from>
                  <to>
                    <xdr:col>40</xdr:col>
                    <xdr:colOff>0</xdr:colOff>
                    <xdr:row>85</xdr:row>
                    <xdr:rowOff>0</xdr:rowOff>
                  </to>
                </anchor>
              </controlPr>
            </control>
          </mc:Choice>
        </mc:AlternateContent>
        <mc:AlternateContent xmlns:mc="http://schemas.openxmlformats.org/markup-compatibility/2006">
          <mc:Choice Requires="x14">
            <control shapeId="11294" r:id="rId33" name="Check Box 30">
              <controlPr locked="0" defaultSize="0" autoFill="0" autoLine="0" autoPict="0">
                <anchor moveWithCells="1">
                  <from>
                    <xdr:col>3</xdr:col>
                    <xdr:colOff>85725</xdr:colOff>
                    <xdr:row>58</xdr:row>
                    <xdr:rowOff>142875</xdr:rowOff>
                  </from>
                  <to>
                    <xdr:col>5</xdr:col>
                    <xdr:colOff>0</xdr:colOff>
                    <xdr:row>60</xdr:row>
                    <xdr:rowOff>0</xdr:rowOff>
                  </to>
                </anchor>
              </controlPr>
            </control>
          </mc:Choice>
        </mc:AlternateContent>
        <mc:AlternateContent xmlns:mc="http://schemas.openxmlformats.org/markup-compatibility/2006">
          <mc:Choice Requires="x14">
            <control shapeId="11295" r:id="rId34" name="Check Box 31">
              <controlPr locked="0" defaultSize="0" autoFill="0" autoLine="0" autoPict="0">
                <anchor moveWithCells="1">
                  <from>
                    <xdr:col>10</xdr:col>
                    <xdr:colOff>0</xdr:colOff>
                    <xdr:row>58</xdr:row>
                    <xdr:rowOff>142875</xdr:rowOff>
                  </from>
                  <to>
                    <xdr:col>11</xdr:col>
                    <xdr:colOff>0</xdr:colOff>
                    <xdr:row>60</xdr:row>
                    <xdr:rowOff>0</xdr:rowOff>
                  </to>
                </anchor>
              </controlPr>
            </control>
          </mc:Choice>
        </mc:AlternateContent>
        <mc:AlternateContent xmlns:mc="http://schemas.openxmlformats.org/markup-compatibility/2006">
          <mc:Choice Requires="x14">
            <control shapeId="11296" r:id="rId35" name="Check Box 32">
              <controlPr locked="0" defaultSize="0" autoFill="0" autoLine="0" autoPict="0">
                <anchor moveWithCells="1">
                  <from>
                    <xdr:col>4</xdr:col>
                    <xdr:colOff>0</xdr:colOff>
                    <xdr:row>70</xdr:row>
                    <xdr:rowOff>9525</xdr:rowOff>
                  </from>
                  <to>
                    <xdr:col>5</xdr:col>
                    <xdr:colOff>0</xdr:colOff>
                    <xdr:row>71</xdr:row>
                    <xdr:rowOff>9525</xdr:rowOff>
                  </to>
                </anchor>
              </controlPr>
            </control>
          </mc:Choice>
        </mc:AlternateContent>
        <mc:AlternateContent xmlns:mc="http://schemas.openxmlformats.org/markup-compatibility/2006">
          <mc:Choice Requires="x14">
            <control shapeId="11297" r:id="rId36" name="Check Box 33">
              <controlPr locked="0" defaultSize="0" autoFill="0" autoLine="0" autoPict="0">
                <anchor moveWithCells="1">
                  <from>
                    <xdr:col>10</xdr:col>
                    <xdr:colOff>0</xdr:colOff>
                    <xdr:row>70</xdr:row>
                    <xdr:rowOff>0</xdr:rowOff>
                  </from>
                  <to>
                    <xdr:col>11</xdr:col>
                    <xdr:colOff>0</xdr:colOff>
                    <xdr:row>71</xdr:row>
                    <xdr:rowOff>0</xdr:rowOff>
                  </to>
                </anchor>
              </controlPr>
            </control>
          </mc:Choice>
        </mc:AlternateContent>
        <mc:AlternateContent xmlns:mc="http://schemas.openxmlformats.org/markup-compatibility/2006">
          <mc:Choice Requires="x14">
            <control shapeId="11298" r:id="rId37" name="Check Box 34">
              <controlPr locked="0" defaultSize="0" autoFill="0" autoLine="0" autoPict="0">
                <anchor moveWithCells="1">
                  <from>
                    <xdr:col>16</xdr:col>
                    <xdr:colOff>0</xdr:colOff>
                    <xdr:row>70</xdr:row>
                    <xdr:rowOff>9525</xdr:rowOff>
                  </from>
                  <to>
                    <xdr:col>17</xdr:col>
                    <xdr:colOff>0</xdr:colOff>
                    <xdr:row>71</xdr:row>
                    <xdr:rowOff>9525</xdr:rowOff>
                  </to>
                </anchor>
              </controlPr>
            </control>
          </mc:Choice>
        </mc:AlternateContent>
        <mc:AlternateContent xmlns:mc="http://schemas.openxmlformats.org/markup-compatibility/2006">
          <mc:Choice Requires="x14">
            <control shapeId="11299" r:id="rId38" name="Check Box 35">
              <controlPr locked="0" defaultSize="0" autoFill="0" autoLine="0" autoPict="0">
                <anchor moveWithCells="1">
                  <from>
                    <xdr:col>22</xdr:col>
                    <xdr:colOff>0</xdr:colOff>
                    <xdr:row>70</xdr:row>
                    <xdr:rowOff>9525</xdr:rowOff>
                  </from>
                  <to>
                    <xdr:col>23</xdr:col>
                    <xdr:colOff>0</xdr:colOff>
                    <xdr:row>71</xdr:row>
                    <xdr:rowOff>9525</xdr:rowOff>
                  </to>
                </anchor>
              </controlPr>
            </control>
          </mc:Choice>
        </mc:AlternateContent>
        <mc:AlternateContent xmlns:mc="http://schemas.openxmlformats.org/markup-compatibility/2006">
          <mc:Choice Requires="x14">
            <control shapeId="11300" r:id="rId39" name="Check Box 36">
              <controlPr locked="0"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1301" r:id="rId40" name="Check Box 37">
              <controlPr locked="0" defaultSize="0" autoFill="0" autoLine="0" autoPict="0">
                <anchor moveWithCells="1">
                  <from>
                    <xdr:col>13</xdr:col>
                    <xdr:colOff>0</xdr:colOff>
                    <xdr:row>83</xdr:row>
                    <xdr:rowOff>0</xdr:rowOff>
                  </from>
                  <to>
                    <xdr:col>14</xdr:col>
                    <xdr:colOff>0</xdr:colOff>
                    <xdr:row>84</xdr:row>
                    <xdr:rowOff>0</xdr:rowOff>
                  </to>
                </anchor>
              </controlPr>
            </control>
          </mc:Choice>
        </mc:AlternateContent>
        <mc:AlternateContent xmlns:mc="http://schemas.openxmlformats.org/markup-compatibility/2006">
          <mc:Choice Requires="x14">
            <control shapeId="11302" r:id="rId41" name="Check Box 38">
              <controlPr locked="0" defaultSize="0" autoFill="0" autoLine="0" autoPict="0">
                <anchor moveWithCells="1">
                  <from>
                    <xdr:col>20</xdr:col>
                    <xdr:colOff>0</xdr:colOff>
                    <xdr:row>83</xdr:row>
                    <xdr:rowOff>0</xdr:rowOff>
                  </from>
                  <to>
                    <xdr:col>21</xdr:col>
                    <xdr:colOff>0</xdr:colOff>
                    <xdr:row>84</xdr:row>
                    <xdr:rowOff>0</xdr:rowOff>
                  </to>
                </anchor>
              </controlPr>
            </control>
          </mc:Choice>
        </mc:AlternateContent>
        <mc:AlternateContent xmlns:mc="http://schemas.openxmlformats.org/markup-compatibility/2006">
          <mc:Choice Requires="x14">
            <control shapeId="11303" r:id="rId42" name="Check Box 39">
              <controlPr locked="0" defaultSize="0" autoFill="0" autoLine="0" autoPict="0">
                <anchor moveWithCells="1">
                  <from>
                    <xdr:col>20</xdr:col>
                    <xdr:colOff>0</xdr:colOff>
                    <xdr:row>89</xdr:row>
                    <xdr:rowOff>0</xdr:rowOff>
                  </from>
                  <to>
                    <xdr:col>21</xdr:col>
                    <xdr:colOff>0</xdr:colOff>
                    <xdr:row>90</xdr:row>
                    <xdr:rowOff>0</xdr:rowOff>
                  </to>
                </anchor>
              </controlPr>
            </control>
          </mc:Choice>
        </mc:AlternateContent>
        <mc:AlternateContent xmlns:mc="http://schemas.openxmlformats.org/markup-compatibility/2006">
          <mc:Choice Requires="x14">
            <control shapeId="11304" r:id="rId43" name="Check Box 40">
              <controlPr locked="0" defaultSize="0" autoFill="0" autoLine="0" autoPict="0">
                <anchor moveWithCells="1">
                  <from>
                    <xdr:col>19</xdr:col>
                    <xdr:colOff>219075</xdr:colOff>
                    <xdr:row>95</xdr:row>
                    <xdr:rowOff>0</xdr:rowOff>
                  </from>
                  <to>
                    <xdr:col>21</xdr:col>
                    <xdr:colOff>0</xdr:colOff>
                    <xdr:row>96</xdr:row>
                    <xdr:rowOff>0</xdr:rowOff>
                  </to>
                </anchor>
              </controlPr>
            </control>
          </mc:Choice>
        </mc:AlternateContent>
        <mc:AlternateContent xmlns:mc="http://schemas.openxmlformats.org/markup-compatibility/2006">
          <mc:Choice Requires="x14">
            <control shapeId="11305" r:id="rId44" name="Check Box 41">
              <controlPr locked="0" defaultSize="0" autoFill="0" autoLine="0" autoPict="0">
                <anchor moveWithCells="1">
                  <from>
                    <xdr:col>6</xdr:col>
                    <xdr:colOff>0</xdr:colOff>
                    <xdr:row>94</xdr:row>
                    <xdr:rowOff>0</xdr:rowOff>
                  </from>
                  <to>
                    <xdr:col>7</xdr:col>
                    <xdr:colOff>0</xdr:colOff>
                    <xdr:row>94</xdr:row>
                    <xdr:rowOff>142875</xdr:rowOff>
                  </to>
                </anchor>
              </controlPr>
            </control>
          </mc:Choice>
        </mc:AlternateContent>
        <mc:AlternateContent xmlns:mc="http://schemas.openxmlformats.org/markup-compatibility/2006">
          <mc:Choice Requires="x14">
            <control shapeId="11306" r:id="rId45" name="Check Box 42">
              <controlPr locked="0" defaultSize="0" autoFill="0" autoLine="0" autoPict="0">
                <anchor moveWithCells="1">
                  <from>
                    <xdr:col>13</xdr:col>
                    <xdr:colOff>0</xdr:colOff>
                    <xdr:row>94</xdr:row>
                    <xdr:rowOff>19050</xdr:rowOff>
                  </from>
                  <to>
                    <xdr:col>14</xdr:col>
                    <xdr:colOff>0</xdr:colOff>
                    <xdr:row>95</xdr:row>
                    <xdr:rowOff>0</xdr:rowOff>
                  </to>
                </anchor>
              </controlPr>
            </control>
          </mc:Choice>
        </mc:AlternateContent>
        <mc:AlternateContent xmlns:mc="http://schemas.openxmlformats.org/markup-compatibility/2006">
          <mc:Choice Requires="x14">
            <control shapeId="11307" r:id="rId46" name="Check Box 43">
              <controlPr locked="0" defaultSize="0" autoFill="0" autoLine="0" autoPict="0">
                <anchor moveWithCells="1">
                  <from>
                    <xdr:col>15</xdr:col>
                    <xdr:colOff>190500</xdr:colOff>
                    <xdr:row>72</xdr:row>
                    <xdr:rowOff>152400</xdr:rowOff>
                  </from>
                  <to>
                    <xdr:col>16</xdr:col>
                    <xdr:colOff>190500</xdr:colOff>
                    <xdr:row>74</xdr:row>
                    <xdr:rowOff>0</xdr:rowOff>
                  </to>
                </anchor>
              </controlPr>
            </control>
          </mc:Choice>
        </mc:AlternateContent>
        <mc:AlternateContent xmlns:mc="http://schemas.openxmlformats.org/markup-compatibility/2006">
          <mc:Choice Requires="x14">
            <control shapeId="11308" r:id="rId47" name="Check Box 44">
              <controlPr locked="0" defaultSize="0" autoFill="0" autoLine="0" autoPict="0">
                <anchor moveWithCells="1">
                  <from>
                    <xdr:col>13</xdr:col>
                    <xdr:colOff>104775</xdr:colOff>
                    <xdr:row>80</xdr:row>
                    <xdr:rowOff>152400</xdr:rowOff>
                  </from>
                  <to>
                    <xdr:col>14</xdr:col>
                    <xdr:colOff>104775</xdr:colOff>
                    <xdr:row>82</xdr:row>
                    <xdr:rowOff>0</xdr:rowOff>
                  </to>
                </anchor>
              </controlPr>
            </control>
          </mc:Choice>
        </mc:AlternateContent>
        <mc:AlternateContent xmlns:mc="http://schemas.openxmlformats.org/markup-compatibility/2006">
          <mc:Choice Requires="x14">
            <control shapeId="11309" r:id="rId48" name="Check Box 45">
              <controlPr locked="0" defaultSize="0" autoFill="0" autoLine="0" autoPict="0">
                <anchor moveWithCells="1">
                  <from>
                    <xdr:col>23</xdr:col>
                    <xdr:colOff>0</xdr:colOff>
                    <xdr:row>48</xdr:row>
                    <xdr:rowOff>0</xdr:rowOff>
                  </from>
                  <to>
                    <xdr:col>24</xdr:col>
                    <xdr:colOff>0</xdr:colOff>
                    <xdr:row>49</xdr:row>
                    <xdr:rowOff>38100</xdr:rowOff>
                  </to>
                </anchor>
              </controlPr>
            </control>
          </mc:Choice>
        </mc:AlternateContent>
        <mc:AlternateContent xmlns:mc="http://schemas.openxmlformats.org/markup-compatibility/2006">
          <mc:Choice Requires="x14">
            <control shapeId="11310" r:id="rId49" name="Check Box 46">
              <controlPr locked="0" defaultSize="0" autoFill="0" autoLine="0" autoPict="0">
                <anchor moveWithCells="1">
                  <from>
                    <xdr:col>23</xdr:col>
                    <xdr:colOff>0</xdr:colOff>
                    <xdr:row>55</xdr:row>
                    <xdr:rowOff>0</xdr:rowOff>
                  </from>
                  <to>
                    <xdr:col>24</xdr:col>
                    <xdr:colOff>0</xdr:colOff>
                    <xdr:row>56</xdr:row>
                    <xdr:rowOff>38100</xdr:rowOff>
                  </to>
                </anchor>
              </controlPr>
            </control>
          </mc:Choice>
        </mc:AlternateContent>
        <mc:AlternateContent xmlns:mc="http://schemas.openxmlformats.org/markup-compatibility/2006">
          <mc:Choice Requires="x14">
            <control shapeId="11311" r:id="rId50" name="Check Box 47">
              <controlPr locked="0" defaultSize="0" autoFill="0" autoLine="0" autoPict="0">
                <anchor moveWithCells="1">
                  <from>
                    <xdr:col>39</xdr:col>
                    <xdr:colOff>0</xdr:colOff>
                    <xdr:row>33</xdr:row>
                    <xdr:rowOff>0</xdr:rowOff>
                  </from>
                  <to>
                    <xdr:col>40</xdr:col>
                    <xdr:colOff>0</xdr:colOff>
                    <xdr:row>34</xdr:row>
                    <xdr:rowOff>0</xdr:rowOff>
                  </to>
                </anchor>
              </controlPr>
            </control>
          </mc:Choice>
        </mc:AlternateContent>
        <mc:AlternateContent xmlns:mc="http://schemas.openxmlformats.org/markup-compatibility/2006">
          <mc:Choice Requires="x14">
            <control shapeId="11312" r:id="rId51" name="Check Box 48">
              <controlPr locked="0" defaultSize="0" autoFill="0" autoLine="0" autoPict="0">
                <anchor moveWithCells="1">
                  <from>
                    <xdr:col>30</xdr:col>
                    <xdr:colOff>0</xdr:colOff>
                    <xdr:row>42</xdr:row>
                    <xdr:rowOff>0</xdr:rowOff>
                  </from>
                  <to>
                    <xdr:col>31</xdr:col>
                    <xdr:colOff>0</xdr:colOff>
                    <xdr:row>43</xdr:row>
                    <xdr:rowOff>9525</xdr:rowOff>
                  </to>
                </anchor>
              </controlPr>
            </control>
          </mc:Choice>
        </mc:AlternateContent>
        <mc:AlternateContent xmlns:mc="http://schemas.openxmlformats.org/markup-compatibility/2006">
          <mc:Choice Requires="x14">
            <control shapeId="11313" r:id="rId52" name="Check Box 49">
              <controlPr locked="0" defaultSize="0" autoFill="0" autoLine="0" autoPict="0">
                <anchor moveWithCells="1">
                  <from>
                    <xdr:col>30</xdr:col>
                    <xdr:colOff>0</xdr:colOff>
                    <xdr:row>44</xdr:row>
                    <xdr:rowOff>0</xdr:rowOff>
                  </from>
                  <to>
                    <xdr:col>31</xdr:col>
                    <xdr:colOff>0</xdr:colOff>
                    <xdr:row>45</xdr:row>
                    <xdr:rowOff>9525</xdr:rowOff>
                  </to>
                </anchor>
              </controlPr>
            </control>
          </mc:Choice>
        </mc:AlternateContent>
        <mc:AlternateContent xmlns:mc="http://schemas.openxmlformats.org/markup-compatibility/2006">
          <mc:Choice Requires="x14">
            <control shapeId="11314" r:id="rId53" name="Check Box 50">
              <controlPr locked="0" defaultSize="0" autoFill="0" autoLine="0" autoPict="0">
                <anchor moveWithCells="1">
                  <from>
                    <xdr:col>29</xdr:col>
                    <xdr:colOff>219075</xdr:colOff>
                    <xdr:row>56</xdr:row>
                    <xdr:rowOff>19050</xdr:rowOff>
                  </from>
                  <to>
                    <xdr:col>31</xdr:col>
                    <xdr:colOff>0</xdr:colOff>
                    <xdr:row>57</xdr:row>
                    <xdr:rowOff>38100</xdr:rowOff>
                  </to>
                </anchor>
              </controlPr>
            </control>
          </mc:Choice>
        </mc:AlternateContent>
        <mc:AlternateContent xmlns:mc="http://schemas.openxmlformats.org/markup-compatibility/2006">
          <mc:Choice Requires="x14">
            <control shapeId="11315" r:id="rId54" name="Check Box 51">
              <controlPr locked="0" defaultSize="0" autoFill="0" autoLine="0" autoPict="0">
                <anchor moveWithCells="1">
                  <from>
                    <xdr:col>30</xdr:col>
                    <xdr:colOff>0</xdr:colOff>
                    <xdr:row>73</xdr:row>
                    <xdr:rowOff>0</xdr:rowOff>
                  </from>
                  <to>
                    <xdr:col>31</xdr:col>
                    <xdr:colOff>0</xdr:colOff>
                    <xdr:row>74</xdr:row>
                    <xdr:rowOff>9525</xdr:rowOff>
                  </to>
                </anchor>
              </controlPr>
            </control>
          </mc:Choice>
        </mc:AlternateContent>
        <mc:AlternateContent xmlns:mc="http://schemas.openxmlformats.org/markup-compatibility/2006">
          <mc:Choice Requires="x14">
            <control shapeId="11316" r:id="rId55" name="Check Box 52">
              <controlPr locked="0" defaultSize="0" autoFill="0" autoLine="0" autoPict="0">
                <anchor moveWithCells="1">
                  <from>
                    <xdr:col>39</xdr:col>
                    <xdr:colOff>0</xdr:colOff>
                    <xdr:row>33</xdr:row>
                    <xdr:rowOff>152400</xdr:rowOff>
                  </from>
                  <to>
                    <xdr:col>40</xdr:col>
                    <xdr:colOff>0</xdr:colOff>
                    <xdr:row>35</xdr:row>
                    <xdr:rowOff>0</xdr:rowOff>
                  </to>
                </anchor>
              </controlPr>
            </control>
          </mc:Choice>
        </mc:AlternateContent>
        <mc:AlternateContent xmlns:mc="http://schemas.openxmlformats.org/markup-compatibility/2006">
          <mc:Choice Requires="x14">
            <control shapeId="11317" r:id="rId56" name="Check Box 53">
              <controlPr locked="0" defaultSize="0" autoFill="0" autoLine="0" autoPict="0">
                <anchor moveWithCells="1">
                  <from>
                    <xdr:col>39</xdr:col>
                    <xdr:colOff>0</xdr:colOff>
                    <xdr:row>34</xdr:row>
                    <xdr:rowOff>142875</xdr:rowOff>
                  </from>
                  <to>
                    <xdr:col>40</xdr:col>
                    <xdr:colOff>0</xdr:colOff>
                    <xdr:row>36</xdr:row>
                    <xdr:rowOff>0</xdr:rowOff>
                  </to>
                </anchor>
              </controlPr>
            </control>
          </mc:Choice>
        </mc:AlternateContent>
        <mc:AlternateContent xmlns:mc="http://schemas.openxmlformats.org/markup-compatibility/2006">
          <mc:Choice Requires="x14">
            <control shapeId="11318" r:id="rId57" name="Check Box 54">
              <controlPr locked="0" defaultSize="0" autoFill="0" autoLine="0" autoPict="0">
                <anchor moveWithCells="1">
                  <from>
                    <xdr:col>39</xdr:col>
                    <xdr:colOff>0</xdr:colOff>
                    <xdr:row>35</xdr:row>
                    <xdr:rowOff>142875</xdr:rowOff>
                  </from>
                  <to>
                    <xdr:col>40</xdr:col>
                    <xdr:colOff>0</xdr:colOff>
                    <xdr:row>37</xdr:row>
                    <xdr:rowOff>0</xdr:rowOff>
                  </to>
                </anchor>
              </controlPr>
            </control>
          </mc:Choice>
        </mc:AlternateContent>
        <mc:AlternateContent xmlns:mc="http://schemas.openxmlformats.org/markup-compatibility/2006">
          <mc:Choice Requires="x14">
            <control shapeId="11319" r:id="rId58" name="Check Box 55">
              <controlPr locked="0" defaultSize="0" autoFill="0" autoLine="0" autoPict="0">
                <anchor moveWithCells="1">
                  <from>
                    <xdr:col>30</xdr:col>
                    <xdr:colOff>0</xdr:colOff>
                    <xdr:row>38</xdr:row>
                    <xdr:rowOff>142875</xdr:rowOff>
                  </from>
                  <to>
                    <xdr:col>31</xdr:col>
                    <xdr:colOff>0</xdr:colOff>
                    <xdr:row>40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72" id="{BC3C05D3-C68A-4C28-B8F6-CB97FA434D3B}">
            <xm:f>$A$9&lt;&gt;'Sprachen &amp; Rückgabewerte(3)'!$H$132</xm:f>
            <x14:dxf>
              <font>
                <color theme="0" tint="-0.14996795556505021"/>
              </font>
              <fill>
                <patternFill>
                  <bgColor theme="0" tint="-0.14996795556505021"/>
                </patternFill>
              </fill>
              <border>
                <left/>
                <right style="thin">
                  <color auto="1"/>
                </right>
                <top/>
                <bottom/>
                <vertical/>
                <horizontal/>
              </border>
            </x14:dxf>
          </x14:cfRule>
          <xm:sqref>A9:A11</xm:sqref>
        </x14:conditionalFormatting>
        <x14:conditionalFormatting xmlns:xm="http://schemas.microsoft.com/office/excel/2006/main">
          <x14:cfRule type="expression" priority="38" id="{55A7A32B-5AAF-4B9E-8E8F-EE6AB18E433C}">
            <xm:f>'Sprachen &amp; Rückgabewerte(3)'!$U$49=FALSE</xm:f>
            <x14:dxf>
              <border>
                <bottom style="thin">
                  <color rgb="FFFF0000"/>
                </bottom>
                <vertical/>
                <horizontal/>
              </border>
            </x14:dxf>
          </x14:cfRule>
          <x14:cfRule type="expression" priority="296" id="{8F9B9379-4E22-4862-B81E-4920444C252D}">
            <xm:f>'Sprachen &amp; Rückgabewerte(3)'!$I$12=FALSE</xm:f>
            <x14:dxf>
              <font>
                <color theme="0" tint="-0.14996795556505021"/>
              </font>
              <fill>
                <patternFill>
                  <bgColor theme="0" tint="-0.14996795556505021"/>
                </patternFill>
              </fill>
              <border>
                <left/>
                <right/>
                <bottom/>
                <vertical/>
                <horizontal/>
              </border>
            </x14:dxf>
          </x14:cfRule>
          <xm:sqref>E26:AR26</xm:sqref>
        </x14:conditionalFormatting>
        <x14:conditionalFormatting xmlns:xm="http://schemas.microsoft.com/office/excel/2006/main">
          <x14:cfRule type="expression" priority="295" id="{FB9EC19F-E01B-4C12-A30F-EE807A216E13}">
            <xm:f>AND('Sprachen &amp; Rückgabewerte(3)'!$I$11=FALSE,'Sprachen &amp; Rückgabewerte(3)'!$I$12=FALSE)</xm:f>
            <x14:dxf>
              <font>
                <color theme="0" tint="-0.14996795556505021"/>
              </font>
              <fill>
                <patternFill patternType="solid">
                  <bgColor theme="0" tint="-0.14996795556505021"/>
                </patternFill>
              </fill>
              <border>
                <left/>
                <right/>
                <bottom/>
                <vertical/>
                <horizontal/>
              </border>
            </x14:dxf>
          </x14:cfRule>
          <xm:sqref>E25:AR25</xm:sqref>
        </x14:conditionalFormatting>
        <x14:conditionalFormatting xmlns:xm="http://schemas.microsoft.com/office/excel/2006/main">
          <x14:cfRule type="expression" priority="294" id="{87BE09C2-F6CA-4E21-B7F3-3F37D49EA89F}">
            <xm:f>AND('Sprachen &amp; Rückgabewerte(3)'!$I$10=FALSE,'Sprachen &amp; Rückgabewerte(3)'!$I$11=FALSE,'Sprachen &amp; Rückgabewerte(3)'!$I$12=FALSE)</xm:f>
            <x14:dxf>
              <font>
                <color theme="0" tint="-0.14996795556505021"/>
              </font>
              <fill>
                <patternFill patternType="solid">
                  <bgColor theme="0" tint="-0.14996795556505021"/>
                </patternFill>
              </fill>
              <border>
                <left/>
                <right/>
                <top/>
                <bottom/>
                <vertical/>
                <horizontal/>
              </border>
            </x14:dxf>
          </x14:cfRule>
          <xm:sqref>E23:AR24</xm:sqref>
        </x14:conditionalFormatting>
        <x14:conditionalFormatting xmlns:xm="http://schemas.microsoft.com/office/excel/2006/main">
          <x14:cfRule type="expression" priority="143" id="{B0DABD5F-AF4F-4636-BA76-87B2BCEDDC59}">
            <xm:f>AND($AP$86="",'Sprachen &amp; Rückgabewerte(3)'!$I$51=TRUE)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293" id="{883F80CF-F86E-435A-AC8E-C9EE4C3AD0AE}">
            <xm:f>'Sprachen &amp; Rückgabewerte(3)'!$I$51=TRUE</xm:f>
            <x14:dxf>
              <font>
                <color theme="1"/>
              </font>
              <fill>
                <patternFill>
                  <bgColor theme="0"/>
                </patternFill>
              </fill>
              <border>
                <left style="hair">
                  <color auto="1"/>
                </left>
                <right style="hair">
                  <color auto="1"/>
                </right>
                <top style="hair">
                  <color auto="1"/>
                </top>
                <bottom style="thin">
                  <color auto="1"/>
                </bottom>
                <vertical/>
                <horizontal/>
              </border>
            </x14:dxf>
          </x14:cfRule>
          <xm:sqref>AP86:AR86</xm:sqref>
        </x14:conditionalFormatting>
        <x14:conditionalFormatting xmlns:xm="http://schemas.microsoft.com/office/excel/2006/main">
          <x14:cfRule type="expression" priority="292" id="{ADD08368-AC65-4648-8C07-DE7E75474618}">
            <xm:f>'Sprachen &amp; Rückgabewerte(3)'!$C$41=FALSE</xm:f>
            <x14:dxf>
              <font>
                <color theme="0" tint="-0.14996795556505021"/>
              </font>
              <fill>
                <patternFill>
                  <bgColor theme="0" tint="-0.14996795556505021"/>
                </patternFill>
              </fill>
              <border>
                <left/>
                <right/>
                <top/>
                <bottom/>
                <vertical/>
                <horizontal/>
              </border>
            </x14:dxf>
          </x14:cfRule>
          <xm:sqref>F72:I72</xm:sqref>
        </x14:conditionalFormatting>
        <x14:conditionalFormatting xmlns:xm="http://schemas.microsoft.com/office/excel/2006/main">
          <x14:cfRule type="expression" priority="228" id="{DDE0D58B-ACA3-4084-A780-CA7E3D959BDF}">
            <xm:f>'Sprachen &amp; Rückgabewerte(3)'!$C$42=FALSE</xm:f>
            <x14:dxf>
              <font>
                <color theme="0" tint="-0.14996795556505021"/>
              </font>
              <fill>
                <patternFill>
                  <bgColor theme="0" tint="-0.14996795556505021"/>
                </patternFill>
              </fill>
              <border>
                <left/>
                <right/>
                <top/>
                <bottom/>
                <vertical/>
                <horizontal/>
              </border>
            </x14:dxf>
          </x14:cfRule>
          <xm:sqref>L72:O72</xm:sqref>
        </x14:conditionalFormatting>
        <x14:conditionalFormatting xmlns:xm="http://schemas.microsoft.com/office/excel/2006/main">
          <x14:cfRule type="expression" priority="166" id="{1DDB98A5-3E93-4185-B187-D5506B08F97A}">
            <xm:f>'Sprachen &amp; Rückgabewerte(3)'!$C$44=FALSE</xm:f>
            <x14:dxf>
              <font>
                <color theme="0" tint="-0.14996795556505021"/>
              </font>
              <fill>
                <patternFill>
                  <bgColor theme="0" tint="-0.14996795556505021"/>
                </patternFill>
              </fill>
              <border>
                <left/>
                <right/>
                <top/>
                <bottom/>
                <vertical/>
                <horizontal/>
              </border>
            </x14:dxf>
          </x14:cfRule>
          <xm:sqref>X72:AA72</xm:sqref>
        </x14:conditionalFormatting>
        <x14:conditionalFormatting xmlns:xm="http://schemas.microsoft.com/office/excel/2006/main">
          <x14:cfRule type="expression" priority="164" id="{CA417210-6AFA-4FE2-8E93-13E31B0A3F78}">
            <xm:f>'Sprachen &amp; Rückgabewerte(3)'!$C$45=FALSE</xm:f>
            <x14:dxf>
              <font>
                <color theme="0" tint="-0.14996795556505021"/>
              </font>
              <fill>
                <patternFill>
                  <bgColor theme="0" tint="-0.14996795556505021"/>
                </patternFill>
              </fill>
              <border>
                <left/>
                <right/>
                <top/>
                <bottom/>
                <vertical/>
                <horizontal/>
              </border>
            </x14:dxf>
          </x14:cfRule>
          <xm:sqref>H85:K85</xm:sqref>
        </x14:conditionalFormatting>
        <x14:conditionalFormatting xmlns:xm="http://schemas.microsoft.com/office/excel/2006/main">
          <x14:cfRule type="expression" priority="310" id="{8764B37F-5913-4FF8-9CB9-4B22AA62681B}">
            <xm:f>'Sprachen &amp; Rückgabewerte(3)'!$C$46=FALSE</xm:f>
            <x14:dxf>
              <font>
                <color theme="0" tint="-0.14996795556505021"/>
              </font>
              <fill>
                <patternFill>
                  <bgColor theme="0" tint="-0.14996795556505021"/>
                </patternFill>
              </fill>
              <border>
                <left/>
                <right/>
                <top/>
                <bottom/>
                <vertical/>
                <horizontal/>
              </border>
            </x14:dxf>
          </x14:cfRule>
          <xm:sqref>O85:R85</xm:sqref>
        </x14:conditionalFormatting>
        <x14:conditionalFormatting xmlns:xm="http://schemas.microsoft.com/office/excel/2006/main">
          <x14:cfRule type="expression" priority="287" id="{D4623F5C-6413-416B-A29C-D064CE66F187}">
            <xm:f>'Sprachen &amp; Rückgabewerte(3)'!$C$47=FALSE</xm:f>
            <x14:dxf>
              <font>
                <color theme="0" tint="-0.14996795556505021"/>
              </font>
              <fill>
                <patternFill>
                  <bgColor theme="0" tint="-0.14996795556505021"/>
                </patternFill>
              </fill>
              <border>
                <left/>
                <right/>
                <top/>
                <bottom/>
                <vertical/>
                <horizontal/>
              </border>
            </x14:dxf>
          </x14:cfRule>
          <xm:sqref>V85:Y85</xm:sqref>
        </x14:conditionalFormatting>
        <x14:conditionalFormatting xmlns:xm="http://schemas.microsoft.com/office/excel/2006/main">
          <x14:cfRule type="expression" priority="163" id="{51A9120A-1D51-42D0-A5E3-F225A56FA2E4}">
            <xm:f>'Sprachen &amp; Rückgabewerte(3)'!$C$49=FALSE</xm:f>
            <x14:dxf>
              <font>
                <color theme="0" tint="-0.14996795556505021"/>
              </font>
              <fill>
                <patternFill>
                  <bgColor theme="0" tint="-0.14996795556505021"/>
                </patternFill>
              </fill>
              <border>
                <left/>
                <right/>
                <top/>
                <bottom/>
                <vertical/>
                <horizontal/>
              </border>
            </x14:dxf>
          </x14:cfRule>
          <xm:sqref>O96:R96</xm:sqref>
        </x14:conditionalFormatting>
        <x14:conditionalFormatting xmlns:xm="http://schemas.microsoft.com/office/excel/2006/main">
          <x14:cfRule type="expression" priority="285" id="{54DEB520-7434-47EE-866E-782C94FDD6DC}">
            <xm:f>G$20='Sprachen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86" id="{3F4DB681-9587-4F3D-967D-6E1EEA9DA1AF}">
            <xm:f>G$20='Sprachen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H21:I21</xm:sqref>
        </x14:conditionalFormatting>
        <x14:conditionalFormatting xmlns:xm="http://schemas.microsoft.com/office/excel/2006/main">
          <x14:cfRule type="expression" priority="283" id="{507E35E5-59BB-4A4B-93F8-2E70488522A5}">
            <xm:f>'Sprachen &amp; Rückgabewerte(3)'!$L$41=0</xm:f>
            <x14:dxf>
              <border>
                <left style="thin">
                  <color rgb="FFFF0000"/>
                </left>
                <vertical/>
                <horizontal/>
              </border>
            </x14:dxf>
          </x14:cfRule>
          <xm:sqref>C5:C8</xm:sqref>
        </x14:conditionalFormatting>
        <x14:conditionalFormatting xmlns:xm="http://schemas.microsoft.com/office/excel/2006/main">
          <x14:cfRule type="expression" priority="282" id="{BAFD34FD-5A26-4FAD-863D-DF3583D235ED}">
            <xm:f>'Sprachen &amp; Rückgabewerte(3)'!$L$41=0</xm:f>
            <x14:dxf>
              <border>
                <top style="thin">
                  <color rgb="FFFF0000"/>
                </top>
                <vertical/>
                <horizontal/>
              </border>
            </x14:dxf>
          </x14:cfRule>
          <xm:sqref>C5:R5</xm:sqref>
        </x14:conditionalFormatting>
        <x14:conditionalFormatting xmlns:xm="http://schemas.microsoft.com/office/excel/2006/main">
          <x14:cfRule type="expression" priority="281" id="{55B59AFF-9ED2-4CBE-9A29-34134A001832}">
            <xm:f>'Sprachen &amp; Rückgabewerte(3)'!$L$41=0</xm:f>
            <x14:dxf>
              <border>
                <right style="thin">
                  <color rgb="FFFF0000"/>
                </right>
                <vertical/>
                <horizontal/>
              </border>
            </x14:dxf>
          </x14:cfRule>
          <xm:sqref>R5:R8</xm:sqref>
        </x14:conditionalFormatting>
        <x14:conditionalFormatting xmlns:xm="http://schemas.microsoft.com/office/excel/2006/main">
          <x14:cfRule type="expression" priority="280" id="{8194D9D6-CAF8-4BDB-90D8-D7B019BF43B8}">
            <xm:f>'Sprachen &amp; Rückgabewerte(3)'!$L$41=0</xm:f>
            <x14:dxf>
              <border>
                <bottom style="thin">
                  <color rgb="FFFF0000"/>
                </bottom>
                <vertical/>
                <horizontal/>
              </border>
            </x14:dxf>
          </x14:cfRule>
          <xm:sqref>C8:R8</xm:sqref>
        </x14:conditionalFormatting>
        <x14:conditionalFormatting xmlns:xm="http://schemas.microsoft.com/office/excel/2006/main">
          <x14:cfRule type="expression" priority="279" id="{0483D4D9-5179-4636-B138-E2CE068D54E1}">
            <xm:f>'Sprachen &amp; Rückgabewerte(3)'!$L$42=0</xm:f>
            <x14:dxf>
              <border>
                <left style="thin">
                  <color rgb="FFFF0000"/>
                </left>
                <vertical/>
                <horizontal/>
              </border>
            </x14:dxf>
          </x14:cfRule>
          <xm:sqref>S5:S8</xm:sqref>
        </x14:conditionalFormatting>
        <x14:conditionalFormatting xmlns:xm="http://schemas.microsoft.com/office/excel/2006/main">
          <x14:cfRule type="expression" priority="142" id="{CBA13427-3DB4-4228-834E-8C7D44C32DF2}">
            <xm:f>'Sprachen &amp; Rückgabewerte(3)'!$L$42=0</xm:f>
            <x14:dxf>
              <border>
                <top style="thin">
                  <color rgb="FFFF0000"/>
                </top>
                <vertical/>
                <horizontal/>
              </border>
            </x14:dxf>
          </x14:cfRule>
          <xm:sqref>S5:AG5</xm:sqref>
        </x14:conditionalFormatting>
        <x14:conditionalFormatting xmlns:xm="http://schemas.microsoft.com/office/excel/2006/main">
          <x14:cfRule type="expression" priority="277" id="{D1D0074D-EA35-46F0-9EC7-23FF6161F096}">
            <xm:f>'Sprachen &amp; Rückgabewerte(3)'!$L$42=0</xm:f>
            <x14:dxf>
              <border>
                <right style="thin">
                  <color rgb="FFFF0000"/>
                </right>
                <vertical/>
                <horizontal/>
              </border>
            </x14:dxf>
          </x14:cfRule>
          <xm:sqref>AG5:AG8</xm:sqref>
        </x14:conditionalFormatting>
        <x14:conditionalFormatting xmlns:xm="http://schemas.microsoft.com/office/excel/2006/main">
          <x14:cfRule type="expression" priority="276" id="{A0D2856C-F210-4D37-B69D-47422F550673}">
            <xm:f>'Sprachen &amp; Rückgabewerte(3)'!$L$42=0</xm:f>
            <x14:dxf>
              <border>
                <bottom style="thin">
                  <color rgb="FFFF0000"/>
                </bottom>
                <vertical/>
                <horizontal/>
              </border>
            </x14:dxf>
          </x14:cfRule>
          <xm:sqref>S8:AG8</xm:sqref>
        </x14:conditionalFormatting>
        <x14:conditionalFormatting xmlns:xm="http://schemas.microsoft.com/office/excel/2006/main">
          <x14:cfRule type="expression" priority="275" id="{90978B3C-C2BC-4385-AEA9-2779ECBAFC1C}">
            <xm:f>'Sprachen &amp; Rückgabewerte(3)'!$L$43=0</xm:f>
            <x14:dxf>
              <border>
                <left style="thin">
                  <color rgb="FFFF0000"/>
                </left>
                <vertical/>
                <horizontal/>
              </border>
            </x14:dxf>
          </x14:cfRule>
          <xm:sqref>AH5:AH8</xm:sqref>
        </x14:conditionalFormatting>
        <x14:conditionalFormatting xmlns:xm="http://schemas.microsoft.com/office/excel/2006/main">
          <x14:cfRule type="expression" priority="139" id="{DB3A516E-512F-423B-9AE3-F143BD9A409A}">
            <xm:f>'Sprachen &amp; Rückgabewerte(3)'!$L$43=0</xm:f>
            <x14:dxf>
              <border>
                <top style="thin">
                  <color rgb="FFFF0000"/>
                </top>
                <vertical/>
                <horizontal/>
              </border>
            </x14:dxf>
          </x14:cfRule>
          <xm:sqref>AH5:AM5</xm:sqref>
        </x14:conditionalFormatting>
        <x14:conditionalFormatting xmlns:xm="http://schemas.microsoft.com/office/excel/2006/main">
          <x14:cfRule type="expression" priority="273" id="{4DF47E66-F96E-4B91-B83C-69C91C631B79}">
            <xm:f>'Sprachen &amp; Rückgabewerte(3)'!$L$43=0</xm:f>
            <x14:dxf>
              <border>
                <right style="thin">
                  <color rgb="FFFF0000"/>
                </right>
                <vertical/>
                <horizontal/>
              </border>
            </x14:dxf>
          </x14:cfRule>
          <xm:sqref>AM5:AM8</xm:sqref>
        </x14:conditionalFormatting>
        <x14:conditionalFormatting xmlns:xm="http://schemas.microsoft.com/office/excel/2006/main">
          <x14:cfRule type="expression" priority="272" id="{4E5B1B92-8DA6-4132-A572-E5F99A53515C}">
            <xm:f>'Sprachen &amp; Rückgabewerte(3)'!$L$43=0</xm:f>
            <x14:dxf>
              <border>
                <bottom style="thin">
                  <color rgb="FFFF0000"/>
                </bottom>
                <vertical/>
                <horizontal/>
              </border>
            </x14:dxf>
          </x14:cfRule>
          <xm:sqref>AH8:AM8</xm:sqref>
        </x14:conditionalFormatting>
        <x14:conditionalFormatting xmlns:xm="http://schemas.microsoft.com/office/excel/2006/main">
          <x14:cfRule type="expression" priority="271" id="{66E2EFD4-79C7-4E53-8712-DE65181AC29A}">
            <xm:f>'Sprachen &amp; Rückgabewerte(3)'!$L$44=0</xm:f>
            <x14:dxf>
              <border>
                <left style="thin">
                  <color rgb="FFFF0000"/>
                </left>
                <vertical/>
                <horizontal/>
              </border>
            </x14:dxf>
          </x14:cfRule>
          <xm:sqref>AN5:AN8</xm:sqref>
        </x14:conditionalFormatting>
        <x14:conditionalFormatting xmlns:xm="http://schemas.microsoft.com/office/excel/2006/main">
          <x14:cfRule type="expression" priority="270" id="{9CADD432-5944-4553-A64A-4947DD1F5773}">
            <xm:f>'Sprachen &amp; Rückgabewerte(3)'!$L$44=0</xm:f>
            <x14:dxf>
              <border>
                <top style="thin">
                  <color rgb="FFFF0000"/>
                </top>
                <vertical/>
                <horizontal/>
              </border>
            </x14:dxf>
          </x14:cfRule>
          <xm:sqref>AN5:AT5</xm:sqref>
        </x14:conditionalFormatting>
        <x14:conditionalFormatting xmlns:xm="http://schemas.microsoft.com/office/excel/2006/main">
          <x14:cfRule type="expression" priority="269" id="{F7987B01-3C37-489D-8DF5-D5034904876A}">
            <xm:f>'Sprachen &amp; Rückgabewerte(3)'!$L$44=0</xm:f>
            <x14:dxf>
              <border>
                <right style="thin">
                  <color rgb="FFFF0000"/>
                </right>
                <vertical/>
                <horizontal/>
              </border>
            </x14:dxf>
          </x14:cfRule>
          <xm:sqref>AT5:AT8</xm:sqref>
        </x14:conditionalFormatting>
        <x14:conditionalFormatting xmlns:xm="http://schemas.microsoft.com/office/excel/2006/main">
          <x14:cfRule type="expression" priority="268" id="{3B5279F7-748E-48EC-AA85-D046ED0D15FF}">
            <xm:f>'Sprachen &amp; Rückgabewerte(3)'!$L$44=0</xm:f>
            <x14:dxf>
              <border>
                <bottom style="thin">
                  <color rgb="FFFF0000"/>
                </bottom>
                <vertical/>
                <horizontal/>
              </border>
            </x14:dxf>
          </x14:cfRule>
          <xm:sqref>AN8:AT8</xm:sqref>
        </x14:conditionalFormatting>
        <x14:conditionalFormatting xmlns:xm="http://schemas.microsoft.com/office/excel/2006/main">
          <x14:cfRule type="expression" priority="267" id="{BC97607A-EECD-4C38-B8E0-634144025251}">
            <xm:f>'Sprachen &amp; Rückgabewerte(3)'!$L$45=0</xm:f>
            <x14:dxf>
              <border>
                <left style="thin">
                  <color rgb="FFFF0000"/>
                </left>
                <vertical/>
                <horizontal/>
              </border>
            </x14:dxf>
          </x14:cfRule>
          <xm:sqref>C9:C30</xm:sqref>
        </x14:conditionalFormatting>
        <x14:conditionalFormatting xmlns:xm="http://schemas.microsoft.com/office/excel/2006/main">
          <x14:cfRule type="expression" priority="260" id="{7F8EC96E-8FDD-4CB7-A05E-B7C23C57C0FA}">
            <xm:f>'Sprachen &amp; Rückgabewerte(3)'!$L$46=0</xm:f>
            <x14:dxf>
              <border>
                <bottom style="thin">
                  <color rgb="FFFF0000"/>
                </bottom>
                <vertical/>
                <horizontal/>
              </border>
            </x14:dxf>
          </x14:cfRule>
          <x14:cfRule type="expression" priority="266" id="{4FAD67CB-391D-471B-811C-8CB272E2E3FE}">
            <xm:f>'Sprachen &amp; Rückgabewerte(3)'!$L$45=0</xm:f>
            <x14:dxf>
              <border>
                <bottom style="thin">
                  <color rgb="FFFF0000"/>
                </bottom>
                <vertical/>
                <horizontal/>
              </border>
            </x14:dxf>
          </x14:cfRule>
          <xm:sqref>C30:AT30</xm:sqref>
        </x14:conditionalFormatting>
        <x14:conditionalFormatting xmlns:xm="http://schemas.microsoft.com/office/excel/2006/main">
          <x14:cfRule type="expression" priority="265" id="{2354EEE8-8FE8-4F12-AEFB-159B09B85D20}">
            <xm:f>'Sprachen &amp; Rückgabewerte(3)'!$L$45=0</xm:f>
            <x14:dxf>
              <border>
                <top style="thin">
                  <color rgb="FFFF0000"/>
                </top>
                <vertical/>
                <horizontal/>
              </border>
            </x14:dxf>
          </x14:cfRule>
          <xm:sqref>C9:AT9</xm:sqref>
        </x14:conditionalFormatting>
        <x14:conditionalFormatting xmlns:xm="http://schemas.microsoft.com/office/excel/2006/main">
          <x14:cfRule type="expression" priority="264" id="{5E38FA31-18EA-4560-B297-65D26D54B017}">
            <xm:f>'Sprachen &amp; Rückgabewerte(3)'!$L$45=0</xm:f>
            <x14:dxf>
              <border>
                <right style="thin">
                  <color rgb="FFFF0000"/>
                </right>
                <vertical/>
                <horizontal/>
              </border>
            </x14:dxf>
          </x14:cfRule>
          <xm:sqref>AT9:AT30</xm:sqref>
        </x14:conditionalFormatting>
        <x14:conditionalFormatting xmlns:xm="http://schemas.microsoft.com/office/excel/2006/main">
          <x14:cfRule type="expression" priority="263" id="{8A841701-EF05-435C-B1AC-758F2E1CB985}">
            <xm:f>'Sprachen &amp; Rückgabewerte(3)'!$L$46=0</xm:f>
            <x14:dxf>
              <border>
                <left style="thin">
                  <color rgb="FFFF0000"/>
                </left>
                <vertical/>
                <horizontal/>
              </border>
            </x14:dxf>
          </x14:cfRule>
          <xm:sqref>C27:C30</xm:sqref>
        </x14:conditionalFormatting>
        <x14:conditionalFormatting xmlns:xm="http://schemas.microsoft.com/office/excel/2006/main">
          <x14:cfRule type="expression" priority="262" id="{C93D7C3C-8BF1-4B47-9340-86D1F9FCB6B9}">
            <xm:f>'Sprachen &amp; Rückgabewerte(3)'!$L$46=0</xm:f>
            <x14:dxf>
              <border>
                <top style="thin">
                  <color rgb="FFFF0000"/>
                </top>
                <vertical/>
                <horizontal/>
              </border>
            </x14:dxf>
          </x14:cfRule>
          <xm:sqref>C27:AT27</xm:sqref>
        </x14:conditionalFormatting>
        <x14:conditionalFormatting xmlns:xm="http://schemas.microsoft.com/office/excel/2006/main">
          <x14:cfRule type="expression" priority="261" id="{50E38216-0F1C-4A14-B477-A246F6DBA18A}">
            <xm:f>'Sprachen &amp; Rückgabewerte(3)'!$L$46=0</xm:f>
            <x14:dxf>
              <border>
                <right style="thin">
                  <color rgb="FFFF0000"/>
                </right>
                <vertical/>
                <horizontal/>
              </border>
            </x14:dxf>
          </x14:cfRule>
          <xm:sqref>AT27:AT30</xm:sqref>
        </x14:conditionalFormatting>
        <x14:conditionalFormatting xmlns:xm="http://schemas.microsoft.com/office/excel/2006/main">
          <x14:cfRule type="expression" priority="259" id="{ADC78EC1-387A-4676-999F-7D4BB99BEE65}">
            <xm:f>'Sprachen &amp; Rückgabewerte(3)'!$L$47=0</xm:f>
            <x14:dxf>
              <border>
                <left style="thin">
                  <color rgb="FFFF0000"/>
                </left>
                <vertical/>
                <horizontal/>
              </border>
            </x14:dxf>
          </x14:cfRule>
          <xm:sqref>C32:C35</xm:sqref>
        </x14:conditionalFormatting>
        <x14:conditionalFormatting xmlns:xm="http://schemas.microsoft.com/office/excel/2006/main">
          <x14:cfRule type="expression" priority="258" id="{C099E9BD-1DCC-4240-84D4-975A84A4D749}">
            <xm:f>'Sprachen &amp; Rückgabewerte(3)'!$L$47=0</xm:f>
            <x14:dxf>
              <border>
                <top style="thin">
                  <color rgb="FFFF0000"/>
                </top>
                <vertical/>
                <horizontal/>
              </border>
            </x14:dxf>
          </x14:cfRule>
          <xm:sqref>C32:AB32</xm:sqref>
        </x14:conditionalFormatting>
        <x14:conditionalFormatting xmlns:xm="http://schemas.microsoft.com/office/excel/2006/main">
          <x14:cfRule type="expression" priority="257" id="{C8C6F053-6C84-4E59-BA96-CD27ECB1900B}">
            <xm:f>'Sprachen &amp; Rückgabewerte(3)'!$L$47=0</xm:f>
            <x14:dxf>
              <border>
                <right style="thin">
                  <color rgb="FFFF0000"/>
                </right>
                <vertical/>
                <horizontal/>
              </border>
            </x14:dxf>
          </x14:cfRule>
          <xm:sqref>AB32:AB35</xm:sqref>
        </x14:conditionalFormatting>
        <x14:conditionalFormatting xmlns:xm="http://schemas.microsoft.com/office/excel/2006/main">
          <x14:cfRule type="expression" priority="256" id="{CFABD1E4-7611-4FF6-97C5-52EC2F968DC2}">
            <xm:f>'Sprachen &amp; Rückgabewerte(3)'!$L$47=0</xm:f>
            <x14:dxf>
              <border>
                <bottom style="thin">
                  <color rgb="FFFF0000"/>
                </bottom>
                <vertical/>
                <horizontal/>
              </border>
            </x14:dxf>
          </x14:cfRule>
          <xm:sqref>C35:AB35</xm:sqref>
        </x14:conditionalFormatting>
        <x14:conditionalFormatting xmlns:xm="http://schemas.microsoft.com/office/excel/2006/main">
          <x14:cfRule type="expression" priority="255" id="{0E81C420-F30E-4BD5-99C3-7F22AC76E6CF}">
            <xm:f>'Sprachen &amp; Rückgabewerte(3)'!$M$49=0</xm:f>
            <x14:dxf>
              <border>
                <left style="thin">
                  <color rgb="FFFF0000"/>
                </left>
                <vertical/>
                <horizontal/>
              </border>
            </x14:dxf>
          </x14:cfRule>
          <xm:sqref>C36:C60</xm:sqref>
        </x14:conditionalFormatting>
        <x14:conditionalFormatting xmlns:xm="http://schemas.microsoft.com/office/excel/2006/main">
          <x14:cfRule type="expression" priority="254" id="{0B988F9A-CC1C-49E2-98EF-3B291950353A}">
            <xm:f>'Sprachen &amp; Rückgabewerte(3)'!$M$49=0</xm:f>
            <x14:dxf>
              <border>
                <top style="thin">
                  <color rgb="FFFF0000"/>
                </top>
                <vertical/>
                <horizontal/>
              </border>
            </x14:dxf>
          </x14:cfRule>
          <xm:sqref>C36:O36</xm:sqref>
        </x14:conditionalFormatting>
        <x14:conditionalFormatting xmlns:xm="http://schemas.microsoft.com/office/excel/2006/main">
          <x14:cfRule type="expression" priority="253" id="{836F2599-D6A4-459A-8A89-E155BC6C13E4}">
            <xm:f>'Sprachen &amp; Rückgabewerte(3)'!$M$49=0</xm:f>
            <x14:dxf>
              <border>
                <right style="thin">
                  <color rgb="FFFF0000"/>
                </right>
                <vertical/>
                <horizontal/>
              </border>
            </x14:dxf>
          </x14:cfRule>
          <xm:sqref>O36:O60</xm:sqref>
        </x14:conditionalFormatting>
        <x14:conditionalFormatting xmlns:xm="http://schemas.microsoft.com/office/excel/2006/main">
          <x14:cfRule type="expression" priority="252" id="{98ADAB58-E9DB-4EED-B977-A5AE26D50C0E}">
            <xm:f>'Sprachen &amp; Rückgabewerte(3)'!$M$49=0</xm:f>
            <x14:dxf>
              <border>
                <bottom style="thin">
                  <color rgb="FFFF0000"/>
                </bottom>
                <vertical/>
                <horizontal/>
              </border>
            </x14:dxf>
          </x14:cfRule>
          <xm:sqref>C60:O60</xm:sqref>
        </x14:conditionalFormatting>
        <x14:conditionalFormatting xmlns:xm="http://schemas.microsoft.com/office/excel/2006/main">
          <x14:cfRule type="expression" priority="251" id="{351EE3CC-4FF5-4D95-A230-7CB192AF3294}">
            <xm:f>'Sprachen &amp; Rückgabewerte(3)'!$L$50=0</xm:f>
            <x14:dxf>
              <border>
                <top style="thin">
                  <color rgb="FFFF0000"/>
                </top>
                <vertical/>
                <horizontal/>
              </border>
            </x14:dxf>
          </x14:cfRule>
          <xm:sqref>P36:AB36</xm:sqref>
        </x14:conditionalFormatting>
        <x14:conditionalFormatting xmlns:xm="http://schemas.microsoft.com/office/excel/2006/main">
          <x14:cfRule type="expression" priority="250" id="{BD647CEB-6F06-4386-BF26-3460BEBC465F}">
            <xm:f>'Sprachen &amp; Rückgabewerte(3)'!$L$50=0</xm:f>
            <x14:dxf>
              <border>
                <right style="thin">
                  <color rgb="FFFF0000"/>
                </right>
              </border>
            </x14:dxf>
          </x14:cfRule>
          <xm:sqref>AB36:AB58</xm:sqref>
        </x14:conditionalFormatting>
        <x14:conditionalFormatting xmlns:xm="http://schemas.microsoft.com/office/excel/2006/main">
          <x14:cfRule type="expression" priority="249" id="{30E7A63D-83F5-4B45-9BB1-0359DAB6C238}">
            <xm:f>'Sprachen &amp; Rückgabewerte(3)'!$L$50=0</xm:f>
            <x14:dxf>
              <border>
                <bottom style="thin">
                  <color rgb="FFFF0000"/>
                </bottom>
                <vertical/>
                <horizontal/>
              </border>
            </x14:dxf>
          </x14:cfRule>
          <xm:sqref>P60</xm:sqref>
        </x14:conditionalFormatting>
        <x14:conditionalFormatting xmlns:xm="http://schemas.microsoft.com/office/excel/2006/main">
          <x14:cfRule type="expression" priority="248" id="{597159F6-33C8-4CCC-A754-D6D08B65DCDB}">
            <xm:f>'Sprachen &amp; Rückgabewerte(3)'!$L$50=0</xm:f>
            <x14:dxf>
              <border>
                <left style="thin">
                  <color rgb="FFFF0000"/>
                </left>
                <vertical/>
                <horizontal/>
              </border>
            </x14:dxf>
          </x14:cfRule>
          <xm:sqref>P36:P43</xm:sqref>
        </x14:conditionalFormatting>
        <x14:conditionalFormatting xmlns:xm="http://schemas.microsoft.com/office/excel/2006/main">
          <x14:cfRule type="expression" priority="247" id="{E62E4327-7FB6-41B7-97D6-1CB3812F99E7}">
            <xm:f>'Sprachen &amp; Rückgabewerte(3)'!$L$50=0</xm:f>
            <x14:dxf>
              <border>
                <left style="thin">
                  <color rgb="FFFF0000"/>
                </left>
                <vertical/>
                <horizontal/>
              </border>
            </x14:dxf>
          </x14:cfRule>
          <xm:sqref>P44:S45</xm:sqref>
        </x14:conditionalFormatting>
        <x14:conditionalFormatting xmlns:xm="http://schemas.microsoft.com/office/excel/2006/main">
          <x14:cfRule type="expression" priority="246" id="{8566E409-4BCE-45CA-98F4-BB170BA9D5EF}">
            <xm:f>'Sprachen &amp; Rückgabewerte(3)'!$L$50=0</xm:f>
            <x14:dxf>
              <border>
                <left style="thin">
                  <color rgb="FFFF0000"/>
                </left>
                <vertical/>
                <horizontal/>
              </border>
            </x14:dxf>
          </x14:cfRule>
          <xm:sqref>P46:P60</xm:sqref>
        </x14:conditionalFormatting>
        <x14:conditionalFormatting xmlns:xm="http://schemas.microsoft.com/office/excel/2006/main">
          <x14:cfRule type="expression" priority="245" id="{575D7342-4126-4300-B9E5-5C6F5570E5A9}">
            <xm:f>'Sprachen &amp; Rückgabewerte(3)'!$L$51=0</xm:f>
            <x14:dxf>
              <border>
                <top style="thin">
                  <color rgb="FFFF0000"/>
                </top>
                <vertical/>
                <horizontal/>
              </border>
            </x14:dxf>
          </x14:cfRule>
          <xm:sqref>AE32:AT32</xm:sqref>
        </x14:conditionalFormatting>
        <x14:conditionalFormatting xmlns:xm="http://schemas.microsoft.com/office/excel/2006/main">
          <x14:cfRule type="expression" priority="121" id="{F2649CB8-AC6E-45C5-B041-4059D0EDE0B3}">
            <xm:f>AND($AY$43&lt;&gt;0,'Sprachen &amp; Rückgabewerte(3)'!$I$19=TRUE)</xm:f>
            <x14:dxf>
              <border>
                <right style="thin">
                  <color rgb="FFFF0000"/>
                </right>
                <vertical/>
                <horizontal/>
              </border>
            </x14:dxf>
          </x14:cfRule>
          <x14:cfRule type="expression" priority="244" id="{D9FF36D1-D3FB-4CF9-9AD1-B78359208320}">
            <xm:f>'Sprachen &amp; Rückgabewerte(3)'!$L$51=0</xm:f>
            <x14:dxf>
              <border>
                <right style="thin">
                  <color rgb="FFFF0000"/>
                </right>
                <vertical/>
                <horizontal/>
              </border>
            </x14:dxf>
          </x14:cfRule>
          <xm:sqref>AT32:AT40</xm:sqref>
        </x14:conditionalFormatting>
        <x14:conditionalFormatting xmlns:xm="http://schemas.microsoft.com/office/excel/2006/main">
          <x14:cfRule type="expression" priority="243" id="{08737DA1-ECB7-4482-8084-A0D88644C936}">
            <xm:f>'Sprachen &amp; Rückgabewerte(3)'!$L$51=0</xm:f>
            <x14:dxf>
              <border>
                <bottom style="thin">
                  <color rgb="FFFF0000"/>
                </bottom>
                <vertical/>
                <horizontal/>
              </border>
            </x14:dxf>
          </x14:cfRule>
          <xm:sqref>AE40:AT40</xm:sqref>
        </x14:conditionalFormatting>
        <x14:conditionalFormatting xmlns:xm="http://schemas.microsoft.com/office/excel/2006/main">
          <x14:cfRule type="expression" priority="242" id="{0431020A-B41A-4A42-9E74-FBFFC9AA9FB9}">
            <xm:f>'Sprachen &amp; Rückgabewerte(3)'!$L$52=0</xm:f>
            <x14:dxf>
              <border>
                <top style="thin">
                  <color rgb="FFFF0000"/>
                </top>
                <vertical/>
                <horizontal/>
              </border>
            </x14:dxf>
          </x14:cfRule>
          <xm:sqref>AE42:AT42</xm:sqref>
        </x14:conditionalFormatting>
        <x14:conditionalFormatting xmlns:xm="http://schemas.microsoft.com/office/excel/2006/main">
          <x14:cfRule type="expression" priority="241" id="{2C2F63F8-DF11-4C0D-90B5-65A693A780CB}">
            <xm:f>'Sprachen &amp; Rückgabewerte(3)'!$L$52=0</xm:f>
            <x14:dxf>
              <border>
                <right style="thin">
                  <color rgb="FFFF0000"/>
                </right>
                <vertical/>
                <horizontal/>
              </border>
            </x14:dxf>
          </x14:cfRule>
          <xm:sqref>AT42:AT50</xm:sqref>
        </x14:conditionalFormatting>
        <x14:conditionalFormatting xmlns:xm="http://schemas.microsoft.com/office/excel/2006/main">
          <x14:cfRule type="expression" priority="240" id="{5B9B4500-DFE8-4965-BBE5-99FC9C7301A3}">
            <xm:f>'Sprachen &amp; Rückgabewerte(3)'!$L$52=0</xm:f>
            <x14:dxf>
              <border>
                <bottom style="thin">
                  <color rgb="FFFF0000"/>
                </bottom>
                <vertical/>
                <horizontal/>
              </border>
            </x14:dxf>
          </x14:cfRule>
          <xm:sqref>AM50:AT50</xm:sqref>
        </x14:conditionalFormatting>
        <x14:conditionalFormatting xmlns:xm="http://schemas.microsoft.com/office/excel/2006/main">
          <x14:cfRule type="expression" priority="187" id="{4BC697FC-8410-485B-9A9F-8D9DE70C01CB}">
            <xm:f>OR('Sprachen &amp; Rückgabewerte(3)'!$I$36=TRUE,'Sprachen &amp; Rückgabewerte(3)'!$I$39=TRUE)</xm:f>
            <x14:dxf>
              <font>
                <color theme="1"/>
              </font>
            </x14:dxf>
          </x14:cfRule>
          <x14:cfRule type="expression" priority="239" id="{C8F02E74-9549-4DFE-9641-57A34EAEFE7E}">
            <xm:f>'Sprachen &amp; Rückgabewerte(3)'!$L$52=0</xm:f>
            <x14:dxf>
              <border>
                <bottom style="thin">
                  <color rgb="FFFF0000"/>
                </bottom>
                <vertical/>
                <horizontal/>
              </border>
            </x14:dxf>
          </x14:cfRule>
          <xm:sqref>AF48:AL50</xm:sqref>
        </x14:conditionalFormatting>
        <x14:conditionalFormatting xmlns:xm="http://schemas.microsoft.com/office/excel/2006/main">
          <x14:cfRule type="expression" priority="238" id="{1A543EF0-A3AB-4BA5-85BF-F89D3411E146}">
            <xm:f>'Sprachen &amp; Rückgabewerte(3)'!$L$52=0</xm:f>
            <x14:dxf>
              <border>
                <bottom style="thin">
                  <color rgb="FFFF0000"/>
                </bottom>
                <vertical/>
                <horizontal/>
              </border>
            </x14:dxf>
          </x14:cfRule>
          <xm:sqref>AE50</xm:sqref>
        </x14:conditionalFormatting>
        <x14:conditionalFormatting xmlns:xm="http://schemas.microsoft.com/office/excel/2006/main">
          <x14:cfRule type="expression" priority="237" id="{0931F055-CE36-4F71-98A4-20089959CD9B}">
            <xm:f>'Sprachen &amp; Rückgabewerte(3)'!$L$53=0</xm:f>
            <x14:dxf>
              <border>
                <top style="thin">
                  <color rgb="FFFF0000"/>
                </top>
                <vertical/>
                <horizontal/>
              </border>
            </x14:dxf>
          </x14:cfRule>
          <xm:sqref>AE52:AT52</xm:sqref>
        </x14:conditionalFormatting>
        <x14:conditionalFormatting xmlns:xm="http://schemas.microsoft.com/office/excel/2006/main">
          <x14:cfRule type="expression" priority="236" id="{32EBB26C-6955-43CA-8EA0-AF73E1611481}">
            <xm:f>'Sprachen &amp; Rückgabewerte(3)'!$L$53=0</xm:f>
            <x14:dxf>
              <border>
                <right style="thin">
                  <color rgb="FFFF0000"/>
                </right>
                <vertical/>
                <horizontal/>
              </border>
            </x14:dxf>
          </x14:cfRule>
          <xm:sqref>AT52:AT58</xm:sqref>
        </x14:conditionalFormatting>
        <x14:conditionalFormatting xmlns:xm="http://schemas.microsoft.com/office/excel/2006/main">
          <x14:cfRule type="expression" priority="235" id="{5D6A787E-0DE0-4DA7-85BB-ACDA4CE15C6D}">
            <xm:f>'Sprachen &amp; Rückgabewerte(3)'!$L$53=0</xm:f>
            <x14:dxf>
              <border>
                <bottom style="thin">
                  <color rgb="FFFF0000"/>
                </bottom>
                <vertical/>
                <horizontal/>
              </border>
            </x14:dxf>
          </x14:cfRule>
          <xm:sqref>AE58:AT58</xm:sqref>
        </x14:conditionalFormatting>
        <x14:conditionalFormatting xmlns:xm="http://schemas.microsoft.com/office/excel/2006/main">
          <x14:cfRule type="expression" priority="234" id="{29553813-5569-4C8A-BA8E-AD687F716B57}">
            <xm:f>'Sprachen &amp; Rückgabewerte(3)'!$L$54=0</xm:f>
            <x14:dxf>
              <border>
                <top style="thin">
                  <color rgb="FFFF0000"/>
                </top>
                <vertical/>
                <horizontal/>
              </border>
            </x14:dxf>
          </x14:cfRule>
          <xm:sqref>AE60:AT60</xm:sqref>
        </x14:conditionalFormatting>
        <x14:conditionalFormatting xmlns:xm="http://schemas.microsoft.com/office/excel/2006/main">
          <x14:cfRule type="expression" priority="233" id="{A74D5FCC-17AE-46E4-8FB8-7D3C671C0F71}">
            <xm:f>'Sprachen &amp; Rückgabewerte(3)'!$L$54=0</xm:f>
            <x14:dxf>
              <border>
                <right style="thin">
                  <color rgb="FFFF0000"/>
                </right>
                <vertical/>
                <horizontal/>
              </border>
            </x14:dxf>
          </x14:cfRule>
          <xm:sqref>AT60:AT71</xm:sqref>
        </x14:conditionalFormatting>
        <x14:conditionalFormatting xmlns:xm="http://schemas.microsoft.com/office/excel/2006/main">
          <x14:cfRule type="expression" priority="232" id="{29286788-0A62-43C6-9850-52168C358B93}">
            <xm:f>'Sprachen &amp; Rückgabewerte(3)'!$L$54=0</xm:f>
            <x14:dxf>
              <border>
                <bottom style="thin">
                  <color rgb="FFFF0000"/>
                </bottom>
                <vertical/>
                <horizontal/>
              </border>
            </x14:dxf>
          </x14:cfRule>
          <xm:sqref>AE71:AT71</xm:sqref>
        </x14:conditionalFormatting>
        <x14:conditionalFormatting xmlns:xm="http://schemas.microsoft.com/office/excel/2006/main">
          <x14:cfRule type="expression" priority="231" id="{0C3A8FFA-3541-4C19-918C-D22B874CBDE0}">
            <xm:f>'Sprachen &amp; Rückgabewerte(3)'!$L$55=0</xm:f>
            <x14:dxf>
              <border>
                <top style="thin">
                  <color rgb="FFFF0000"/>
                </top>
                <vertical/>
                <horizontal/>
              </border>
            </x14:dxf>
          </x14:cfRule>
          <xm:sqref>AE83:AT83</xm:sqref>
        </x14:conditionalFormatting>
        <x14:conditionalFormatting xmlns:xm="http://schemas.microsoft.com/office/excel/2006/main">
          <x14:cfRule type="expression" priority="230" id="{5F64264C-2FEC-4B8A-ACA9-D4DE4FA68A56}">
            <xm:f>'Sprachen &amp; Rückgabewerte(3)'!$L$55=0</xm:f>
            <x14:dxf>
              <border>
                <right style="thin">
                  <color rgb="FFFF0000"/>
                </right>
                <vertical/>
                <horizontal/>
              </border>
            </x14:dxf>
          </x14:cfRule>
          <xm:sqref>AT83:AT93</xm:sqref>
        </x14:conditionalFormatting>
        <x14:conditionalFormatting xmlns:xm="http://schemas.microsoft.com/office/excel/2006/main">
          <x14:cfRule type="expression" priority="229" id="{691B311F-262E-4ACF-86D1-80957A07E61B}">
            <xm:f>'Sprachen &amp; Rückgabewerte(3)'!$L$55=0</xm:f>
            <x14:dxf>
              <border>
                <bottom style="thin">
                  <color rgb="FFFF0000"/>
                </bottom>
                <vertical/>
                <horizontal/>
              </border>
            </x14:dxf>
          </x14:cfRule>
          <xm:sqref>AE93:AT93</xm:sqref>
        </x14:conditionalFormatting>
        <x14:conditionalFormatting xmlns:xm="http://schemas.microsoft.com/office/excel/2006/main">
          <x14:cfRule type="expression" priority="227" id="{25A90F2A-9F51-4C0E-8CE0-CFA0BB0F4CA0}">
            <xm:f>'Sprachen &amp; Rückgabewerte(3)'!$M$59=0</xm:f>
            <x14:dxf>
              <border>
                <right style="thin">
                  <color rgb="FFFF0000"/>
                </right>
                <vertical/>
                <horizontal/>
              </border>
            </x14:dxf>
          </x14:cfRule>
          <xm:sqref>AB86</xm:sqref>
        </x14:conditionalFormatting>
        <x14:conditionalFormatting xmlns:xm="http://schemas.microsoft.com/office/excel/2006/main">
          <x14:cfRule type="expression" priority="226" id="{5E283712-8A5D-47F5-B83C-02EF06A2DF5A}">
            <xm:f>'Sprachen &amp; Rückgabewerte(3)'!$M$59=0</xm:f>
            <x14:dxf>
              <border>
                <right style="thin">
                  <color rgb="FFFF0000"/>
                </right>
                <vertical/>
                <horizontal/>
              </border>
            </x14:dxf>
          </x14:cfRule>
          <xm:sqref>Z87:AB89 AB90 Z91:AB93 AB94:AB97</xm:sqref>
        </x14:conditionalFormatting>
        <x14:conditionalFormatting xmlns:xm="http://schemas.microsoft.com/office/excel/2006/main">
          <x14:cfRule type="expression" priority="223" id="{C50A7E84-1998-4EA1-8382-352765AE3F00}">
            <xm:f>K$20='Sprachen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4" id="{2EC73540-B48E-4724-9E5A-62FF6A8A35E0}">
            <xm:f>K$20='Sprachen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L21:M21</xm:sqref>
        </x14:conditionalFormatting>
        <x14:conditionalFormatting xmlns:xm="http://schemas.microsoft.com/office/excel/2006/main">
          <x14:cfRule type="expression" priority="221" id="{1852FBB9-F374-416D-9FF7-007B4DC74138}">
            <xm:f>O$20='Sprachen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2" id="{43034A18-B990-4FB4-9BA4-4F913AC34F5E}">
            <xm:f>O$20='Sprachen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P21:Q21</xm:sqref>
        </x14:conditionalFormatting>
        <x14:conditionalFormatting xmlns:xm="http://schemas.microsoft.com/office/excel/2006/main">
          <x14:cfRule type="expression" priority="219" id="{89352260-3ED8-4EB7-9EE7-BFE64DB298D8}">
            <xm:f>S$20='Sprachen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20" id="{159B1027-F238-455B-8E8A-DF930F365090}">
            <xm:f>S$20='Sprachen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T21:U21</xm:sqref>
        </x14:conditionalFormatting>
        <x14:conditionalFormatting xmlns:xm="http://schemas.microsoft.com/office/excel/2006/main">
          <x14:cfRule type="expression" priority="217" id="{1B951C5E-1A07-4B42-B840-85AC4746ED95}">
            <xm:f>W$20='Sprachen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8" id="{38D6361B-FDD4-4FBE-B42C-B6BE8FC00FE9}">
            <xm:f>W$20='Sprachen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X21:Y21</xm:sqref>
        </x14:conditionalFormatting>
        <x14:conditionalFormatting xmlns:xm="http://schemas.microsoft.com/office/excel/2006/main">
          <x14:cfRule type="expression" priority="215" id="{848E15F0-F22E-42D5-B2C7-2B53B78CBBD6}">
            <xm:f>AA$20='Sprachen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6" id="{B93CBB71-82F8-44FF-90D1-0D99C0A3A5B0}">
            <xm:f>AA$20='Sprachen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AB21:AC21</xm:sqref>
        </x14:conditionalFormatting>
        <x14:conditionalFormatting xmlns:xm="http://schemas.microsoft.com/office/excel/2006/main">
          <x14:cfRule type="expression" priority="213" id="{8CD15B10-412E-4A1D-948E-A2231CAAF93D}">
            <xm:f>AE$20='Sprachen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4" id="{924D1A15-5AB6-4C64-99C9-E40AC1EDB429}">
            <xm:f>AE$20='Sprachen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AF21:AG21</xm:sqref>
        </x14:conditionalFormatting>
        <x14:conditionalFormatting xmlns:xm="http://schemas.microsoft.com/office/excel/2006/main">
          <x14:cfRule type="expression" priority="211" id="{E8E542EB-1C6D-4A82-BAED-26E05B1680B5}">
            <xm:f>AI$20='Sprachen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2" id="{A4FE408A-24E2-4B62-8533-3EB3DB4744F5}">
            <xm:f>AI$20='Sprachen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AJ21:AK21</xm:sqref>
        </x14:conditionalFormatting>
        <x14:conditionalFormatting xmlns:xm="http://schemas.microsoft.com/office/excel/2006/main">
          <x14:cfRule type="expression" priority="209" id="{0DEC181E-1AE2-4C23-BA9A-1750E8A86768}">
            <xm:f>AM$20='Sprachen &amp; Rückgabewerte(3)'!$H$107</xm:f>
            <x14:dxf>
              <font>
                <color auto="1"/>
              </font>
              <fill>
                <patternFill>
                  <bgColor theme="0"/>
                </patternFill>
              </fill>
              <border>
                <left style="hair">
                  <color auto="1"/>
                </left>
                <right style="hair">
                  <color auto="1"/>
                </right>
                <top style="hair">
                  <color auto="1"/>
                </top>
                <bottom style="hair">
                  <color auto="1"/>
                </bottom>
                <vertical/>
                <horizontal/>
              </border>
            </x14:dxf>
          </x14:cfRule>
          <x14:cfRule type="expression" priority="210" id="{08B9447B-E34E-4314-8DD5-0BF81D5C22E9}">
            <xm:f>AM$20='Sprachen &amp; Rückgabewerte(3)'!$H$106</xm:f>
            <x14:dxf>
              <font>
                <color theme="1"/>
              </font>
              <fill>
                <patternFill>
                  <bgColor theme="0"/>
                </patternFill>
              </fill>
              <border>
                <left style="hair">
                  <color auto="1"/>
                </left>
                <right style="hair">
                  <color auto="1"/>
                </right>
                <top style="hair">
                  <color auto="1"/>
                </top>
                <bottom style="hair">
                  <color auto="1"/>
                </bottom>
                <vertical/>
                <horizontal/>
              </border>
            </x14:dxf>
          </x14:cfRule>
          <xm:sqref>AN21:AO21</xm:sqref>
        </x14:conditionalFormatting>
        <x14:conditionalFormatting xmlns:xm="http://schemas.microsoft.com/office/excel/2006/main">
          <x14:cfRule type="expression" priority="208" id="{D728F191-BF48-48A9-945D-13DF5AB7C717}">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H11</xm:sqref>
        </x14:conditionalFormatting>
        <x14:conditionalFormatting xmlns:xm="http://schemas.microsoft.com/office/excel/2006/main">
          <x14:cfRule type="expression" priority="207" id="{7476FFF7-FB43-44FC-B71B-5A14F0C40683}">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L11</xm:sqref>
        </x14:conditionalFormatting>
        <x14:conditionalFormatting xmlns:xm="http://schemas.microsoft.com/office/excel/2006/main">
          <x14:cfRule type="expression" priority="206" id="{1123DC6E-D3D4-420B-8257-E0B9BB590D58}">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M11</xm:sqref>
        </x14:conditionalFormatting>
        <x14:conditionalFormatting xmlns:xm="http://schemas.microsoft.com/office/excel/2006/main">
          <x14:cfRule type="expression" priority="205" id="{65B76BED-0E37-4364-ABD9-7DB7DA6B3CE2}">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P11</xm:sqref>
        </x14:conditionalFormatting>
        <x14:conditionalFormatting xmlns:xm="http://schemas.microsoft.com/office/excel/2006/main">
          <x14:cfRule type="expression" priority="204" id="{334B845C-3184-446E-B25D-5AF22790CE7F}">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Q11</xm:sqref>
        </x14:conditionalFormatting>
        <x14:conditionalFormatting xmlns:xm="http://schemas.microsoft.com/office/excel/2006/main">
          <x14:cfRule type="expression" priority="203" id="{4E9063A8-B945-4BB6-B69B-0BDCBAA078D4}">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T11</xm:sqref>
        </x14:conditionalFormatting>
        <x14:conditionalFormatting xmlns:xm="http://schemas.microsoft.com/office/excel/2006/main">
          <x14:cfRule type="expression" priority="202" id="{E54659AE-B432-4683-91B2-C6023EB46F07}">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U11</xm:sqref>
        </x14:conditionalFormatting>
        <x14:conditionalFormatting xmlns:xm="http://schemas.microsoft.com/office/excel/2006/main">
          <x14:cfRule type="expression" priority="201" id="{59CFAFF5-29F0-4734-9B4E-D9C21277604A}">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X11</xm:sqref>
        </x14:conditionalFormatting>
        <x14:conditionalFormatting xmlns:xm="http://schemas.microsoft.com/office/excel/2006/main">
          <x14:cfRule type="expression" priority="200" id="{7AAD29CF-B3F1-43C9-BAD7-72DEDD284DFD}">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Y11</xm:sqref>
        </x14:conditionalFormatting>
        <x14:conditionalFormatting xmlns:xm="http://schemas.microsoft.com/office/excel/2006/main">
          <x14:cfRule type="expression" priority="199" id="{BA51270F-E468-4EE2-A3E4-751FF46A7375}">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AB11</xm:sqref>
        </x14:conditionalFormatting>
        <x14:conditionalFormatting xmlns:xm="http://schemas.microsoft.com/office/excel/2006/main">
          <x14:cfRule type="expression" priority="198" id="{6418F1BC-0DF9-4DE0-9FFE-CF86B8EB1E60}">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AC11</xm:sqref>
        </x14:conditionalFormatting>
        <x14:conditionalFormatting xmlns:xm="http://schemas.microsoft.com/office/excel/2006/main">
          <x14:cfRule type="expression" priority="197" id="{CFA04A82-C6B2-4570-BA26-2DD6339B79E2}">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AF11</xm:sqref>
        </x14:conditionalFormatting>
        <x14:conditionalFormatting xmlns:xm="http://schemas.microsoft.com/office/excel/2006/main">
          <x14:cfRule type="expression" priority="196" id="{E199FCF1-4F22-45E1-9216-569E3E7B790D}">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AG11</xm:sqref>
        </x14:conditionalFormatting>
        <x14:conditionalFormatting xmlns:xm="http://schemas.microsoft.com/office/excel/2006/main">
          <x14:cfRule type="expression" priority="195" id="{8D76D3A4-1071-4842-90AC-DE675A295E67}">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AJ11</xm:sqref>
        </x14:conditionalFormatting>
        <x14:conditionalFormatting xmlns:xm="http://schemas.microsoft.com/office/excel/2006/main">
          <x14:cfRule type="expression" priority="194" id="{B28E49AC-D879-4329-9476-C228547B6B5F}">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AK11</xm:sqref>
        </x14:conditionalFormatting>
        <x14:conditionalFormatting xmlns:xm="http://schemas.microsoft.com/office/excel/2006/main">
          <x14:cfRule type="expression" priority="193" id="{9BB8C38F-4060-40B9-8EFB-F7F563B44F60}">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AN11</xm:sqref>
        </x14:conditionalFormatting>
        <x14:conditionalFormatting xmlns:xm="http://schemas.microsoft.com/office/excel/2006/main">
          <x14:cfRule type="expression" priority="192" id="{CA71AC50-7DE6-487B-83F6-B6BE744BDAB3}">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AO11</xm:sqref>
        </x14:conditionalFormatting>
        <x14:conditionalFormatting xmlns:xm="http://schemas.microsoft.com/office/excel/2006/main">
          <x14:cfRule type="expression" priority="146" id="{9D5C4C75-F5D4-4D0C-B68F-2E85CAC8325A}">
            <xm:f>AND($AL$39="",'Sprachen &amp; Rückgabewerte(3)'!$I$22=TRUE)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90" id="{C0A6E1A4-608C-489B-BB3C-06E820D0C046}">
            <xm:f>'Sprachen &amp; Rückgabewerte(3)'!$I$22=FALSE</xm:f>
            <x14:dxf>
              <font>
                <color theme="0" tint="-0.14996795556505021"/>
              </font>
              <fill>
                <patternFill>
                  <bgColor theme="0" tint="-0.14996795556505021"/>
                </patternFill>
              </fill>
              <border>
                <left/>
                <right/>
                <top/>
                <bottom/>
                <vertical/>
                <horizontal/>
              </border>
            </x14:dxf>
          </x14:cfRule>
          <xm:sqref>AL39:AS39</xm:sqref>
        </x14:conditionalFormatting>
        <x14:conditionalFormatting xmlns:xm="http://schemas.microsoft.com/office/excel/2006/main">
          <x14:cfRule type="expression" priority="159" id="{E7439996-CE62-48D0-B350-214ABE4C5A69}">
            <xm:f>'Sprachen &amp; Rückgabewerte(3)'!$I$36=FALSE</xm:f>
            <x14:dxf>
              <font>
                <color theme="0" tint="-0.14996795556505021"/>
              </font>
              <fill>
                <patternFill>
                  <bgColor theme="0" tint="-0.14996795556505021"/>
                </patternFill>
              </fill>
              <border>
                <left/>
                <right/>
                <top/>
                <bottom/>
                <vertical/>
                <horizontal/>
              </border>
            </x14:dxf>
          </x14:cfRule>
          <xm:sqref>AM43:AS43</xm:sqref>
        </x14:conditionalFormatting>
        <x14:conditionalFormatting xmlns:xm="http://schemas.microsoft.com/office/excel/2006/main">
          <x14:cfRule type="expression" priority="35" id="{623E6883-7F4E-4993-9A91-8EECD79CBDB7}">
            <xm:f>'Sprachen &amp; Rückgabewerte(3)'!$I$39=FALSE</xm:f>
            <x14:dxf>
              <font>
                <color theme="0" tint="-0.14996795556505021"/>
              </font>
              <fill>
                <patternFill>
                  <bgColor theme="0" tint="-0.14996795556505021"/>
                </patternFill>
              </fill>
              <border>
                <left/>
                <right/>
                <top/>
                <bottom/>
                <vertical/>
                <horizontal/>
              </border>
            </x14:dxf>
          </x14:cfRule>
          <xm:sqref>AM45:AS46</xm:sqref>
        </x14:conditionalFormatting>
        <x14:conditionalFormatting xmlns:xm="http://schemas.microsoft.com/office/excel/2006/main">
          <x14:cfRule type="expression" priority="158" id="{96D913E5-1BBB-4D8A-B648-E48741F95C75}">
            <xm:f>AND('Sprachen &amp; Rückgabewerte(3)'!$I$36=FALSE,'Sprachen &amp; Rückgabewerte(3)'!$I$39=FALSE)</xm:f>
            <x14:dxf>
              <font>
                <color theme="0" tint="-0.14996795556505021"/>
              </font>
              <fill>
                <patternFill>
                  <bgColor theme="0" tint="-0.14996795556505021"/>
                </patternFill>
              </fill>
              <border>
                <left/>
                <right/>
                <top/>
                <bottom/>
                <vertical/>
                <horizontal/>
              </border>
            </x14:dxf>
          </x14:cfRule>
          <xm:sqref>AM49:AP49</xm:sqref>
        </x14:conditionalFormatting>
        <x14:conditionalFormatting xmlns:xm="http://schemas.microsoft.com/office/excel/2006/main">
          <x14:cfRule type="expression" priority="76" id="{8E6A26EA-3ED8-4D54-8DE6-DEC1521EAA9C}">
            <xm:f>'Sprachen &amp; Rückgabewerte(3)'!$I$45=FALSE</xm:f>
            <x14:dxf>
              <font>
                <color theme="0" tint="-0.14996795556505021"/>
              </font>
              <fill>
                <patternFill>
                  <bgColor theme="0" tint="-0.14996795556505021"/>
                </patternFill>
              </fill>
              <border>
                <left/>
                <right/>
                <top/>
                <bottom/>
                <vertical/>
                <horizontal/>
              </border>
            </x14:dxf>
          </x14:cfRule>
          <xm:sqref>AI57:AS57</xm:sqref>
        </x14:conditionalFormatting>
        <x14:conditionalFormatting xmlns:xm="http://schemas.microsoft.com/office/excel/2006/main">
          <x14:cfRule type="expression" priority="184" id="{CC263B5D-E5AC-449E-8A68-49A68CB13AEB}">
            <xm:f>'Sprachen &amp; Rückgabewerte(3)'!$L$67=TRUE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AN78:AP78</xm:sqref>
        </x14:conditionalFormatting>
        <x14:conditionalFormatting xmlns:xm="http://schemas.microsoft.com/office/excel/2006/main">
          <x14:cfRule type="expression" priority="183" id="{9686EE57-08C7-47C6-9A43-0608F84DE018}">
            <xm:f>'Sprachen &amp; Rückgabewerte(3)'!$L$68=TRUE</xm:f>
            <x14:dxf>
              <font>
                <color theme="1"/>
              </font>
              <fill>
                <patternFill>
                  <bgColor theme="0"/>
                </patternFill>
              </fill>
              <border>
                <left style="hair">
                  <color auto="1"/>
                </left>
                <right style="hair">
                  <color auto="1"/>
                </right>
                <top style="hair">
                  <color auto="1"/>
                </top>
                <bottom style="hair">
                  <color auto="1"/>
                </bottom>
                <vertical/>
                <horizontal/>
              </border>
            </x14:dxf>
          </x14:cfRule>
          <xm:sqref>AN79:AP79</xm:sqref>
        </x14:conditionalFormatting>
        <x14:conditionalFormatting xmlns:xm="http://schemas.microsoft.com/office/excel/2006/main">
          <x14:cfRule type="expression" priority="119" id="{D557BA87-EF16-4FF7-BC74-97288C3EADFA}">
            <xm:f>AND($AY$43&lt;&gt;0,'Sprachen &amp; Rückgabewerte(3)'!$I$19=TRUE)</xm:f>
            <x14:dxf>
              <border>
                <left style="thin">
                  <color rgb="FFFF0000"/>
                </left>
                <bottom/>
                <vertical/>
                <horizontal/>
              </border>
            </x14:dxf>
          </x14:cfRule>
          <x14:cfRule type="expression" priority="182" id="{D74D1F57-6257-4ABD-9CC4-23A877CF36EB}">
            <xm:f>'Sprachen &amp; Rückgabewerte(3)'!$L$51=0</xm:f>
            <x14:dxf>
              <border>
                <left style="thin">
                  <color rgb="FFFF0000"/>
                </left>
                <vertical/>
                <horizontal/>
              </border>
            </x14:dxf>
          </x14:cfRule>
          <xm:sqref>AD32:AD40</xm:sqref>
        </x14:conditionalFormatting>
        <x14:conditionalFormatting xmlns:xm="http://schemas.microsoft.com/office/excel/2006/main">
          <x14:cfRule type="expression" priority="118" id="{6192D384-AAA4-4BEE-842D-3CF874DFCA66}">
            <xm:f>AND($AY$43&lt;&gt;0,'Sprachen &amp; Rückgabewerte(3)'!$I$19=TRUE)</xm:f>
            <x14:dxf>
              <border>
                <bottom style="thin">
                  <color rgb="FFFF0000"/>
                </bottom>
                <vertical/>
                <horizontal/>
              </border>
            </x14:dxf>
          </x14:cfRule>
          <x14:cfRule type="expression" priority="181" id="{C12573CF-476F-417F-83FA-EB54ACCF0846}">
            <xm:f>'Sprachen &amp; Rückgabewerte(3)'!$L$51=0</xm:f>
            <x14:dxf>
              <border>
                <bottom style="thin">
                  <color rgb="FFFF0000"/>
                </bottom>
                <vertical/>
                <horizontal/>
              </border>
            </x14:dxf>
          </x14:cfRule>
          <xm:sqref>AD40</xm:sqref>
        </x14:conditionalFormatting>
        <x14:conditionalFormatting xmlns:xm="http://schemas.microsoft.com/office/excel/2006/main">
          <x14:cfRule type="expression" priority="180" id="{F77A305B-A082-46DE-9E4E-3B297A6730A9}">
            <xm:f>'Sprachen &amp; Rückgabewerte(3)'!$L$51=0</xm:f>
            <x14:dxf>
              <border>
                <top style="thin">
                  <color rgb="FFFF0000"/>
                </top>
                <vertical/>
                <horizontal/>
              </border>
            </x14:dxf>
          </x14:cfRule>
          <xm:sqref>AD32</xm:sqref>
        </x14:conditionalFormatting>
        <x14:conditionalFormatting xmlns:xm="http://schemas.microsoft.com/office/excel/2006/main">
          <x14:cfRule type="expression" priority="179" id="{4BABA3DB-6D4A-4EE7-B258-FC5B991F33F7}">
            <xm:f>'Sprachen &amp; Rückgabewerte(3)'!$L$52=0</xm:f>
            <x14:dxf>
              <border>
                <left style="thin">
                  <color rgb="FFFF0000"/>
                </left>
                <vertical/>
                <horizontal/>
              </border>
            </x14:dxf>
          </x14:cfRule>
          <xm:sqref>AD42:AD50</xm:sqref>
        </x14:conditionalFormatting>
        <x14:conditionalFormatting xmlns:xm="http://schemas.microsoft.com/office/excel/2006/main">
          <x14:cfRule type="expression" priority="178" id="{8304C297-EFE0-43A9-8829-AF06B73038BF}">
            <xm:f>'Sprachen &amp; Rückgabewerte(3)'!$L$52=0</xm:f>
            <x14:dxf>
              <border>
                <top style="thin">
                  <color rgb="FFFF0000"/>
                </top>
                <vertical/>
                <horizontal/>
              </border>
            </x14:dxf>
          </x14:cfRule>
          <xm:sqref>AD42</xm:sqref>
        </x14:conditionalFormatting>
        <x14:conditionalFormatting xmlns:xm="http://schemas.microsoft.com/office/excel/2006/main">
          <x14:cfRule type="expression" priority="177" id="{FBEDBDB2-D62B-452A-A1BC-BB996493E50C}">
            <xm:f>'Sprachen &amp; Rückgabewerte(3)'!$L$52=0</xm:f>
            <x14:dxf>
              <border>
                <bottom style="thin">
                  <color rgb="FFFF0000"/>
                </bottom>
                <vertical/>
                <horizontal/>
              </border>
            </x14:dxf>
          </x14:cfRule>
          <xm:sqref>AD50</xm:sqref>
        </x14:conditionalFormatting>
        <x14:conditionalFormatting xmlns:xm="http://schemas.microsoft.com/office/excel/2006/main">
          <x14:cfRule type="expression" priority="176" id="{FB919411-747C-4808-B7CA-C57C51D0D826}">
            <xm:f>'Sprachen &amp; Rückgabewerte(3)'!$L$53=0</xm:f>
            <x14:dxf>
              <border>
                <left style="thin">
                  <color rgb="FFFF0000"/>
                </left>
                <vertical/>
                <horizontal/>
              </border>
            </x14:dxf>
          </x14:cfRule>
          <xm:sqref>AD52:AD58</xm:sqref>
        </x14:conditionalFormatting>
        <x14:conditionalFormatting xmlns:xm="http://schemas.microsoft.com/office/excel/2006/main">
          <x14:cfRule type="expression" priority="175" id="{9CBF6841-5174-4B35-9F04-9A85BA6E37E1}">
            <xm:f>'Sprachen &amp; Rückgabewerte(3)'!$L$53=0</xm:f>
            <x14:dxf>
              <border>
                <top style="thin">
                  <color rgb="FFFF0000"/>
                </top>
                <vertical/>
                <horizontal/>
              </border>
            </x14:dxf>
          </x14:cfRule>
          <xm:sqref>AD52</xm:sqref>
        </x14:conditionalFormatting>
        <x14:conditionalFormatting xmlns:xm="http://schemas.microsoft.com/office/excel/2006/main">
          <x14:cfRule type="expression" priority="174" id="{25491912-54C6-4DF2-A532-6B50CC6253F3}">
            <xm:f>'Sprachen &amp; Rückgabewerte(3)'!$L$53=0</xm:f>
            <x14:dxf>
              <border>
                <bottom style="thin">
                  <color rgb="FFFF0000"/>
                </bottom>
                <vertical/>
                <horizontal/>
              </border>
            </x14:dxf>
          </x14:cfRule>
          <xm:sqref>AD58</xm:sqref>
        </x14:conditionalFormatting>
        <x14:conditionalFormatting xmlns:xm="http://schemas.microsoft.com/office/excel/2006/main">
          <x14:cfRule type="expression" priority="173" id="{F3623AB2-823C-42C8-A156-B1F77CD39A85}">
            <xm:f>'Sprachen &amp; Rückgabewerte(3)'!$L$54=0</xm:f>
            <x14:dxf>
              <border>
                <left style="thin">
                  <color rgb="FFFF0000"/>
                </left>
                <vertical/>
                <horizontal/>
              </border>
            </x14:dxf>
          </x14:cfRule>
          <xm:sqref>AD60:AD71</xm:sqref>
        </x14:conditionalFormatting>
        <x14:conditionalFormatting xmlns:xm="http://schemas.microsoft.com/office/excel/2006/main">
          <x14:cfRule type="expression" priority="172" id="{7B8BFFB9-91C0-4579-A7C4-510B658403FB}">
            <xm:f>'Sprachen &amp; Rückgabewerte(3)'!$L$54=0</xm:f>
            <x14:dxf>
              <border>
                <top style="thin">
                  <color rgb="FFFF0000"/>
                </top>
                <vertical/>
                <horizontal/>
              </border>
            </x14:dxf>
          </x14:cfRule>
          <xm:sqref>AD60</xm:sqref>
        </x14:conditionalFormatting>
        <x14:conditionalFormatting xmlns:xm="http://schemas.microsoft.com/office/excel/2006/main">
          <x14:cfRule type="expression" priority="171" id="{BF9417FE-1DCB-425C-8AAC-C446A9E942DF}">
            <xm:f>'Sprachen &amp; Rückgabewerte(3)'!$L$54=0</xm:f>
            <x14:dxf>
              <border>
                <bottom style="thin">
                  <color rgb="FFFF0000"/>
                </bottom>
                <vertical/>
                <horizontal/>
              </border>
            </x14:dxf>
          </x14:cfRule>
          <xm:sqref>AD71</xm:sqref>
        </x14:conditionalFormatting>
        <x14:conditionalFormatting xmlns:xm="http://schemas.microsoft.com/office/excel/2006/main">
          <x14:cfRule type="expression" priority="155" id="{629AE001-C485-403E-BF6C-439E6748E119}">
            <xm:f>'Sprachen &amp; Rückgabewerte(3)'!$C$64=0</xm:f>
            <x14:dxf>
              <font>
                <color theme="0" tint="-0.14996795556505021"/>
              </font>
              <fill>
                <patternFill>
                  <bgColor theme="0" tint="-0.14996795556505021"/>
                </patternFill>
              </fill>
              <border>
                <left/>
                <right/>
                <top/>
                <bottom/>
                <vertical/>
                <horizontal/>
              </border>
            </x14:dxf>
          </x14:cfRule>
          <xm:sqref>AE70:AL70 AN70:AS70</xm:sqref>
        </x14:conditionalFormatting>
        <x14:conditionalFormatting xmlns:xm="http://schemas.microsoft.com/office/excel/2006/main">
          <x14:cfRule type="expression" priority="169" id="{F451470B-4899-4159-A0D8-7DDEC5E9DDFC}">
            <xm:f>'Sprachen &amp; Rückgabewerte(3)'!$L$55=0</xm:f>
            <x14:dxf>
              <border>
                <left style="thin">
                  <color rgb="FFFF0000"/>
                </left>
                <vertical/>
                <horizontal/>
              </border>
            </x14:dxf>
          </x14:cfRule>
          <xm:sqref>AD83:AD93</xm:sqref>
        </x14:conditionalFormatting>
        <x14:conditionalFormatting xmlns:xm="http://schemas.microsoft.com/office/excel/2006/main">
          <x14:cfRule type="expression" priority="168" id="{D1A92195-63D6-4D51-A53E-1605C15D39F9}">
            <xm:f>'Sprachen &amp; Rückgabewerte(3)'!$L$55=0</xm:f>
            <x14:dxf>
              <border>
                <top style="thin">
                  <color rgb="FFFF0000"/>
                </top>
                <vertical/>
                <horizontal/>
              </border>
            </x14:dxf>
          </x14:cfRule>
          <xm:sqref>AD83</xm:sqref>
        </x14:conditionalFormatting>
        <x14:conditionalFormatting xmlns:xm="http://schemas.microsoft.com/office/excel/2006/main">
          <x14:cfRule type="expression" priority="167" id="{777CB6E6-3006-40A7-A072-A68CE24CC883}">
            <xm:f>'Sprachen &amp; Rückgabewerte(3)'!$L$55=0</xm:f>
            <x14:dxf>
              <border>
                <bottom style="thin">
                  <color rgb="FFFF0000"/>
                </bottom>
                <vertical/>
                <horizontal/>
              </border>
            </x14:dxf>
          </x14:cfRule>
          <xm:sqref>AD93</xm:sqref>
        </x14:conditionalFormatting>
        <x14:conditionalFormatting xmlns:xm="http://schemas.microsoft.com/office/excel/2006/main">
          <x14:cfRule type="expression" priority="145" id="{8013DFE7-DD58-48A8-B6F1-5EAF973F32BF}">
            <xm:f>AND($AE$85="",$AE$84='Sprachen &amp; Rückgabewerte(3)'!$H$89)</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14:cfRule type="expression" priority="162" id="{0D17216E-06C6-42B3-8410-149BB121EB27}">
            <xm:f>$AE$84='Sprachen &amp; Rückgabewerte(3)'!$H$89</xm:f>
            <x14:dxf>
              <font>
                <color theme="1"/>
              </font>
              <fill>
                <patternFill>
                  <bgColor theme="0"/>
                </patternFill>
              </fill>
              <border>
                <left style="hair">
                  <color auto="1"/>
                </left>
                <right style="hair">
                  <color auto="1"/>
                </right>
                <top style="hair">
                  <color auto="1"/>
                </top>
                <bottom style="thin">
                  <color auto="1"/>
                </bottom>
                <vertical/>
                <horizontal/>
              </border>
            </x14:dxf>
          </x14:cfRule>
          <xm:sqref>AE85:AL85</xm:sqref>
        </x14:conditionalFormatting>
        <x14:conditionalFormatting xmlns:xm="http://schemas.microsoft.com/office/excel/2006/main">
          <x14:cfRule type="expression" priority="301" id="{F9BE2110-23EB-4844-9F0F-84CF2658076E}">
            <xm:f>'Sprachen &amp; Rückgabewerte(3)'!$C$48=FALSE</xm:f>
            <x14:dxf>
              <font>
                <color theme="0" tint="-0.14996795556505021"/>
              </font>
              <fill>
                <patternFill>
                  <bgColor theme="0" tint="-0.14996795556505021"/>
                </patternFill>
              </fill>
              <border>
                <left/>
                <right/>
                <top/>
                <bottom/>
                <vertical/>
                <horizontal/>
              </border>
            </x14:dxf>
          </x14:cfRule>
          <xm:sqref>H96:K96</xm:sqref>
        </x14:conditionalFormatting>
        <x14:conditionalFormatting xmlns:xm="http://schemas.microsoft.com/office/excel/2006/main">
          <x14:cfRule type="expression" priority="303" id="{061F99CF-AF97-4A9F-A4EA-BAFD5A2D95B0}">
            <xm:f>'Sprachen &amp; Rückgabewerte(3)'!$M$62=3</xm:f>
            <x14:dxf>
              <border>
                <left style="thin">
                  <color rgb="FFFF0000"/>
                </left>
                <vertical/>
                <horizontal/>
              </border>
            </x14:dxf>
          </x14:cfRule>
          <x14:cfRule type="expression" priority="304" id="{6C800B07-1CFC-4986-81C8-9D949C0EA480}">
            <xm:f>'Sprachen &amp; Rückgabewerte(3)'!$M$62=2</xm:f>
            <x14:dxf>
              <border>
                <left style="thin">
                  <color rgb="FFFF0000"/>
                </left>
                <vertical/>
                <horizontal/>
              </border>
            </x14:dxf>
          </x14:cfRule>
          <xm:sqref>C73:C97</xm:sqref>
        </x14:conditionalFormatting>
        <x14:conditionalFormatting xmlns:xm="http://schemas.microsoft.com/office/excel/2006/main">
          <x14:cfRule type="expression" priority="305" id="{0585CB03-7DCA-41B4-A65D-88DDA9395E7B}">
            <xm:f>'Sprachen &amp; Rückgabewerte(3)'!$M$62=2</xm:f>
            <x14:dxf>
              <border>
                <top style="thin">
                  <color rgb="FFFF0000"/>
                </top>
                <vertical/>
                <horizontal/>
              </border>
            </x14:dxf>
          </x14:cfRule>
          <x14:cfRule type="expression" priority="306" id="{40EAD226-1743-40A8-9A40-BF86B5A91509}">
            <xm:f>'Sprachen &amp; Rückgabewerte(3)'!$M$62=3</xm:f>
            <x14:dxf>
              <border>
                <top style="thin">
                  <color rgb="FFFF0000"/>
                </top>
                <vertical/>
                <horizontal/>
              </border>
            </x14:dxf>
          </x14:cfRule>
          <xm:sqref>C73:AB73</xm:sqref>
        </x14:conditionalFormatting>
        <x14:conditionalFormatting xmlns:xm="http://schemas.microsoft.com/office/excel/2006/main">
          <x14:cfRule type="expression" priority="307" id="{0F392BA8-B251-4CB0-AD17-9A5A2ABCCCA9}">
            <xm:f>'Sprachen &amp; Rückgabewerte(3)'!$M$62=2</xm:f>
            <x14:dxf>
              <border>
                <right style="thin">
                  <color rgb="FFFF0000"/>
                </right>
                <vertical/>
                <horizontal/>
              </border>
            </x14:dxf>
          </x14:cfRule>
          <x14:cfRule type="expression" priority="308" id="{71FDB005-6B92-4886-828E-8C0CBB716F7F}">
            <xm:f>'Sprachen &amp; Rückgabewerte(3)'!$M$62=3</xm:f>
            <x14:dxf>
              <border>
                <right style="thin">
                  <color rgb="FFFF0000"/>
                </right>
                <vertical/>
                <horizontal/>
              </border>
            </x14:dxf>
          </x14:cfRule>
          <xm:sqref>AB73:AB85</xm:sqref>
        </x14:conditionalFormatting>
        <x14:conditionalFormatting xmlns:xm="http://schemas.microsoft.com/office/excel/2006/main">
          <x14:cfRule type="expression" priority="311" id="{74072EF7-6448-48D3-80D2-7BC93C0B529C}">
            <xm:f>'Sprachen &amp; Rückgabewerte(3)'!$M$62=3</xm:f>
            <x14:dxf>
              <border>
                <bottom style="thin">
                  <color rgb="FFFF0000"/>
                </bottom>
                <vertical/>
                <horizontal/>
              </border>
            </x14:dxf>
          </x14:cfRule>
          <x14:cfRule type="expression" priority="312" id="{4AEEECD1-9ECA-4C40-BFF6-ED74543EB554}">
            <xm:f>'Sprachen &amp; Rückgabewerte(3)'!$M$62=2</xm:f>
            <x14:dxf>
              <border>
                <bottom style="thin">
                  <color rgb="FFFF0000"/>
                </bottom>
                <vertical/>
                <horizontal/>
              </border>
            </x14:dxf>
          </x14:cfRule>
          <xm:sqref>C97:K97</xm:sqref>
        </x14:conditionalFormatting>
        <x14:conditionalFormatting xmlns:xm="http://schemas.microsoft.com/office/excel/2006/main">
          <x14:cfRule type="expression" priority="313" id="{B4B12AC8-DC76-4465-A8DF-872BEE1ABFE2}">
            <xm:f>'Sprachen &amp; Rückgabewerte(3)'!$M$60=0</xm:f>
            <x14:dxf>
              <border>
                <left style="thin">
                  <color rgb="FFFF0000"/>
                </left>
                <vertical/>
                <horizontal/>
              </border>
            </x14:dxf>
          </x14:cfRule>
          <xm:sqref>M73:M85</xm:sqref>
        </x14:conditionalFormatting>
        <x14:conditionalFormatting xmlns:xm="http://schemas.microsoft.com/office/excel/2006/main">
          <x14:cfRule type="expression" priority="314" id="{2951631A-826D-432B-BB63-B64CF194C46B}">
            <xm:f>'Sprachen &amp; Rückgabewerte(3)'!$M$60=0</xm:f>
            <x14:dxf>
              <border>
                <top style="thin">
                  <color rgb="FFFF0000"/>
                </top>
                <vertical/>
                <horizontal/>
              </border>
            </x14:dxf>
          </x14:cfRule>
          <xm:sqref>M73:S73</xm:sqref>
        </x14:conditionalFormatting>
        <x14:conditionalFormatting xmlns:xm="http://schemas.microsoft.com/office/excel/2006/main">
          <x14:cfRule type="expression" priority="315" id="{02624CBF-F1F2-425C-A077-C441DE1D6015}">
            <xm:f>'Sprachen &amp; Rückgabewerte(3)'!$M$60=0</xm:f>
            <x14:dxf>
              <border>
                <right style="thin">
                  <color rgb="FFFF0000"/>
                </right>
                <vertical/>
                <horizontal/>
              </border>
            </x14:dxf>
          </x14:cfRule>
          <xm:sqref>S73:S85</xm:sqref>
        </x14:conditionalFormatting>
        <x14:conditionalFormatting xmlns:xm="http://schemas.microsoft.com/office/excel/2006/main">
          <x14:cfRule type="expression" priority="309" id="{262E0E19-D94C-4F76-8D09-D9E10B29DEF0}">
            <xm:f>'Sprachen &amp; Rückgabewerte(3)'!$M$60=0</xm:f>
            <x14:dxf>
              <border>
                <bottom style="thin">
                  <color rgb="FFFF0000"/>
                </bottom>
                <vertical/>
                <horizontal/>
              </border>
            </x14:dxf>
          </x14:cfRule>
          <xm:sqref>M85:S85</xm:sqref>
        </x14:conditionalFormatting>
        <x14:conditionalFormatting xmlns:xm="http://schemas.microsoft.com/office/excel/2006/main">
          <x14:cfRule type="expression" priority="317" id="{F863D591-947A-4698-B416-0DD36E2FC3D7}">
            <xm:f>'Sprachen &amp; Rückgabewerte(3)'!$M$56=0</xm:f>
            <x14:dxf>
              <border>
                <left style="thin">
                  <color rgb="FFFF0000"/>
                </left>
                <vertical/>
                <horizontal/>
              </border>
            </x14:dxf>
          </x14:cfRule>
          <xm:sqref>C62:C72</xm:sqref>
        </x14:conditionalFormatting>
        <x14:conditionalFormatting xmlns:xm="http://schemas.microsoft.com/office/excel/2006/main">
          <x14:cfRule type="expression" priority="165" id="{AB460370-B7F9-4FFE-855A-254FAAD1F53E}">
            <xm:f>'Sprachen &amp; Rückgabewerte(3)'!$M$56=0</xm:f>
            <x14:dxf>
              <border>
                <bottom style="thin">
                  <color rgb="FFFF0000"/>
                </bottom>
                <vertical/>
                <horizontal/>
              </border>
            </x14:dxf>
          </x14:cfRule>
          <xm:sqref>C72:AB72</xm:sqref>
        </x14:conditionalFormatting>
        <x14:conditionalFormatting xmlns:xm="http://schemas.microsoft.com/office/excel/2006/main">
          <x14:cfRule type="expression" priority="319" id="{6EA36078-BFD0-4D9F-8E2F-BD41431ED8F3}">
            <xm:f>'Sprachen &amp; Rückgabewerte(3)'!$M$56=0</xm:f>
            <x14:dxf>
              <border>
                <right style="thin">
                  <color rgb="FFFF0000"/>
                </right>
                <vertical/>
                <horizontal/>
              </border>
            </x14:dxf>
          </x14:cfRule>
          <xm:sqref>AB62:AB72</xm:sqref>
        </x14:conditionalFormatting>
        <x14:conditionalFormatting xmlns:xm="http://schemas.microsoft.com/office/excel/2006/main">
          <x14:cfRule type="expression" priority="320" id="{D42C8B04-A19E-47E7-BB4E-39DC56611FC5}">
            <xm:f>'Sprachen &amp; Rückgabewerte(3)'!$M$56=0</xm:f>
            <x14:dxf>
              <border>
                <top style="thin">
                  <color rgb="FFFF0000"/>
                </top>
                <vertical/>
                <horizontal/>
              </border>
            </x14:dxf>
          </x14:cfRule>
          <xm:sqref>C62:AB62</xm:sqref>
        </x14:conditionalFormatting>
        <x14:conditionalFormatting xmlns:xm="http://schemas.microsoft.com/office/excel/2006/main">
          <x14:cfRule type="expression" priority="150" id="{778644C0-A0B1-465C-BB4A-B8D0ED9B4CD8}">
            <xm:f>'Sprachen &amp; Rückgabewerte(3)'!$M$66=FALSE</xm:f>
            <x14:dxf>
              <border>
                <left style="thin">
                  <color rgb="FFFF0000"/>
                </left>
                <vertical/>
                <horizontal/>
              </border>
            </x14:dxf>
          </x14:cfRule>
          <xm:sqref>AD73:AD81</xm:sqref>
        </x14:conditionalFormatting>
        <x14:conditionalFormatting xmlns:xm="http://schemas.microsoft.com/office/excel/2006/main">
          <x14:cfRule type="expression" priority="149" id="{8943912C-2822-41D9-8BBB-49B3D1D50D75}">
            <xm:f>'Sprachen &amp; Rückgabewerte(3)'!$M$66=FALSE</xm:f>
            <x14:dxf>
              <border>
                <top style="thin">
                  <color rgb="FFFF0000"/>
                </top>
                <vertical/>
                <horizontal/>
              </border>
            </x14:dxf>
          </x14:cfRule>
          <xm:sqref>AD73:AT73</xm:sqref>
        </x14:conditionalFormatting>
        <x14:conditionalFormatting xmlns:xm="http://schemas.microsoft.com/office/excel/2006/main">
          <x14:cfRule type="expression" priority="148" id="{62225F19-8536-4CE3-9B4C-2923E1722DC3}">
            <xm:f>'Sprachen &amp; Rückgabewerte(3)'!$M$66=FALSE</xm:f>
            <x14:dxf>
              <border>
                <right style="thin">
                  <color rgb="FFFF0000"/>
                </right>
                <vertical/>
                <horizontal/>
              </border>
            </x14:dxf>
          </x14:cfRule>
          <xm:sqref>AT73:AT81</xm:sqref>
        </x14:conditionalFormatting>
        <x14:conditionalFormatting xmlns:xm="http://schemas.microsoft.com/office/excel/2006/main">
          <x14:cfRule type="expression" priority="147" id="{D2383C16-FB42-4C2C-BDDC-19407AF555F2}">
            <xm:f>'Sprachen &amp; Rückgabewerte(3)'!$M$66=FALSE</xm:f>
            <x14:dxf>
              <border>
                <bottom style="thin">
                  <color rgb="FFFF0000"/>
                </bottom>
                <vertical/>
                <horizontal/>
              </border>
            </x14:dxf>
          </x14:cfRule>
          <xm:sqref>AD81:AT81</xm:sqref>
        </x14:conditionalFormatting>
        <x14:conditionalFormatting xmlns:xm="http://schemas.microsoft.com/office/excel/2006/main">
          <x14:cfRule type="expression" priority="124" id="{8FBCCECB-D7E7-4869-A916-59ABBD6C986B}">
            <xm:f>'Sprachen &amp; Rückgabewerte(3)'!$I$19=FALSE</xm:f>
            <x14:dxf>
              <font>
                <color theme="0" tint="-0.14996795556505021"/>
              </font>
              <fill>
                <patternFill>
                  <bgColor theme="0" tint="-0.14996795556505021"/>
                </patternFill>
              </fill>
              <border>
                <left/>
                <right/>
                <top/>
                <bottom/>
                <vertical/>
                <horizontal/>
              </border>
            </x14:dxf>
          </x14:cfRule>
          <xm:sqref>AW30:BA43</xm:sqref>
        </x14:conditionalFormatting>
        <x14:conditionalFormatting xmlns:xm="http://schemas.microsoft.com/office/excel/2006/main">
          <x14:cfRule type="expression" priority="131" id="{5E06C162-C392-4522-9485-EC3F5FFEE7D6}">
            <xm:f>'Sprachen &amp; Rückgabewerte(3)'!$I$13=FALSE</xm:f>
            <x14:dxf>
              <font>
                <color theme="0" tint="-0.14996795556505021"/>
              </font>
              <fill>
                <patternFill>
                  <bgColor theme="0" tint="-0.14996795556505021"/>
                </patternFill>
              </fill>
              <border>
                <left/>
                <right style="thin">
                  <color auto="1"/>
                </right>
                <top/>
                <bottom/>
                <vertical/>
                <horizontal/>
              </border>
            </x14:dxf>
          </x14:cfRule>
          <xm:sqref>A28</xm:sqref>
        </x14:conditionalFormatting>
        <x14:conditionalFormatting xmlns:xm="http://schemas.microsoft.com/office/excel/2006/main">
          <x14:cfRule type="expression" priority="123" id="{2F9CFC7A-299E-490C-A394-0A20A41EB52A}">
            <xm:f>AND($AY$43&lt;&gt;0,'Sprachen &amp; Rückgabewerte(3)'!$I$19=TRUE)</xm:f>
            <x14:dxf>
              <border>
                <top style="thin">
                  <color rgb="FFFF0000"/>
                </top>
                <vertical/>
                <horizontal/>
              </border>
            </x14:dxf>
          </x14:cfRule>
          <x14:cfRule type="expression" priority="128" id="{03225792-497B-4BA5-A940-26D142AF7735}">
            <xm:f>'Sprachen &amp; Rückgabewerte(3)'!$I$19=FALSE</xm:f>
            <x14:dxf>
              <border>
                <top/>
                <vertical/>
                <horizontal/>
              </border>
            </x14:dxf>
          </x14:cfRule>
          <xm:sqref>AU32:AV32</xm:sqref>
        </x14:conditionalFormatting>
        <x14:conditionalFormatting xmlns:xm="http://schemas.microsoft.com/office/excel/2006/main">
          <x14:cfRule type="expression" priority="127" id="{6C7EF7D4-279A-45D5-8AC2-4ADEFF15956C}">
            <xm:f>AND($AY$43&lt;&gt;0,'Sprachen &amp; Rückgabewerte(3)'!$I$19=TRUE)</xm:f>
            <x14:dxf>
              <border>
                <left style="thin">
                  <color rgb="FFFF0000"/>
                </left>
                <right style="thin">
                  <color rgb="FFFF0000"/>
                </right>
                <top style="thin">
                  <color rgb="FFFF0000"/>
                </top>
                <vertical/>
                <horizontal/>
              </border>
            </x14:dxf>
          </x14:cfRule>
          <xm:sqref>AW30:BA32</xm:sqref>
        </x14:conditionalFormatting>
        <x14:conditionalFormatting xmlns:xm="http://schemas.microsoft.com/office/excel/2006/main">
          <x14:cfRule type="expression" priority="126" id="{D60EE1A3-F240-40C0-9A85-4811B17BEAF8}">
            <xm:f>AND($AY$43&lt;&gt;0,'Sprachen &amp; Rückgabewerte(3)'!$I$19=TRUE)</xm:f>
            <x14:dxf>
              <border>
                <right style="thin">
                  <color rgb="FFFF0000"/>
                </right>
                <vertical/>
                <horizontal/>
              </border>
            </x14:dxf>
          </x14:cfRule>
          <xm:sqref>BA33:BA43</xm:sqref>
        </x14:conditionalFormatting>
        <x14:conditionalFormatting xmlns:xm="http://schemas.microsoft.com/office/excel/2006/main">
          <x14:cfRule type="expression" priority="125" id="{A7334B90-8A7B-486E-99B8-359B26DF1912}">
            <xm:f>AND($AY$43&lt;&gt;0,'Sprachen &amp; Rückgabewerte(3)'!$I$19=TRUE)</xm:f>
            <x14:dxf>
              <border>
                <bottom style="thin">
                  <color rgb="FFFF0000"/>
                </bottom>
                <vertical/>
                <horizontal/>
              </border>
            </x14:dxf>
          </x14:cfRule>
          <xm:sqref>AW43:BA43</xm:sqref>
        </x14:conditionalFormatting>
        <x14:conditionalFormatting xmlns:xm="http://schemas.microsoft.com/office/excel/2006/main">
          <x14:cfRule type="expression" priority="129" id="{3F8CC12B-5C0B-4615-9572-90D5E7BE600A}">
            <xm:f>AND($AY$43&lt;&gt;0,'Sprachen &amp; Rückgabewerte(3)'!$I$19=TRUE)</xm:f>
            <x14:dxf>
              <border>
                <left style="thin">
                  <color rgb="FFFF0000"/>
                </left>
                <vertical/>
                <horizontal/>
              </border>
            </x14:dxf>
          </x14:cfRule>
          <xm:sqref>AW33:AW43</xm:sqref>
        </x14:conditionalFormatting>
        <x14:conditionalFormatting xmlns:xm="http://schemas.microsoft.com/office/excel/2006/main">
          <x14:cfRule type="expression" priority="122" id="{F849522F-D360-4B8C-B4A1-F1DD6BE3F51C}">
            <xm:f>AND($AY$43&lt;&gt;0,'Sprachen &amp; Rückgabewerte(3)'!$I$19=TRUE)</xm:f>
            <x14:dxf>
              <border>
                <top style="thin">
                  <color rgb="FFFF0000"/>
                </top>
                <vertical/>
                <horizontal/>
              </border>
            </x14:dxf>
          </x14:cfRule>
          <xm:sqref>AD32:AT32</xm:sqref>
        </x14:conditionalFormatting>
        <x14:conditionalFormatting xmlns:xm="http://schemas.microsoft.com/office/excel/2006/main">
          <x14:cfRule type="expression" priority="120" id="{88EF26C1-37D7-4330-8A18-DABBB175F4DD}">
            <xm:f>AND($AY$43&lt;&gt;0,'Sprachen &amp; Rückgabewerte(3)'!$I$19=TRUE)</xm:f>
            <x14:dxf>
              <border>
                <bottom style="thin">
                  <color rgb="FFFF0000"/>
                </bottom>
                <vertical/>
                <horizontal/>
              </border>
            </x14:dxf>
          </x14:cfRule>
          <xm:sqref>AD40:AT40</xm:sqref>
        </x14:conditionalFormatting>
        <x14:conditionalFormatting xmlns:xm="http://schemas.microsoft.com/office/excel/2006/main">
          <x14:cfRule type="expression" priority="117" id="{346A5FA9-FC46-4327-B8FC-F5BE5DBBC64F}">
            <xm:f>AND('Sprachen &amp; Rückgabewerte(3)'!$I$50=TRUE,'Sprachen &amp; Rückgabewerte(3)'!$C$95&lt;&gt;0)</xm:f>
            <x14:dxf>
              <border>
                <top style="thin">
                  <color rgb="FFFF0000"/>
                </top>
                <vertical/>
                <horizontal/>
              </border>
            </x14:dxf>
          </x14:cfRule>
          <xm:sqref>B101:AU101</xm:sqref>
        </x14:conditionalFormatting>
        <x14:conditionalFormatting xmlns:xm="http://schemas.microsoft.com/office/excel/2006/main">
          <x14:cfRule type="expression" priority="116" id="{8FCD6F2B-4B62-4D3E-BBA7-D06A17A98F99}">
            <xm:f>AND('Sprachen &amp; Rückgabewerte(3)'!$I$50=TRUE,'Sprachen &amp; Rückgabewerte(3)'!$C$95&lt;&gt;0)</xm:f>
            <x14:dxf>
              <border>
                <right style="thin">
                  <color rgb="FFFF0000"/>
                </right>
                <vertical/>
                <horizontal/>
              </border>
            </x14:dxf>
          </x14:cfRule>
          <xm:sqref>AU101:AU136</xm:sqref>
        </x14:conditionalFormatting>
        <x14:conditionalFormatting xmlns:xm="http://schemas.microsoft.com/office/excel/2006/main">
          <x14:cfRule type="expression" priority="115" id="{9BD2E15A-BBFB-479A-A0AA-4B8B3F4147F0}">
            <xm:f>AND('Sprachen &amp; Rückgabewerte(3)'!$I$50=TRUE,'Sprachen &amp; Rückgabewerte(3)'!$C$95&lt;&gt;0)</xm:f>
            <x14:dxf>
              <border>
                <bottom style="thin">
                  <color rgb="FFFF0000"/>
                </bottom>
                <vertical/>
                <horizontal/>
              </border>
            </x14:dxf>
          </x14:cfRule>
          <xm:sqref>B136:AU136</xm:sqref>
        </x14:conditionalFormatting>
        <x14:conditionalFormatting xmlns:xm="http://schemas.microsoft.com/office/excel/2006/main">
          <x14:cfRule type="expression" priority="114" id="{2B553389-39F7-49A5-9C0E-E49BF162A426}">
            <xm:f>AND('Sprachen &amp; Rückgabewerte(3)'!$I$50=TRUE,'Sprachen &amp; Rückgabewerte(3)'!$C$95&lt;&gt;0)</xm:f>
            <x14:dxf>
              <border>
                <left style="thin">
                  <color rgb="FFFF0000"/>
                </left>
                <vertical/>
                <horizontal/>
              </border>
            </x14:dxf>
          </x14:cfRule>
          <xm:sqref>B101:B136</xm:sqref>
        </x14:conditionalFormatting>
        <x14:conditionalFormatting xmlns:xm="http://schemas.microsoft.com/office/excel/2006/main">
          <x14:cfRule type="expression" priority="113" id="{65A5FA92-8931-4C33-BC33-53C05ECCCD98}">
            <xm:f>AND('Sprachen &amp; Rückgabewerte(3)'!$I$50=TRUE,'Sprachen &amp; Rückgabewerte(3)'!$C$95&lt;&gt;0)</xm:f>
            <x14:dxf>
              <border>
                <top style="thin">
                  <color rgb="FFFF0000"/>
                </top>
                <bottom/>
                <vertical/>
                <horizontal/>
              </border>
            </x14:dxf>
          </x14:cfRule>
          <xm:sqref>AV101</xm:sqref>
        </x14:conditionalFormatting>
        <x14:conditionalFormatting xmlns:xm="http://schemas.microsoft.com/office/excel/2006/main">
          <x14:cfRule type="expression" priority="109" id="{D34F01B0-445B-4010-ADDD-207039C8CA43}">
            <xm:f>'Sprachen &amp; Rückgabewerte(3)'!$I$50=FALSE</xm:f>
            <x14:dxf>
              <border>
                <right/>
                <vertical/>
                <horizontal/>
              </border>
            </x14:dxf>
          </x14:cfRule>
          <x14:cfRule type="expression" priority="112" id="{79EB76EA-2313-436E-84A7-4B25F8948142}">
            <xm:f>AND('Sprachen &amp; Rückgabewerte(3)'!$I$50=TRUE,'Sprachen &amp; Rückgabewerte(3)'!$C$95&lt;&gt;0)</xm:f>
            <x14:dxf>
              <border>
                <right style="thin">
                  <color rgb="FFFF0000"/>
                </right>
                <vertical/>
                <horizontal/>
              </border>
            </x14:dxf>
          </x14:cfRule>
          <xm:sqref>AV84:AV100</xm:sqref>
        </x14:conditionalFormatting>
        <x14:conditionalFormatting xmlns:xm="http://schemas.microsoft.com/office/excel/2006/main">
          <x14:cfRule type="expression" priority="110" id="{52C5C38C-4E30-4E59-8E91-4CB934ADDC58}">
            <xm:f>'Sprachen &amp; Rückgabewerte(3)'!$I$50=FALSE</xm:f>
            <x14:dxf>
              <border>
                <top/>
                <vertical/>
                <horizontal/>
              </border>
            </x14:dxf>
          </x14:cfRule>
          <x14:cfRule type="expression" priority="111" id="{ECD7B558-81E7-4CCB-8483-4A7673122A10}">
            <xm:f>AND('Sprachen &amp; Rückgabewerte(3)'!$I$50=TRUE,'Sprachen &amp; Rückgabewerte(3)'!$C$95&lt;&gt;0)</xm:f>
            <x14:dxf>
              <border>
                <top style="thin">
                  <color rgb="FFFF0000"/>
                </top>
                <vertical/>
                <horizontal/>
              </border>
            </x14:dxf>
          </x14:cfRule>
          <xm:sqref>AU84:AV84</xm:sqref>
        </x14:conditionalFormatting>
        <x14:conditionalFormatting xmlns:xm="http://schemas.microsoft.com/office/excel/2006/main">
          <x14:cfRule type="expression" priority="108" id="{77F26E03-F6C1-4161-8454-AC2AB6F68A53}">
            <xm:f>'Sprachen &amp; Rückgabewerte(3)'!$I$50=FALSE</xm:f>
            <x14:dxf>
              <border>
                <bottom/>
                <vertical/>
                <horizontal/>
              </border>
            </x14:dxf>
          </x14:cfRule>
          <xm:sqref>AV100</xm:sqref>
        </x14:conditionalFormatting>
        <x14:conditionalFormatting xmlns:xm="http://schemas.microsoft.com/office/excel/2006/main">
          <x14:cfRule type="expression" priority="97" id="{798EF310-CF49-4B84-B757-6F7576F563BF}">
            <xm:f>'Sprachen &amp; Rückgabewerte(3)'!$S$41=3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1" id="{3F3FDF11-B692-433C-83CC-461CB0995EB8}">
            <xm:f>'Sprachen &amp; Rückgabewerte(3)'!$S$41=2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2" id="{66ED765B-8646-4218-A62A-CA3B22E9731D}">
            <xm:f>'Sprachen &amp; Rückgabewerte(3)'!$S$41=1</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I48:K48</xm:sqref>
        </x14:conditionalFormatting>
        <x14:conditionalFormatting xmlns:xm="http://schemas.microsoft.com/office/excel/2006/main">
          <x14:cfRule type="expression" priority="323" id="{8C9E3B32-64BB-4148-A69D-2320350F86CB}">
            <xm:f>'Sprachen &amp; Rückgabewerte(3)'!$S$41=3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14:cfRule type="expression" priority="324" id="{C57CB87D-E758-4401-B1DE-372A979D4354}">
            <xm:f>'Sprachen &amp; Rückgabewerte(3)'!$S$41=2</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I47:K47</xm:sqref>
        </x14:conditionalFormatting>
        <x14:conditionalFormatting xmlns:xm="http://schemas.microsoft.com/office/excel/2006/main">
          <x14:cfRule type="expression" priority="325" id="{6EFD13F7-7FD9-4745-980D-3393E8F446CD}">
            <xm:f>'Sprachen &amp; Rückgabewerte(3)'!$S$41=3</xm:f>
            <x14:dxf>
              <font>
                <b/>
                <i val="0"/>
                <color theme="1"/>
              </font>
            </x14:dxf>
          </x14:cfRule>
          <x14:cfRule type="expression" priority="326" id="{2EDBEB25-993C-46F2-91DF-B0E96D653B76}">
            <xm:f>'Sprachen &amp; Rückgabewerte(3)'!$S$41=3</xm:f>
            <x14:dxf>
              <font>
                <b/>
                <i val="0"/>
                <color theme="1"/>
              </font>
              <fill>
                <patternFill>
                  <bgColor theme="0"/>
                </patternFill>
              </fill>
              <border>
                <left style="hair">
                  <color auto="1"/>
                </left>
                <right style="hair">
                  <color auto="1"/>
                </right>
                <top style="hair">
                  <color auto="1"/>
                </top>
                <bottom style="thin">
                  <color auto="1"/>
                </bottom>
                <vertical/>
                <horizontal/>
              </border>
            </x14:dxf>
          </x14:cfRule>
          <xm:sqref>I46:K46</xm:sqref>
        </x14:conditionalFormatting>
        <x14:conditionalFormatting xmlns:xm="http://schemas.microsoft.com/office/excel/2006/main">
          <x14:cfRule type="expression" priority="327" id="{21D839F9-5D48-413D-8274-D8013A3FACCE}">
            <xm:f>'Sprachen &amp; Rückgabewerte(3)'!$S$41=3</xm:f>
            <x14:dxf>
              <font>
                <b/>
                <i val="0"/>
                <color theme="1"/>
              </font>
            </x14:dxf>
          </x14:cfRule>
          <xm:sqref>L46</xm:sqref>
        </x14:conditionalFormatting>
        <x14:conditionalFormatting xmlns:xm="http://schemas.microsoft.com/office/excel/2006/main">
          <x14:cfRule type="expression" priority="328" id="{DAEE59AC-9243-45DC-81AA-140B075B9F44}">
            <xm:f>'Sprachen &amp; Rückgabewerte(3)'!$S$41=2</xm:f>
            <x14:dxf>
              <font>
                <b/>
                <i val="0"/>
                <color theme="1"/>
              </font>
            </x14:dxf>
          </x14:cfRule>
          <x14:cfRule type="expression" priority="329" id="{14E124DD-51E6-45F1-9F06-2A4C3D3129DA}">
            <xm:f>'Sprachen &amp; Rückgabewerte(3)'!$S$41=3</xm:f>
            <x14:dxf>
              <font>
                <b/>
                <i val="0"/>
                <color theme="1"/>
              </font>
            </x14:dxf>
          </x14:cfRule>
          <xm:sqref>L47</xm:sqref>
        </x14:conditionalFormatting>
        <x14:conditionalFormatting xmlns:xm="http://schemas.microsoft.com/office/excel/2006/main">
          <x14:cfRule type="expression" priority="330" id="{CE304267-9D3E-4EB5-90CD-2F1983505110}">
            <xm:f>'Sprachen &amp; Rückgabewerte(3)'!$S$41=3</xm:f>
            <x14:dxf>
              <font>
                <b/>
                <i val="0"/>
                <color theme="1"/>
              </font>
            </x14:dxf>
          </x14:cfRule>
          <x14:cfRule type="expression" priority="331" id="{7E36449F-B86E-4520-B1B0-2C55A542196E}">
            <xm:f>'Sprachen &amp; Rückgabewerte(3)'!$S$41=2</xm:f>
            <x14:dxf>
              <font>
                <b/>
                <i val="0"/>
                <color theme="1"/>
              </font>
            </x14:dxf>
          </x14:cfRule>
          <x14:cfRule type="expression" priority="332" id="{EB541753-2729-47A2-87AC-F206631DA7CF}">
            <xm:f>'Sprachen &amp; Rückgabewerte(3)'!$S$41=1</xm:f>
            <x14:dxf>
              <font>
                <b/>
                <i val="0"/>
                <color theme="1"/>
              </font>
            </x14:dxf>
          </x14:cfRule>
          <xm:sqref>L48</xm:sqref>
        </x14:conditionalFormatting>
        <x14:conditionalFormatting xmlns:xm="http://schemas.microsoft.com/office/excel/2006/main">
          <x14:cfRule type="expression" priority="105" id="{4E9EDDEB-134C-4A19-AE65-3A908ECCE8FB}">
            <xm:f>'Sprachen &amp; Rückgabewerte(3)'!$M$71=0</xm:f>
            <x14:dxf>
              <border>
                <top style="thin">
                  <color rgb="FFFF0000"/>
                </top>
                <vertical/>
                <horizontal/>
              </border>
            </x14:dxf>
          </x14:cfRule>
          <xm:sqref>AW45:AX45</xm:sqref>
        </x14:conditionalFormatting>
        <x14:conditionalFormatting xmlns:xm="http://schemas.microsoft.com/office/excel/2006/main">
          <x14:cfRule type="expression" priority="104" id="{BE180AD3-BF40-4CEE-8282-0B76EB0DF17E}">
            <xm:f>'Sprachen &amp; Rückgabewerte(3)'!$M$71=0</xm:f>
            <x14:dxf>
              <border>
                <right style="thin">
                  <color rgb="FFFF0000"/>
                </right>
                <vertical/>
                <horizontal/>
              </border>
            </x14:dxf>
          </x14:cfRule>
          <xm:sqref>AX45:AX47 AW48:AX48 AX49</xm:sqref>
        </x14:conditionalFormatting>
        <x14:conditionalFormatting xmlns:xm="http://schemas.microsoft.com/office/excel/2006/main">
          <x14:cfRule type="expression" priority="103" id="{B8D639E1-8C03-489A-8194-20BC32DC4A04}">
            <xm:f>'Sprachen &amp; Rückgabewerte(3)'!$M$71=0</xm:f>
            <x14:dxf>
              <border>
                <bottom style="thin">
                  <color rgb="FFFF0000"/>
                </bottom>
                <vertical/>
                <horizontal/>
              </border>
            </x14:dxf>
          </x14:cfRule>
          <xm:sqref>AW49:AX49</xm:sqref>
        </x14:conditionalFormatting>
        <x14:conditionalFormatting xmlns:xm="http://schemas.microsoft.com/office/excel/2006/main">
          <x14:cfRule type="expression" priority="102" id="{AE9A8003-7EE0-4A61-8D9D-F0C1A4D0B266}">
            <xm:f>'Sprachen &amp; Rückgabewerte(3)'!$M$71=0</xm:f>
            <x14:dxf>
              <border>
                <left style="thin">
                  <color rgb="FFFF0000"/>
                </left>
                <vertical/>
                <horizontal/>
              </border>
            </x14:dxf>
          </x14:cfRule>
          <xm:sqref>AW49 AW48:AX48 AW45:AW47</xm:sqref>
        </x14:conditionalFormatting>
        <x14:conditionalFormatting xmlns:xm="http://schemas.microsoft.com/office/excel/2006/main">
          <x14:cfRule type="expression" priority="99" id="{7357237A-ACB1-4FAE-ADA6-569F3B5618E1}">
            <xm:f>'Sprachen &amp; Rückgabewerte(3)'!$L$71=1</xm:f>
            <x14:dxf>
              <font>
                <color theme="0" tint="-0.14996795556505021"/>
              </font>
              <fill>
                <patternFill>
                  <bgColor theme="0" tint="-0.14996795556505021"/>
                </patternFill>
              </fill>
              <border>
                <top/>
                <vertical/>
                <horizontal/>
              </border>
            </x14:dxf>
          </x14:cfRule>
          <x14:cfRule type="expression" priority="101" id="{9D78A27D-6411-44D6-82AF-D6453539B1EA}">
            <xm:f>'Sprachen &amp; Rückgabewerte(3)'!$M$71=0</xm:f>
            <x14:dxf>
              <border>
                <top style="thin">
                  <color rgb="FFFF0000"/>
                </top>
                <vertical/>
                <horizontal/>
              </border>
            </x14:dxf>
          </x14:cfRule>
          <xm:sqref>AU45:AV45</xm:sqref>
        </x14:conditionalFormatting>
        <x14:conditionalFormatting xmlns:xm="http://schemas.microsoft.com/office/excel/2006/main">
          <x14:cfRule type="expression" priority="100" id="{1C502B43-3023-4C35-A405-793C94260D05}">
            <xm:f>'Sprachen &amp; Rückgabewerte(3)'!$L$71=1</xm:f>
            <x14:dxf>
              <font>
                <color theme="0" tint="-0.14996795556505021"/>
              </font>
              <fill>
                <patternFill>
                  <bgColor theme="0" tint="-0.14996795556505021"/>
                </patternFill>
              </fill>
              <border>
                <left/>
                <right/>
                <top/>
                <bottom/>
                <vertical/>
                <horizontal/>
              </border>
            </x14:dxf>
          </x14:cfRule>
          <xm:sqref>AW45:AX49</xm:sqref>
        </x14:conditionalFormatting>
        <x14:conditionalFormatting xmlns:xm="http://schemas.microsoft.com/office/excel/2006/main">
          <x14:cfRule type="expression" priority="79" id="{25F0D4AA-B3C1-4B0A-ACEA-B9295F6375E4}">
            <xm:f>'Sprachen &amp; Rückgabewerte(3)'!$I$50=FALSE</xm:f>
            <x14:dxf>
              <font>
                <color theme="0" tint="-0.14996795556505021"/>
              </font>
              <fill>
                <patternFill>
                  <bgColor theme="0" tint="-0.14996795556505021"/>
                </patternFill>
              </fill>
              <border>
                <left/>
                <right/>
                <top/>
                <bottom/>
                <vertical/>
                <horizontal/>
              </border>
            </x14:dxf>
          </x14:cfRule>
          <xm:sqref>T104:U104</xm:sqref>
        </x14:conditionalFormatting>
        <x14:conditionalFormatting xmlns:xm="http://schemas.microsoft.com/office/excel/2006/main">
          <x14:cfRule type="expression" priority="78" id="{4406F7C3-D8DF-4BAB-AA77-C1D88BF095AA}">
            <xm:f>'Sprachen &amp; Rückgabewerte(3)'!$I$50=FALSE</xm:f>
            <x14:dxf>
              <font>
                <color theme="0" tint="-0.14996795556505021"/>
              </font>
              <fill>
                <patternFill>
                  <bgColor theme="0" tint="-0.14996795556505021"/>
                </patternFill>
              </fill>
              <border>
                <left/>
                <right/>
                <top/>
                <bottom/>
                <vertical/>
                <horizontal/>
              </border>
            </x14:dxf>
          </x14:cfRule>
          <xm:sqref>T114:U114 T112:Y112 T110:Y110 T106:V106 T108:V108 R112 R114</xm:sqref>
        </x14:conditionalFormatting>
        <x14:conditionalFormatting xmlns:xm="http://schemas.microsoft.com/office/excel/2006/main">
          <x14:cfRule type="expression" priority="77" id="{6F948FFD-5831-467A-8207-19A1BA9BD578}">
            <xm:f>$AX$19='Sprachen &amp; Rückgabewerte(3)'!$H$155</xm:f>
            <x14:dxf>
              <font>
                <color rgb="FFFF0000"/>
              </font>
            </x14:dxf>
          </x14:cfRule>
          <xm:sqref>AX19:BA20</xm:sqref>
        </x14:conditionalFormatting>
        <x14:conditionalFormatting xmlns:xm="http://schemas.microsoft.com/office/excel/2006/main">
          <x14:cfRule type="expression" priority="74" id="{AF7E976B-FD00-4E96-AFC0-585CB3E42CD5}">
            <xm:f>$A$9='Sprachen &amp; Rückgabewerte(3)'!$H$132</xm:f>
            <x14:dxf>
              <font>
                <b/>
                <i val="0"/>
                <color theme="1"/>
              </font>
              <fill>
                <patternFill>
                  <bgColor theme="0"/>
                </patternFill>
              </fill>
              <border>
                <left style="hair">
                  <color auto="1"/>
                </left>
                <right style="hair">
                  <color auto="1"/>
                </right>
                <top style="hair">
                  <color auto="1"/>
                </top>
                <vertical/>
                <horizontal/>
              </border>
            </x14:dxf>
          </x14:cfRule>
          <xm:sqref>I11</xm:sqref>
        </x14:conditionalFormatting>
        <x14:conditionalFormatting xmlns:xm="http://schemas.microsoft.com/office/excel/2006/main">
          <x14:cfRule type="expression" priority="70" id="{F4BDE267-C1B7-404C-B5AA-51E00869F5D7}">
            <xm:f>$AN$80&lt;&gt;'Sprachen &amp; Rückgabewerte(3)'!$H$85</xm:f>
            <x14:dxf>
              <border>
                <left style="thin">
                  <color auto="1"/>
                </left>
                <top style="thin">
                  <color auto="1"/>
                </top>
                <vertical/>
                <horizontal/>
              </border>
            </x14:dxf>
          </x14:cfRule>
          <xm:sqref>AW76</xm:sqref>
        </x14:conditionalFormatting>
        <x14:conditionalFormatting xmlns:xm="http://schemas.microsoft.com/office/excel/2006/main">
          <x14:cfRule type="expression" priority="69" id="{A5C907BF-A9AC-4292-910E-B305BF0E24DC}">
            <xm:f>$AN$80&lt;&gt;'Sprachen &amp; Rückgabewerte(3)'!$H$85</xm:f>
            <x14:dxf>
              <border>
                <left style="thin">
                  <color auto="1"/>
                </left>
                <vertical/>
                <horizontal/>
              </border>
            </x14:dxf>
          </x14:cfRule>
          <xm:sqref>AW77</xm:sqref>
        </x14:conditionalFormatting>
        <x14:conditionalFormatting xmlns:xm="http://schemas.microsoft.com/office/excel/2006/main">
          <x14:cfRule type="expression" priority="68" id="{B57C80A6-EDAD-41B8-93CC-B9898A3E68B3}">
            <xm:f>$AN$80&lt;&gt;'Sprachen &amp; Rückgabewerte(3)'!$H$85</xm:f>
            <x14:dxf>
              <border>
                <left style="thin">
                  <color auto="1"/>
                </left>
                <vertical/>
                <horizontal/>
              </border>
            </x14:dxf>
          </x14:cfRule>
          <xm:sqref>AW78</xm:sqref>
        </x14:conditionalFormatting>
        <x14:conditionalFormatting xmlns:xm="http://schemas.microsoft.com/office/excel/2006/main">
          <x14:cfRule type="expression" priority="67" id="{1951647E-7730-4B75-8955-92E25BBA1970}">
            <xm:f>$AN$80&lt;&gt;'Sprachen &amp; Rückgabewerte(3)'!$H$85</xm:f>
            <x14:dxf>
              <border>
                <left style="thin">
                  <color auto="1"/>
                </left>
                <vertical/>
                <horizontal/>
              </border>
            </x14:dxf>
          </x14:cfRule>
          <xm:sqref>AW79</xm:sqref>
        </x14:conditionalFormatting>
        <x14:conditionalFormatting xmlns:xm="http://schemas.microsoft.com/office/excel/2006/main">
          <x14:cfRule type="expression" priority="66" id="{DDF73EF4-9A84-4975-9711-4CC358F404A4}">
            <xm:f>$AN$80&lt;&gt;'Sprachen &amp; Rückgabewerte(3)'!$H$85</xm:f>
            <x14:dxf>
              <border>
                <left style="thin">
                  <color auto="1"/>
                </left>
                <bottom style="thin">
                  <color auto="1"/>
                </bottom>
                <vertical/>
                <horizontal/>
              </border>
            </x14:dxf>
          </x14:cfRule>
          <xm:sqref>AW80</xm:sqref>
        </x14:conditionalFormatting>
        <x14:conditionalFormatting xmlns:xm="http://schemas.microsoft.com/office/excel/2006/main">
          <x14:cfRule type="expression" priority="65" id="{173F9418-6644-4248-94B9-97DB141C45A9}">
            <xm:f>$AN$80&lt;&gt;'Sprachen &amp; Rückgabewerte(3)'!$H$86</xm:f>
            <x14:dxf>
              <border>
                <right style="thin">
                  <color auto="1"/>
                </right>
                <top style="thin">
                  <color auto="1"/>
                </top>
                <vertical/>
                <horizontal/>
              </border>
            </x14:dxf>
          </x14:cfRule>
          <xm:sqref>AX76</xm:sqref>
        </x14:conditionalFormatting>
        <x14:conditionalFormatting xmlns:xm="http://schemas.microsoft.com/office/excel/2006/main">
          <x14:cfRule type="expression" priority="64" id="{837B526B-FB22-48CA-A09D-D724934FE803}">
            <xm:f>$AN$80&lt;&gt;'Sprachen &amp; Rückgabewerte(3)'!$H$86</xm:f>
            <x14:dxf>
              <border>
                <right style="thin">
                  <color auto="1"/>
                </right>
                <vertical/>
                <horizontal/>
              </border>
            </x14:dxf>
          </x14:cfRule>
          <xm:sqref>AX77</xm:sqref>
        </x14:conditionalFormatting>
        <x14:conditionalFormatting xmlns:xm="http://schemas.microsoft.com/office/excel/2006/main">
          <x14:cfRule type="expression" priority="63" id="{EAFD0C0C-F372-40D2-8865-462B8062234E}">
            <xm:f>$AN$80&lt;&gt;'Sprachen &amp; Rückgabewerte(3)'!$H$86</xm:f>
            <x14:dxf>
              <border>
                <right style="thin">
                  <color auto="1"/>
                </right>
                <vertical/>
                <horizontal/>
              </border>
            </x14:dxf>
          </x14:cfRule>
          <xm:sqref>AX78</xm:sqref>
        </x14:conditionalFormatting>
        <x14:conditionalFormatting xmlns:xm="http://schemas.microsoft.com/office/excel/2006/main">
          <x14:cfRule type="expression" priority="62" id="{BC8CF390-A394-4420-B1E8-8B1153985C73}">
            <xm:f>$AN$80&lt;&gt;'Sprachen &amp; Rückgabewerte(3)'!$H$86</xm:f>
            <x14:dxf>
              <border>
                <right style="thin">
                  <color auto="1"/>
                </right>
                <vertical/>
                <horizontal/>
              </border>
            </x14:dxf>
          </x14:cfRule>
          <xm:sqref>AX79</xm:sqref>
        </x14:conditionalFormatting>
        <x14:conditionalFormatting xmlns:xm="http://schemas.microsoft.com/office/excel/2006/main">
          <x14:cfRule type="expression" priority="61" id="{F958CB18-68B4-4DFE-9B20-BAA014EA3C80}">
            <xm:f>$AN$80&lt;&gt;'Sprachen &amp; Rückgabewerte(3)'!$H$86</xm:f>
            <x14:dxf>
              <border>
                <right style="thin">
                  <color auto="1"/>
                </right>
                <bottom style="thin">
                  <color auto="1"/>
                </bottom>
                <vertical/>
                <horizontal/>
              </border>
            </x14:dxf>
          </x14:cfRule>
          <xm:sqref>AX80</xm:sqref>
        </x14:conditionalFormatting>
        <x14:conditionalFormatting xmlns:xm="http://schemas.microsoft.com/office/excel/2006/main">
          <x14:cfRule type="expression" priority="52" id="{64D38865-101B-476F-8833-05FB6645F71F}">
            <xm:f>'Sprachen &amp; Rückgabewerte(3)'!$L$50=0</xm:f>
            <x14:dxf>
              <border>
                <right style="thin">
                  <color rgb="FFFF0000"/>
                </right>
                <bottom style="thin">
                  <color rgb="FFFF0000"/>
                </bottom>
                <vertical/>
                <horizontal/>
              </border>
            </x14:dxf>
          </x14:cfRule>
          <xm:sqref>Q59:AB60</xm:sqref>
        </x14:conditionalFormatting>
        <x14:conditionalFormatting xmlns:xm="http://schemas.microsoft.com/office/excel/2006/main">
          <x14:cfRule type="expression" priority="48" id="{A1843672-5C1D-4B41-A9B6-F1C59F4B7E1B}">
            <xm:f>'Sprachen &amp; Rückgabewerte(3)'!$M$59=0</xm:f>
            <x14:dxf>
              <border>
                <top style="thin">
                  <color rgb="FFFF0000"/>
                </top>
                <vertical/>
                <horizontal/>
              </border>
            </x14:dxf>
          </x14:cfRule>
          <xm:sqref>M86</xm:sqref>
        </x14:conditionalFormatting>
        <x14:conditionalFormatting xmlns:xm="http://schemas.microsoft.com/office/excel/2006/main">
          <x14:cfRule type="expression" priority="47" id="{8FF3BC70-8696-4B8F-9C80-D13E518B43D1}">
            <xm:f>'Sprachen &amp; Rückgabewerte(3)'!$M$59=0</xm:f>
            <x14:dxf>
              <border>
                <bottom style="thin">
                  <color rgb="FFFF0000"/>
                </bottom>
                <vertical/>
                <horizontal/>
              </border>
            </x14:dxf>
          </x14:cfRule>
          <xm:sqref>M97</xm:sqref>
        </x14:conditionalFormatting>
        <x14:conditionalFormatting xmlns:xm="http://schemas.microsoft.com/office/excel/2006/main">
          <x14:cfRule type="expression" priority="49" id="{9DAA13CF-BDBC-4AB7-AF4A-7E7D5BC94218}">
            <xm:f>'Sprachen &amp; Rückgabewerte(3)'!$M$62=2</xm:f>
            <x14:dxf>
              <border>
                <left style="thin">
                  <color rgb="FFFF0000"/>
                </left>
                <vertical/>
                <horizontal/>
              </border>
            </x14:dxf>
          </x14:cfRule>
          <x14:cfRule type="expression" priority="50" id="{2A0263AB-BF54-40CC-98B2-EC46308B418F}">
            <xm:f>'Sprachen &amp; Rückgabewerte(3)'!$M$62=3</xm:f>
            <x14:dxf>
              <border>
                <left style="thin">
                  <color rgb="FFFF0000"/>
                </left>
                <vertical/>
                <horizontal/>
              </border>
            </x14:dxf>
          </x14:cfRule>
          <x14:cfRule type="expression" priority="51" id="{5F9020A8-AA26-4C12-B724-158F26361980}">
            <xm:f>'Sprachen &amp; Rückgabewerte(3)'!$M$59=0</xm:f>
            <x14:dxf>
              <border>
                <left style="thin">
                  <color rgb="FFFF0000"/>
                </left>
                <vertical/>
                <horizontal/>
              </border>
            </x14:dxf>
          </x14:cfRule>
          <xm:sqref>M86:M97</xm:sqref>
        </x14:conditionalFormatting>
        <x14:conditionalFormatting xmlns:xm="http://schemas.microsoft.com/office/excel/2006/main">
          <x14:cfRule type="expression" priority="191" id="{21F93011-1023-4AC3-A55D-CF1D78CC37D8}">
            <xm:f>'Sprachen &amp; Rückgabewerte(3)'!$M$62=2</xm:f>
            <x14:dxf>
              <border>
                <bottom style="thin">
                  <color rgb="FFFF0000"/>
                </bottom>
                <vertical/>
                <horizontal/>
              </border>
            </x14:dxf>
          </x14:cfRule>
          <x14:cfRule type="expression" priority="225" id="{542F6DB9-B28C-4E49-8843-65C67DEAB6E8}">
            <xm:f>'Sprachen &amp; Rückgabewerte(3)'!$M$62=3</xm:f>
            <x14:dxf>
              <border>
                <bottom style="thin">
                  <color rgb="FFFF0000"/>
                </bottom>
                <vertical/>
                <horizontal/>
              </border>
            </x14:dxf>
          </x14:cfRule>
          <xm:sqref>M85:AB85</xm:sqref>
        </x14:conditionalFormatting>
        <x14:conditionalFormatting xmlns:xm="http://schemas.microsoft.com/office/excel/2006/main">
          <x14:cfRule type="expression" priority="45" id="{EA7E47FE-C4E8-4777-BB2C-1EE7591B9791}">
            <xm:f>'Sprachen &amp; Rückgabewerte(3)'!$M$62=3</xm:f>
            <x14:dxf>
              <border>
                <bottom style="thin">
                  <color rgb="FFFF0000"/>
                </bottom>
                <vertical/>
                <horizontal/>
              </border>
            </x14:dxf>
          </x14:cfRule>
          <x14:cfRule type="expression" priority="46" id="{2183BEE1-C182-4D0C-8694-71C32C38F200}">
            <xm:f>'Sprachen &amp; Rückgabewerte(3)'!$M$62=2</xm:f>
            <x14:dxf>
              <border>
                <bottom style="thin">
                  <color rgb="FFFF0000"/>
                </bottom>
                <vertical/>
                <horizontal/>
              </border>
            </x14:dxf>
          </x14:cfRule>
          <xm:sqref>L97</xm:sqref>
        </x14:conditionalFormatting>
        <x14:conditionalFormatting xmlns:xm="http://schemas.microsoft.com/office/excel/2006/main">
          <x14:cfRule type="expression" priority="44" id="{61C7E168-0B7F-43F4-A181-333AB2B41562}">
            <xm:f>'Sprachen &amp; Rückgabewerte(3)'!$M$59=0</xm:f>
            <x14:dxf>
              <border>
                <top style="thin">
                  <color rgb="FFFF0000"/>
                </top>
                <vertical/>
                <horizontal/>
              </border>
            </x14:dxf>
          </x14:cfRule>
          <xm:sqref>N86:AB86</xm:sqref>
        </x14:conditionalFormatting>
        <x14:conditionalFormatting xmlns:xm="http://schemas.microsoft.com/office/excel/2006/main">
          <x14:cfRule type="expression" priority="43" id="{9B5B2F95-D184-45A1-BC3F-1CA7E36F045A}">
            <xm:f>'Sprachen &amp; Rückgabewerte(3)'!$M$59=0</xm:f>
            <x14:dxf>
              <border>
                <bottom style="thin">
                  <color rgb="FFFF0000"/>
                </bottom>
                <vertical/>
                <horizontal/>
              </border>
            </x14:dxf>
          </x14:cfRule>
          <xm:sqref>N97:V97 Z97:AB97</xm:sqref>
        </x14:conditionalFormatting>
        <x14:conditionalFormatting xmlns:xm="http://schemas.microsoft.com/office/excel/2006/main">
          <x14:cfRule type="expression" priority="41" id="{F9692513-4B74-44EE-88E3-D55484DC52A9}">
            <xm:f>'Sprachen &amp; Rückgabewerte(3)'!$I$5=FALSE</xm:f>
            <x14:dxf>
              <font>
                <color theme="0" tint="-0.14996795556505021"/>
              </font>
              <fill>
                <patternFill>
                  <bgColor theme="0" tint="-0.14996795556505021"/>
                </patternFill>
              </fill>
              <border>
                <left/>
                <right/>
                <top/>
                <bottom/>
                <vertical/>
                <horizontal/>
              </border>
            </x14:dxf>
          </x14:cfRule>
          <xm:sqref>M6:Q6</xm:sqref>
        </x14:conditionalFormatting>
        <x14:conditionalFormatting xmlns:xm="http://schemas.microsoft.com/office/excel/2006/main">
          <x14:cfRule type="expression" priority="40" id="{565154B8-F8C8-4789-B84E-72128B661C52}">
            <xm:f>'Sprachen &amp; Rückgabewerte(3)'!$U$49=FALSE</xm:f>
            <x14:dxf>
              <border>
                <top style="thin">
                  <color rgb="FFFF0000"/>
                </top>
                <vertical/>
                <horizontal/>
              </border>
            </x14:dxf>
          </x14:cfRule>
          <xm:sqref>E23:AR23</xm:sqref>
        </x14:conditionalFormatting>
        <x14:conditionalFormatting xmlns:xm="http://schemas.microsoft.com/office/excel/2006/main">
          <x14:cfRule type="expression" priority="39" id="{152DBAD4-D9F1-422F-9E88-DB5E27BDF974}">
            <xm:f>'Sprachen &amp; Rückgabewerte(3)'!$U$49=FALSE</xm:f>
            <x14:dxf>
              <border>
                <left style="thin">
                  <color rgb="FFFF0000"/>
                </left>
                <vertical/>
                <horizontal/>
              </border>
            </x14:dxf>
          </x14:cfRule>
          <xm:sqref>E23:H26</xm:sqref>
        </x14:conditionalFormatting>
        <x14:conditionalFormatting xmlns:xm="http://schemas.microsoft.com/office/excel/2006/main">
          <x14:cfRule type="expression" priority="37" id="{340F3584-8679-40A7-A5D9-63DCC17F9F46}">
            <xm:f>'Sprachen &amp; Rückgabewerte(3)'!$U$49=FALSE</xm:f>
            <x14:dxf>
              <border>
                <right style="thin">
                  <color rgb="FFFF0000"/>
                </right>
                <vertical/>
                <horizontal/>
              </border>
            </x14:dxf>
          </x14:cfRule>
          <xm:sqref>AO23:AR26</xm:sqref>
        </x14:conditionalFormatting>
        <x14:conditionalFormatting xmlns:xm="http://schemas.microsoft.com/office/excel/2006/main">
          <x14:cfRule type="expression" priority="36" id="{49AD6133-C415-43A1-A273-D0212C501266}">
            <xm:f>'Sprachen &amp; Rückgabewerte(3)'!$I$39=FALSE</xm:f>
            <x14:dxf>
              <font>
                <color theme="0" tint="-0.14996795556505021"/>
              </font>
              <fill>
                <patternFill>
                  <bgColor theme="0" tint="-0.14996795556505021"/>
                </patternFill>
              </fill>
              <border>
                <left/>
                <right/>
                <top/>
                <bottom/>
                <vertical/>
                <horizontal/>
              </border>
            </x14:dxf>
          </x14:cfRule>
          <xm:sqref>AF46:AF47</xm:sqref>
        </x14:conditionalFormatting>
        <x14:conditionalFormatting xmlns:xm="http://schemas.microsoft.com/office/excel/2006/main">
          <x14:cfRule type="expression" priority="33" id="{F9CFDDDD-61B1-4932-A096-03A62745ABA9}">
            <xm:f>'Sprachen &amp; Rückgabewerte(3)'!$I$39=FALSE</xm:f>
            <x14:dxf>
              <fill>
                <patternFill>
                  <bgColor theme="0" tint="-0.14996795556505021"/>
                </patternFill>
              </fill>
              <border>
                <left/>
                <right/>
                <top/>
                <bottom/>
                <vertical/>
                <horizontal/>
              </border>
            </x14:dxf>
          </x14:cfRule>
          <xm:sqref>AM47:AS47</xm:sqref>
        </x14:conditionalFormatting>
        <x14:conditionalFormatting xmlns:xm="http://schemas.microsoft.com/office/excel/2006/main">
          <x14:cfRule type="expression" priority="32" id="{ABC61A6F-9B55-428B-86F2-8595A31FCB93}">
            <xm:f>AND('Sprachen &amp; Rückgabewerte(3)'!$C$16=1,$F$16="")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F16:G17</xm:sqref>
        </x14:conditionalFormatting>
        <x14:conditionalFormatting xmlns:xm="http://schemas.microsoft.com/office/excel/2006/main">
          <x14:cfRule type="expression" priority="31" id="{F4989AC8-785A-4136-B2C3-0624619EB2AD}">
            <xm:f>AND('Sprachen &amp; Rückgabewerte(3)'!$C$17=1,$J$16="")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J16:K17</xm:sqref>
        </x14:conditionalFormatting>
        <x14:conditionalFormatting xmlns:xm="http://schemas.microsoft.com/office/excel/2006/main">
          <x14:cfRule type="expression" priority="30" id="{18B665A3-9814-4276-ADE2-FE784C6849F2}">
            <xm:f>AND('Sprachen &amp; Rückgabewerte(3)'!$C$18=1,$N$16="")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N16:O17</xm:sqref>
        </x14:conditionalFormatting>
        <x14:conditionalFormatting xmlns:xm="http://schemas.microsoft.com/office/excel/2006/main">
          <x14:cfRule type="expression" priority="29" id="{9C8E95DE-CC67-4538-A0C3-BAD5B7A146C7}">
            <xm:f>AND('Sprachen &amp; Rückgabewerte(3)'!$C$19=1,$R$16="")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R16:S17</xm:sqref>
        </x14:conditionalFormatting>
        <x14:conditionalFormatting xmlns:xm="http://schemas.microsoft.com/office/excel/2006/main">
          <x14:cfRule type="expression" priority="28" id="{4BD01AF6-0D98-4E26-B8ED-8DFEC551004C}">
            <xm:f>AND('Sprachen &amp; Rückgabewerte(3)'!$C$20=1,$V$16="")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V16:W17</xm:sqref>
        </x14:conditionalFormatting>
        <x14:conditionalFormatting xmlns:xm="http://schemas.microsoft.com/office/excel/2006/main">
          <x14:cfRule type="expression" priority="27" id="{2B27D4D1-CCC5-41AA-867C-F99803CF5AA1}">
            <xm:f>AND('Sprachen &amp; Rückgabewerte(3)'!$C$21=1,$Z$16="")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Z16:AA17</xm:sqref>
        </x14:conditionalFormatting>
        <x14:conditionalFormatting xmlns:xm="http://schemas.microsoft.com/office/excel/2006/main">
          <x14:cfRule type="expression" priority="26" id="{6E96BF4F-5A25-4EEB-A94E-D6002484663A}">
            <xm:f>AND('Sprachen &amp; Rückgabewerte(3)'!$C$22=1,$AD$16="")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AD16:AE17</xm:sqref>
        </x14:conditionalFormatting>
        <x14:conditionalFormatting xmlns:xm="http://schemas.microsoft.com/office/excel/2006/main">
          <x14:cfRule type="expression" priority="25" id="{CFA4B2D7-6CE9-4908-AF7A-7F5582985F2C}">
            <xm:f>AND('Sprachen &amp; Rückgabewerte(3)'!$C$23=1,$AH$16="")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AH16:AI17</xm:sqref>
        </x14:conditionalFormatting>
        <x14:conditionalFormatting xmlns:xm="http://schemas.microsoft.com/office/excel/2006/main">
          <x14:cfRule type="expression" priority="24" id="{27C0A1FE-2F7D-4C0B-A60E-8E18FA88C66B}">
            <xm:f>AND('Sprachen &amp; Rückgabewerte(3)'!$C$24=1,$AL$16="")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AL16:AM17</xm:sqref>
        </x14:conditionalFormatting>
        <x14:conditionalFormatting xmlns:xm="http://schemas.microsoft.com/office/excel/2006/main">
          <x14:cfRule type="expression" priority="23" id="{FED9064B-DB71-4F98-9BBE-CBDF6B931BBC}">
            <xm:f>AND('Sprachen &amp; Rückgabewerte(3)'!$C$25=1,$AP$16="")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AP16:AQ17</xm:sqref>
        </x14:conditionalFormatting>
        <x14:conditionalFormatting xmlns:xm="http://schemas.microsoft.com/office/excel/2006/main">
          <x14:cfRule type="expression" priority="22" id="{7ED3E00D-7E96-401D-9DDC-3BCC63D70CA6}">
            <xm:f>'Sprachen &amp; Rückgabewerte(3)'!$I$71=FALSE</xm:f>
            <x14:dxf>
              <font>
                <color theme="0" tint="-0.14996795556505021"/>
              </font>
              <fill>
                <patternFill>
                  <bgColor theme="0" tint="-0.14996795556505021"/>
                </patternFill>
              </fill>
              <border>
                <left/>
                <right/>
                <top/>
                <bottom/>
                <vertical/>
                <horizontal/>
              </border>
            </x14:dxf>
          </x14:cfRule>
          <xm:sqref>AG75 AM74:AM76 AP74:AQ76</xm:sqref>
        </x14:conditionalFormatting>
        <x14:conditionalFormatting xmlns:xm="http://schemas.microsoft.com/office/excel/2006/main">
          <x14:cfRule type="expression" priority="21" id="{38A6367F-9AB0-49FA-80C6-F76BA11A066C}">
            <xm:f>AND('Sprachen &amp; Rückgabewerte(3)'!$I$71=TRUE,$AP$74="",$AP$75="",$AP$76="")</xm:f>
            <x14:dxf>
              <fill>
                <patternFill>
                  <bgColor theme="5" tint="0.79998168889431442"/>
                </patternFill>
              </fill>
              <border>
                <left style="hair">
                  <color rgb="FFFF0000"/>
                </left>
                <right style="hair">
                  <color rgb="FFFF0000"/>
                </right>
                <top style="hair">
                  <color rgb="FFFF0000"/>
                </top>
                <bottom style="hair">
                  <color rgb="FFFF0000"/>
                </bottom>
                <vertical/>
                <horizontal/>
              </border>
            </x14:dxf>
          </x14:cfRule>
          <xm:sqref>AP74:AP76</xm:sqref>
        </x14:conditionalFormatting>
        <x14:conditionalFormatting xmlns:xm="http://schemas.microsoft.com/office/excel/2006/main">
          <x14:cfRule type="expression" priority="16" id="{762ECAF3-A6BE-41D5-81C4-22C2C8E75F89}">
            <xm:f>OR($AQ$96='Sprachen &amp; Rückgabewerte(3)'!$H$96,$AQ$96="")</xm:f>
            <x14:dxf>
              <border>
                <bottom/>
                <vertical/>
                <horizontal/>
              </border>
            </x14:dxf>
          </x14:cfRule>
          <x14:cfRule type="expression" priority="17" id="{6567330D-6B3C-44A4-9135-F4B92781675C}">
            <xm:f>AND($AQ$96='Sprachen &amp; Rückgabewerte(3)'!$H$95,$AW$96="")</xm:f>
            <x14:dxf>
              <border>
                <bottom style="thin">
                  <color rgb="FFFF0000"/>
                </bottom>
                <vertical/>
                <horizontal/>
              </border>
            </x14:dxf>
          </x14:cfRule>
          <xm:sqref>AS96:AV96</xm:sqref>
        </x14:conditionalFormatting>
        <x14:conditionalFormatting xmlns:xm="http://schemas.microsoft.com/office/excel/2006/main">
          <x14:cfRule type="expression" priority="14" id="{4D7ECE3B-D5E1-459E-8C9D-B840467B1125}">
            <xm:f>OR($AQ$96='Sprachen &amp; Rückgabewerte(3)'!$H$96,$AQ$96="")</xm:f>
            <x14:dxf>
              <fill>
                <patternFill>
                  <bgColor theme="0" tint="-0.14996795556505021"/>
                </patternFill>
              </fill>
              <border>
                <left/>
                <right/>
                <top/>
                <bottom/>
                <vertical/>
                <horizontal/>
              </border>
            </x14:dxf>
          </x14:cfRule>
          <x14:cfRule type="expression" priority="15" id="{B245CED4-A88A-4FF5-B925-A8B504093BA7}">
            <xm:f>AND($AQ$96='Sprachen &amp; Rückgabewerte(3)'!$H$95,$AW$96="")</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AW96:AX96</xm:sqref>
        </x14:conditionalFormatting>
        <x14:conditionalFormatting xmlns:xm="http://schemas.microsoft.com/office/excel/2006/main">
          <x14:cfRule type="expression" priority="13" id="{98605403-927A-48F6-B74C-5DF8F08190D9}">
            <xm:f>'Sprachen &amp; Rückgabewerte(3)'!$W$68&gt;0</xm:f>
            <x14:dxf>
              <border>
                <bottom style="thin">
                  <color rgb="FFFF0000"/>
                </bottom>
                <vertical/>
                <horizontal/>
              </border>
            </x14:dxf>
          </x14:cfRule>
          <xm:sqref>AD97:AT97</xm:sqref>
        </x14:conditionalFormatting>
        <x14:conditionalFormatting xmlns:xm="http://schemas.microsoft.com/office/excel/2006/main">
          <x14:cfRule type="expression" priority="12" id="{BEEC3CB5-4E45-46BE-BF02-ECDA8316E9FF}">
            <xm:f>'Sprachen &amp; Rückgabewerte(3)'!$W$68&gt;0</xm:f>
            <x14:dxf>
              <border>
                <top style="thin">
                  <color rgb="FFFF0000"/>
                </top>
                <vertical/>
                <horizontal/>
              </border>
            </x14:dxf>
          </x14:cfRule>
          <xm:sqref>AD95:AT95</xm:sqref>
        </x14:conditionalFormatting>
        <x14:conditionalFormatting xmlns:xm="http://schemas.microsoft.com/office/excel/2006/main">
          <x14:cfRule type="expression" priority="11" id="{6FE51B96-D178-4379-AC4A-1DD970FD2167}">
            <xm:f>'Sprachen &amp; Rückgabewerte(3)'!$W$68&gt;0</xm:f>
            <x14:dxf>
              <border>
                <left style="thin">
                  <color rgb="FFFF0000"/>
                </left>
                <vertical/>
                <horizontal/>
              </border>
            </x14:dxf>
          </x14:cfRule>
          <xm:sqref>AD95:AD97</xm:sqref>
        </x14:conditionalFormatting>
        <x14:conditionalFormatting xmlns:xm="http://schemas.microsoft.com/office/excel/2006/main">
          <x14:cfRule type="expression" priority="10" id="{1F4DFA57-EB2D-49C0-8DFD-0F860964E0F1}">
            <xm:f>'Sprachen &amp; Rückgabewerte(3)'!$W$68&gt;0</xm:f>
            <x14:dxf>
              <border>
                <right style="thin">
                  <color rgb="FFFF0000"/>
                </right>
                <vertical/>
                <horizontal/>
              </border>
            </x14:dxf>
          </x14:cfRule>
          <xm:sqref>AT95:AT97</xm:sqref>
        </x14:conditionalFormatting>
        <x14:conditionalFormatting xmlns:xm="http://schemas.microsoft.com/office/excel/2006/main">
          <x14:cfRule type="expression" priority="7" id="{875F6DA1-AE36-4921-9874-EBF1AAFD2A53}">
            <xm:f>'Sprachen &amp; Rückgabewerte(3)'!$C$51=FALSE</xm:f>
            <x14:dxf>
              <font>
                <color theme="0" tint="-0.14996795556505021"/>
              </font>
              <fill>
                <patternFill>
                  <bgColor theme="0" tint="-0.14996795556505021"/>
                </patternFill>
              </fill>
              <border>
                <left/>
                <right/>
                <top/>
                <bottom style="thin">
                  <color auto="1"/>
                </bottom>
                <vertical/>
                <horizontal/>
              </border>
            </x14:dxf>
          </x14:cfRule>
          <x14:cfRule type="expression" priority="8" id="{8175B19A-B517-4900-BF73-8BEA658D8B16}">
            <xm:f>'Sprachen &amp; Rückgabewerte(3)'!$U$65=FALSE</xm:f>
            <x14:dxf>
              <fill>
                <patternFill>
                  <bgColor theme="5" tint="0.79998168889431442"/>
                </patternFill>
              </fill>
              <border>
                <left style="hair">
                  <color rgb="FFFF0000"/>
                </left>
                <right style="hair">
                  <color rgb="FFFF0000"/>
                </right>
                <top style="hair">
                  <color rgb="FFFF0000"/>
                </top>
                <bottom style="thin">
                  <color rgb="FFFF0000"/>
                </bottom>
                <vertical/>
                <horizontal/>
              </border>
            </x14:dxf>
          </x14:cfRule>
          <xm:sqref>V97:Y97</xm:sqref>
        </x14:conditionalFormatting>
        <x14:conditionalFormatting xmlns:xm="http://schemas.microsoft.com/office/excel/2006/main">
          <x14:cfRule type="expression" priority="4" id="{3BB4D1D8-38D3-4B19-9F2D-63680FDF5207}">
            <xm:f>'Sprachen &amp; Rückgabewerte(3)'!$W$78&lt;&gt;0</xm:f>
            <x14:dxf>
              <border>
                <bottom style="thin">
                  <color rgb="FFFF0000"/>
                </bottom>
                <vertical/>
                <horizontal/>
              </border>
            </x14:dxf>
          </x14:cfRule>
          <xm:sqref>AW11:BB11</xm:sqref>
        </x14:conditionalFormatting>
        <x14:conditionalFormatting xmlns:xm="http://schemas.microsoft.com/office/excel/2006/main">
          <x14:cfRule type="expression" priority="3" id="{4A1F74D5-94B8-43B6-85D6-3A960504548C}">
            <xm:f>'Sprachen &amp; Rückgabewerte(3)'!$W$78&lt;&gt;0</xm:f>
            <x14:dxf>
              <border>
                <top style="thin">
                  <color rgb="FFFF0000"/>
                </top>
                <vertical/>
                <horizontal/>
              </border>
            </x14:dxf>
          </x14:cfRule>
          <xm:sqref>AW6:BB6</xm:sqref>
        </x14:conditionalFormatting>
        <x14:conditionalFormatting xmlns:xm="http://schemas.microsoft.com/office/excel/2006/main">
          <x14:cfRule type="expression" priority="2" id="{1EF6C4F0-8FE9-4885-930F-CC0C94E8984B}">
            <xm:f>'Sprachen &amp; Rückgabewerte(3)'!$W$78&lt;&gt;0</xm:f>
            <x14:dxf>
              <border>
                <left style="thin">
                  <color rgb="FFFF0000"/>
                </left>
                <vertical/>
                <horizontal/>
              </border>
            </x14:dxf>
          </x14:cfRule>
          <xm:sqref>AW6:AW11</xm:sqref>
        </x14:conditionalFormatting>
        <x14:conditionalFormatting xmlns:xm="http://schemas.microsoft.com/office/excel/2006/main">
          <x14:cfRule type="expression" priority="1" id="{CD2283DF-E8CB-435D-8CD9-BFF34FB9CD63}">
            <xm:f>'Sprachen &amp; Rückgabewerte(3)'!$W$78&lt;&gt;0</xm:f>
            <x14:dxf>
              <border>
                <right style="thin">
                  <color rgb="FFFF0000"/>
                </right>
                <vertical/>
                <horizontal/>
              </border>
            </x14:dxf>
          </x14:cfRule>
          <xm:sqref>BB6:BB11</xm:sqref>
        </x14:conditionalFormatting>
      </x14:conditionalFormattings>
    </ext>
    <ext xmlns:x14="http://schemas.microsoft.com/office/spreadsheetml/2009/9/main" uri="{CCE6A557-97BC-4b89-ADB6-D9C93CAAB3DF}">
      <x14:dataValidations xmlns:xm="http://schemas.microsoft.com/office/excel/2006/main" count="33">
        <x14:dataValidation type="list" allowBlank="1" showInputMessage="1" showErrorMessage="1" xr:uid="{EDE45AC0-CA14-4DAA-ABF2-EB337F06C96D}">
          <x14:formula1>
            <xm:f>'Sprachen &amp; Rückgabewerte(3)'!$M$86:$M$138</xm:f>
          </x14:formula1>
          <xm:sqref>AM88:AR88</xm:sqref>
        </x14:dataValidation>
        <x14:dataValidation type="list" showInputMessage="1" showErrorMessage="1" xr:uid="{96427D13-ED92-48C6-9172-4CA2B32A117C}">
          <x14:formula1>
            <xm:f>'Sprachen &amp; Rückgabewerte(3)'!$B$70:$B$72</xm:f>
          </x14:formula1>
          <xm:sqref>H85:K85 V85:Y85 O85:R85 X72:AA72</xm:sqref>
        </x14:dataValidation>
        <x14:dataValidation type="list" allowBlank="1" showInputMessage="1" showErrorMessage="1" xr:uid="{11568527-FADA-4EBE-AD7C-6CE984F14C9D}">
          <x14:formula1>
            <xm:f>'Sprachen &amp; Rückgabewerte(3)'!$H$103:$H$107</xm:f>
          </x14:formula1>
          <xm:sqref>G20:AP20</xm:sqref>
        </x14:dataValidation>
        <x14:dataValidation type="list" showInputMessage="1" showErrorMessage="1" xr:uid="{F2DE9011-2966-4077-9371-1435954F6E44}">
          <x14:formula1>
            <xm:f>'Sprachen &amp; Rückgabewerte(3)'!$B$33:$B$34</xm:f>
          </x14:formula1>
          <xm:sqref>E23:AR26</xm:sqref>
        </x14:dataValidation>
        <x14:dataValidation type="list" showInputMessage="1" showErrorMessage="1" xr:uid="{23EC6A97-A2BF-49A9-8085-8CA41EE6F363}">
          <x14:formula1>
            <xm:f>'Sprachen &amp; Rückgabewerte(3)'!$A$11:$A$18</xm:f>
          </x14:formula1>
          <xm:sqref>AM43:AQ43</xm:sqref>
        </x14:dataValidation>
        <x14:dataValidation type="list" showInputMessage="1" showErrorMessage="1" xr:uid="{87776E37-1B81-47A8-AF81-DEBB343976B4}">
          <x14:formula1>
            <xm:f>'Sprachen &amp; Rückgabewerte(3)'!$A$19:$A$21</xm:f>
          </x14:formula1>
          <xm:sqref>AR43:AS43</xm:sqref>
        </x14:dataValidation>
        <x14:dataValidation type="list" allowBlank="1" showInputMessage="1" showErrorMessage="1" xr:uid="{D2FB434D-5E14-4A0B-A04F-C9C7CD976036}">
          <x14:formula1>
            <xm:f>'Sprachen &amp; Rückgabewerte(3)'!$J$67:$J$69</xm:f>
          </x14:formula1>
          <xm:sqref>AN70:AS70</xm:sqref>
        </x14:dataValidation>
        <x14:dataValidation type="list" allowBlank="1" showInputMessage="1" showErrorMessage="1" xr:uid="{699F1CD6-270F-4566-8F05-B0EA5E1F4DE3}">
          <x14:formula1>
            <xm:f>'Sprachen &amp; Rückgabewerte(3)'!$J$77:$J$79</xm:f>
          </x14:formula1>
          <xm:sqref>AN78:AP78</xm:sqref>
        </x14:dataValidation>
        <x14:dataValidation type="list" allowBlank="1" showInputMessage="1" showErrorMessage="1" xr:uid="{E2FF24DF-56AC-450F-B616-5A83F422B1B0}">
          <x14:formula1>
            <xm:f>'Sprachen &amp; Rückgabewerte(3)'!$J$80:$J$81</xm:f>
          </x14:formula1>
          <xm:sqref>AN79:AP79</xm:sqref>
        </x14:dataValidation>
        <x14:dataValidation type="list" allowBlank="1" showInputMessage="1" showErrorMessage="1" xr:uid="{1C9DA403-D637-4470-A55A-152232ECF62B}">
          <x14:formula1>
            <xm:f>'Sprachen &amp; Rückgabewerte(3)'!$J$84:$J$86</xm:f>
          </x14:formula1>
          <xm:sqref>AN80:AS80</xm:sqref>
        </x14:dataValidation>
        <x14:dataValidation type="list" allowBlank="1" showInputMessage="1" showErrorMessage="1" xr:uid="{45EE2467-871C-49E0-88DD-0C7D560085D7}">
          <x14:formula1>
            <xm:f>'Sprachen &amp; Rückgabewerte(3)'!$J$94:$J$96</xm:f>
          </x14:formula1>
          <xm:sqref>AO55:AP55</xm:sqref>
        </x14:dataValidation>
        <x14:dataValidation type="list" showInputMessage="1" showErrorMessage="1" xr:uid="{F877334E-5CB5-4738-80D0-6AA5D8A7B550}">
          <x14:formula1>
            <xm:f>'Sprachen &amp; Rückgabewerte(3)'!$B$73:$B$75</xm:f>
          </x14:formula1>
          <xm:sqref>H96:K96</xm:sqref>
        </x14:dataValidation>
        <x14:dataValidation type="list" allowBlank="1" showInputMessage="1" showErrorMessage="1" xr:uid="{BBA2FB56-7F22-49F9-88A3-0E02D330571E}">
          <x14:formula1>
            <xm:f>'Sprachen &amp; Rückgabewerte(3)'!$B$9:$B$14</xm:f>
          </x14:formula1>
          <xm:sqref>F10:G10 J10:K10 N10:O10 R10:S10 V10:W10 Z10:AA10 AD10:AE10 AH10:AI10 AL10:AM10 AP10:AQ10</xm:sqref>
        </x14:dataValidation>
        <x14:dataValidation type="list" showInputMessage="1" showErrorMessage="1" xr:uid="{0ABD0BE4-024B-4568-B389-BB609F2F24DF}">
          <x14:formula1>
            <xm:f>'Sprachen &amp; Rückgabewerte(3)'!$B$67:$B$69</xm:f>
          </x14:formula1>
          <xm:sqref>F72:I72 L72:O72</xm:sqref>
        </x14:dataValidation>
        <x14:dataValidation type="list" allowBlank="1" showInputMessage="1" showErrorMessage="1" xr:uid="{6F52C7EE-D1C6-4A4C-A579-9035C5EE4A55}">
          <x14:formula1>
            <xm:f>'Sprachen &amp; Rückgabewerte(3)'!$J$91:$J$93</xm:f>
          </x14:formula1>
          <xm:sqref>AM49:AP49</xm:sqref>
        </x14:dataValidation>
        <x14:dataValidation type="list" allowBlank="1" showInputMessage="1" showErrorMessage="1" xr:uid="{84F619CA-B801-45B5-9838-2B33B5CFE639}">
          <x14:formula1>
            <xm:f>'Sprachen &amp; Rückgabewerte(3)'!$N$78:$N$80</xm:f>
          </x14:formula1>
          <xm:sqref>AE70:AL70</xm:sqref>
        </x14:dataValidation>
        <x14:dataValidation type="list" allowBlank="1" showInputMessage="1" showErrorMessage="1" xr:uid="{81A2C722-8C16-48B5-9A8E-B8F06C66F73F}">
          <x14:formula1>
            <xm:f>'Sprachen &amp; Rückgabewerte(3)'!$J$134:$J$136</xm:f>
          </x14:formula1>
          <xm:sqref>AX34:AY42</xm:sqref>
        </x14:dataValidation>
        <x14:dataValidation type="list" allowBlank="1" showInputMessage="1" showErrorMessage="1" xr:uid="{7D2089E2-0B4B-49C4-88F4-53995D538D05}">
          <x14:formula1>
            <xm:f>'Sprachen &amp; Rückgabewerte(3)'!$B$81:$B$84</xm:f>
          </x14:formula1>
          <xm:sqref>T104</xm:sqref>
        </x14:dataValidation>
        <x14:dataValidation type="list" allowBlank="1" showInputMessage="1" showErrorMessage="1" xr:uid="{4BE4B6FF-9353-4AD8-9F48-D840A348C236}">
          <x14:formula1>
            <xm:f>'Sprachen &amp; Rückgabewerte(3)'!$J$142:$J$144</xm:f>
          </x14:formula1>
          <xm:sqref>T110</xm:sqref>
        </x14:dataValidation>
        <x14:dataValidation type="list" allowBlank="1" showInputMessage="1" showErrorMessage="1" xr:uid="{779BDE3E-8F58-4863-993D-6DC003D60ADC}">
          <x14:formula1>
            <xm:f>'Sprachen &amp; Rückgabewerte(3)'!$J$145:$J$147</xm:f>
          </x14:formula1>
          <xm:sqref>T114</xm:sqref>
        </x14:dataValidation>
        <x14:dataValidation type="list" showInputMessage="1" showErrorMessage="1" xr:uid="{2048698C-E15D-4A24-9970-2C0AB56705DA}">
          <x14:formula1>
            <xm:f>'Sprachen &amp; Rückgabewerte(3)'!$R$41:$R$43</xm:f>
          </x14:formula1>
          <xm:sqref>AF11:AG11 AN11:AO11 X11:Y11 T11:U11 P11:Q11 L11:M11 AB11:AC11 AJ11:AK11 H11:I11</xm:sqref>
        </x14:dataValidation>
        <x14:dataValidation type="list" allowBlank="1" showInputMessage="1" showErrorMessage="1" xr:uid="{BC45C09B-A9B5-4591-BADF-4C87CDF22196}">
          <x14:formula1>
            <xm:f>'Sprachen &amp; Rückgabewerte(3)'!$Q$41:$Q$51</xm:f>
          </x14:formula1>
          <xm:sqref>AP74:AP76</xm:sqref>
        </x14:dataValidation>
        <x14:dataValidation type="list" allowBlank="1" showInputMessage="1" showErrorMessage="1" xr:uid="{591639B0-5D58-400D-A5F8-7C883E7E17A7}">
          <x14:formula1>
            <xm:f>'Sprachen &amp; Rückgabewerte(3)'!$J$150:$J$153</xm:f>
          </x14:formula1>
          <xm:sqref>AW48:AX48</xm:sqref>
        </x14:dataValidation>
        <x14:dataValidation type="list" allowBlank="1" showInputMessage="1" showErrorMessage="1" xr:uid="{FD770C56-37A3-4215-8BC2-B657102C25A5}">
          <x14:formula1>
            <xm:f>'Sprachen &amp; Rückgabewerte(3)'!$J$87:$J$89</xm:f>
          </x14:formula1>
          <xm:sqref>AE84:AL84</xm:sqref>
        </x14:dataValidation>
        <x14:dataValidation type="list" allowBlank="1" showInputMessage="1" showErrorMessage="1" xr:uid="{16EEF1CE-4757-44AD-8E11-80B1C717BE27}">
          <x14:formula1>
            <xm:f>'Sprachen &amp; Rückgabewerte(3)'!$J$133:$J$136</xm:f>
          </x14:formula1>
          <xm:sqref>AX33:AY33</xm:sqref>
        </x14:dataValidation>
        <x14:dataValidation type="list" showInputMessage="1" showErrorMessage="1" errorTitle="SG-Typ auswählen" error="Bitte wählen Sie einen Sky-Glass Typ aus. Spezialaufbau bitte im Feld Speziell eingeben!" xr:uid="{68B2A946-3017-449E-B19A-C25118698897}">
          <x14:formula1>
            <xm:f>'Sprachen &amp; Rückgabewerte(3)'!$AI$3:$AI$45</xm:f>
          </x14:formula1>
          <xm:sqref>AE53:AG53</xm:sqref>
        </x14:dataValidation>
        <x14:dataValidation type="list" allowBlank="1" showInputMessage="1" showErrorMessage="1" xr:uid="{D632C3D2-A52E-4A23-B7C0-575768659DAB}">
          <x14:formula1>
            <xm:f>'Sprachen &amp; Rückgabewerte(3)'!$J$174:$J$175</xm:f>
          </x14:formula1>
          <xm:sqref>AM46:AS46</xm:sqref>
        </x14:dataValidation>
        <x14:dataValidation type="list" allowBlank="1" showInputMessage="1" showErrorMessage="1" xr:uid="{DE9EFB5A-6329-4F33-9A87-E063CB526D63}">
          <x14:formula1>
            <xm:f>'Sprachen &amp; Rückgabewerte(3)'!$J$177:$J$178</xm:f>
          </x14:formula1>
          <xm:sqref>AM47:AS47</xm:sqref>
        </x14:dataValidation>
        <x14:dataValidation type="list" allowBlank="1" showInputMessage="1" showErrorMessage="1" xr:uid="{2C13A4F2-B9B8-47E7-B9F7-92CFC3A210FD}">
          <x14:formula1>
            <xm:f>'Sprachen &amp; Rückgabewerte(3)'!$A$28:$A$30</xm:f>
          </x14:formula1>
          <xm:sqref>F16:G17 J16:K17 N16:O17 R16:S17 V16:W17 Z16:AA17 AD16:AE17 AH16:AI17 AL16:AM17 AP16:AQ17</xm:sqref>
        </x14:dataValidation>
        <x14:dataValidation type="list" allowBlank="1" showInputMessage="1" showErrorMessage="1" xr:uid="{D4CC3885-D91E-4EB7-9205-7D1137B96750}">
          <x14:formula1>
            <xm:f>'Sprachen &amp; Rückgabewerte(3)'!$H$95:$H$96</xm:f>
          </x14:formula1>
          <xm:sqref>AQ96:AR96</xm:sqref>
        </x14:dataValidation>
        <x14:dataValidation type="list" allowBlank="1" showInputMessage="1" showErrorMessage="1" xr:uid="{C38C2B1B-049A-4891-9D06-EF830E550FCE}">
          <x14:formula1>
            <xm:f>'Sprachen &amp; Rückgabewerte(3)'!$H$191:$H$192</xm:f>
          </x14:formula1>
          <xm:sqref>V97:Y97</xm:sqref>
        </x14:dataValidation>
        <x14:dataValidation type="list" allowBlank="1" showInputMessage="1" showErrorMessage="1" xr:uid="{7B214066-1D59-4A37-A891-3B9CE524FDC3}">
          <x14:formula1>
            <xm:f>'Sprachen &amp; Rückgabewerte(3)'!$H$198:$H$199</xm:f>
          </x14:formula1>
          <xm:sqref>AZ9:BA9</xm:sqref>
        </x14:dataValidation>
        <x14:dataValidation type="list" allowBlank="1" showInputMessage="1" showErrorMessage="1" xr:uid="{5A5A337C-A481-47A3-9E42-19D03ED86FA0}">
          <x14:formula1>
            <xm:f>'Sprachen &amp; Rückgabewerte(3)'!$H$196:$H$197</xm:f>
          </x14:formula1>
          <xm:sqref>AZ10:BA10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8C91D-D121-4BFA-834D-3A0D94799528}">
  <dimension ref="A1:AN209"/>
  <sheetViews>
    <sheetView showGridLines="0" topLeftCell="A101" zoomScale="70" zoomScaleNormal="70" workbookViewId="0">
      <selection activeCell="G120" sqref="G120"/>
    </sheetView>
  </sheetViews>
  <sheetFormatPr baseColWidth="10" defaultColWidth="11.42578125" defaultRowHeight="12.75" x14ac:dyDescent="0.2"/>
  <cols>
    <col min="1" max="1" width="19.140625" style="272" customWidth="1"/>
    <col min="2" max="2" width="16.7109375" style="272" customWidth="1"/>
    <col min="3" max="3" width="11.42578125" style="272" customWidth="1"/>
    <col min="4" max="7" width="40.7109375" style="272" customWidth="1"/>
    <col min="8" max="8" width="34.28515625" style="272" customWidth="1"/>
    <col min="9" max="9" width="30.42578125" style="272" customWidth="1"/>
    <col min="10" max="10" width="25.7109375" style="272" customWidth="1"/>
    <col min="11" max="11" width="15.5703125" style="272" customWidth="1"/>
    <col min="12" max="12" width="13.42578125" style="272" customWidth="1"/>
    <col min="13" max="13" width="16.140625" style="272" customWidth="1"/>
    <col min="14" max="17" width="11.42578125" style="272"/>
    <col min="18" max="18" width="12.5703125" style="272" customWidth="1"/>
    <col min="19" max="19" width="10.140625" style="272" customWidth="1"/>
    <col min="20" max="20" width="10.28515625" style="272" customWidth="1"/>
    <col min="21" max="21" width="21.5703125" style="272" customWidth="1"/>
    <col min="22" max="22" width="11.42578125" style="272"/>
    <col min="23" max="23" width="11.42578125" style="272" customWidth="1"/>
    <col min="24" max="26" width="11.42578125" style="272"/>
    <col min="27" max="27" width="12.28515625" style="272" customWidth="1"/>
    <col min="28" max="28" width="11.42578125" style="272"/>
    <col min="29" max="29" width="13.7109375" style="272" customWidth="1"/>
    <col min="30" max="30" width="13.5703125" style="272" customWidth="1"/>
    <col min="31" max="31" width="11.5703125" style="272" customWidth="1"/>
    <col min="32" max="33" width="11.42578125" style="272"/>
    <col min="34" max="34" width="23.7109375" style="272" customWidth="1"/>
    <col min="35" max="37" width="11.42578125" style="272"/>
    <col min="38" max="38" width="14.42578125" style="272" customWidth="1"/>
    <col min="39" max="39" width="11.42578125" style="272"/>
    <col min="40" max="40" width="13.5703125" style="272" customWidth="1"/>
    <col min="41" max="16384" width="11.42578125" style="272"/>
  </cols>
  <sheetData>
    <row r="1" spans="1:40" ht="13.5" thickBot="1" x14ac:dyDescent="0.25">
      <c r="H1" s="46" t="s">
        <v>211</v>
      </c>
      <c r="Y1" s="272" t="s">
        <v>178</v>
      </c>
      <c r="Z1" s="272" t="s">
        <v>179</v>
      </c>
      <c r="AA1" s="272" t="s">
        <v>180</v>
      </c>
      <c r="AE1" s="272" t="s">
        <v>582</v>
      </c>
      <c r="AF1" s="272" t="s">
        <v>583</v>
      </c>
      <c r="AG1" s="272" t="s">
        <v>584</v>
      </c>
      <c r="AJ1" s="309" t="str">
        <f>IF($I$125=TRUE,AE1,Y1)</f>
        <v>Ug=</v>
      </c>
      <c r="AK1" s="318" t="str">
        <f>IF($I$125=TRUE,AF1,Z1)</f>
        <v>Lt=</v>
      </c>
      <c r="AL1" s="318" t="str">
        <f>IF($I$125=TRUE,AG1,AA1)</f>
        <v>g=</v>
      </c>
    </row>
    <row r="2" spans="1:40" x14ac:dyDescent="0.2">
      <c r="B2" s="29" t="s">
        <v>175</v>
      </c>
      <c r="C2" s="30" t="s">
        <v>91</v>
      </c>
      <c r="D2" s="16" t="s">
        <v>419</v>
      </c>
      <c r="E2" s="17" t="s">
        <v>420</v>
      </c>
      <c r="F2" s="17" t="s">
        <v>421</v>
      </c>
      <c r="G2" s="18" t="s">
        <v>422</v>
      </c>
      <c r="H2" s="448" t="str">
        <f>IF($B$3=$A$3,D2,IF($B$3=$A$4,E2,IF($B$3=$A$5,F2,IF($B$3=$A$6,G2,""))))</f>
        <v>Sprache:</v>
      </c>
      <c r="I2" s="46" t="s">
        <v>191</v>
      </c>
      <c r="X2" s="34" t="s">
        <v>585</v>
      </c>
      <c r="Y2" s="370"/>
      <c r="Z2" s="370"/>
      <c r="AA2" s="370"/>
      <c r="AB2" s="370"/>
      <c r="AC2" s="371"/>
      <c r="AD2" s="34" t="s">
        <v>586</v>
      </c>
      <c r="AE2" s="370"/>
      <c r="AF2" s="370"/>
      <c r="AG2" s="370"/>
      <c r="AH2" s="371"/>
      <c r="AI2" s="34" t="s">
        <v>587</v>
      </c>
      <c r="AJ2" s="370"/>
      <c r="AK2" s="370"/>
      <c r="AL2" s="370"/>
      <c r="AM2" s="370"/>
      <c r="AN2" s="371"/>
    </row>
    <row r="3" spans="1:40" x14ac:dyDescent="0.2">
      <c r="A3" s="272">
        <v>1</v>
      </c>
      <c r="B3" s="449">
        <v>1</v>
      </c>
      <c r="C3" s="450" t="s">
        <v>92</v>
      </c>
      <c r="D3" s="451" t="s">
        <v>92</v>
      </c>
      <c r="E3" s="452" t="s">
        <v>93</v>
      </c>
      <c r="F3" s="452" t="s">
        <v>94</v>
      </c>
      <c r="G3" s="453" t="s">
        <v>95</v>
      </c>
      <c r="H3" s="448" t="str">
        <f>IF($B$3=$A$3,D3,IF($B$3=$A$4,E3,IF($B$3=$A$5,F3,IF($B$3=$A$6,G3,""))))</f>
        <v>DEUTSCH</v>
      </c>
      <c r="I3" s="454"/>
      <c r="X3" s="317" t="s">
        <v>719</v>
      </c>
      <c r="Y3" s="318">
        <v>0.5</v>
      </c>
      <c r="Z3" s="318">
        <v>73</v>
      </c>
      <c r="AA3" s="318">
        <v>54</v>
      </c>
      <c r="AB3" s="318" t="s">
        <v>740</v>
      </c>
      <c r="AC3" s="325"/>
      <c r="AD3" s="317" t="s">
        <v>719</v>
      </c>
      <c r="AE3" s="455">
        <v>0.23</v>
      </c>
      <c r="AF3" s="318">
        <v>0.41</v>
      </c>
      <c r="AG3" s="318">
        <v>0.59</v>
      </c>
      <c r="AH3" s="325" t="s">
        <v>754</v>
      </c>
      <c r="AI3" s="317" t="str">
        <f t="shared" ref="AI3:AM25" si="0">IF($I$125=TRUE,AD3,X3)</f>
        <v>SG-31</v>
      </c>
      <c r="AJ3" s="309">
        <f t="shared" si="0"/>
        <v>0.5</v>
      </c>
      <c r="AK3" s="318">
        <f t="shared" si="0"/>
        <v>73</v>
      </c>
      <c r="AL3" s="318">
        <f t="shared" si="0"/>
        <v>54</v>
      </c>
      <c r="AM3" s="318" t="str">
        <f t="shared" si="0"/>
        <v>E6/18/E6/E6</v>
      </c>
      <c r="AN3" s="325"/>
    </row>
    <row r="4" spans="1:40" x14ac:dyDescent="0.2">
      <c r="A4" s="272">
        <v>2</v>
      </c>
      <c r="B4" s="456"/>
      <c r="C4" s="457" t="s">
        <v>93</v>
      </c>
      <c r="D4" s="317" t="s">
        <v>96</v>
      </c>
      <c r="E4" s="458" t="s">
        <v>97</v>
      </c>
      <c r="F4" s="458" t="s">
        <v>98</v>
      </c>
      <c r="G4" s="459" t="s">
        <v>99</v>
      </c>
      <c r="H4" s="448" t="str">
        <f>IF($B$3=$A$3,D4,IF($B$3=$A$4,E4,IF($B$3=$A$5,F4,IF($B$3=$A$6,G4,""))))</f>
        <v>BESTELLUNG</v>
      </c>
      <c r="I4" s="454"/>
      <c r="X4" s="273" t="s">
        <v>720</v>
      </c>
      <c r="Y4" s="309">
        <v>0.6</v>
      </c>
      <c r="Z4" s="309">
        <v>72</v>
      </c>
      <c r="AA4" s="309">
        <v>53</v>
      </c>
      <c r="AB4" s="309" t="s">
        <v>741</v>
      </c>
      <c r="AC4" s="310"/>
      <c r="AD4" s="273" t="s">
        <v>720</v>
      </c>
      <c r="AE4" s="309">
        <v>0.23</v>
      </c>
      <c r="AF4" s="309">
        <v>0.4</v>
      </c>
      <c r="AG4" s="309">
        <v>0.57999999999999996</v>
      </c>
      <c r="AH4" s="310" t="s">
        <v>755</v>
      </c>
      <c r="AI4" s="273" t="str">
        <f t="shared" si="0"/>
        <v>SG-32</v>
      </c>
      <c r="AJ4" s="309">
        <f t="shared" si="0"/>
        <v>0.6</v>
      </c>
      <c r="AK4" s="309">
        <f t="shared" si="0"/>
        <v>72</v>
      </c>
      <c r="AL4" s="309">
        <f t="shared" si="0"/>
        <v>53</v>
      </c>
      <c r="AM4" s="309" t="str">
        <f t="shared" si="0"/>
        <v>E8/16/E8/14/E8</v>
      </c>
      <c r="AN4" s="310"/>
    </row>
    <row r="5" spans="1:40" x14ac:dyDescent="0.2">
      <c r="A5" s="272">
        <v>3</v>
      </c>
      <c r="B5" s="456"/>
      <c r="C5" s="457" t="s">
        <v>94</v>
      </c>
      <c r="D5" s="273" t="s">
        <v>0</v>
      </c>
      <c r="E5" s="309" t="s">
        <v>1</v>
      </c>
      <c r="F5" s="309" t="s">
        <v>101</v>
      </c>
      <c r="G5" s="310" t="s">
        <v>100</v>
      </c>
      <c r="H5" s="448" t="str">
        <f>IF($B$3=$A$3,D5,IF($B$3=$A$4,E5,IF($B$3=$A$5,F5,IF($B$3=$A$6,G5,""))))</f>
        <v>Gemäss Zeichnung Nr.:</v>
      </c>
      <c r="I5" s="454" t="b">
        <v>0</v>
      </c>
      <c r="X5" s="273" t="s">
        <v>721</v>
      </c>
      <c r="Y5" s="309">
        <v>0.6</v>
      </c>
      <c r="Z5" s="309">
        <v>73</v>
      </c>
      <c r="AA5" s="309" t="s">
        <v>823</v>
      </c>
      <c r="AB5" s="309" t="s">
        <v>742</v>
      </c>
      <c r="AC5" s="310"/>
      <c r="AD5" s="273" t="s">
        <v>721</v>
      </c>
      <c r="AE5" s="309">
        <v>0.23</v>
      </c>
      <c r="AF5" s="309">
        <v>0.41</v>
      </c>
      <c r="AG5" s="309">
        <v>0.57999999999999996</v>
      </c>
      <c r="AH5" s="310" t="s">
        <v>756</v>
      </c>
      <c r="AI5" s="273" t="str">
        <f t="shared" si="0"/>
        <v>SG-33</v>
      </c>
      <c r="AJ5" s="309">
        <f t="shared" si="0"/>
        <v>0.6</v>
      </c>
      <c r="AK5" s="309">
        <f t="shared" si="0"/>
        <v>73</v>
      </c>
      <c r="AL5" s="309" t="str">
        <f t="shared" si="0"/>
        <v>54/52</v>
      </c>
      <c r="AM5" s="309" t="str">
        <f t="shared" si="0"/>
        <v>V-W8-2/16/E6/16/E6</v>
      </c>
      <c r="AN5" s="310"/>
    </row>
    <row r="6" spans="1:40" ht="13.5" thickBot="1" x14ac:dyDescent="0.25">
      <c r="A6" s="272">
        <v>4</v>
      </c>
      <c r="B6" s="460"/>
      <c r="C6" s="461" t="s">
        <v>95</v>
      </c>
      <c r="D6" s="273" t="s">
        <v>102</v>
      </c>
      <c r="E6" s="309" t="s">
        <v>103</v>
      </c>
      <c r="F6" s="309" t="s">
        <v>104</v>
      </c>
      <c r="G6" s="310" t="s">
        <v>344</v>
      </c>
      <c r="H6" s="448" t="str">
        <f>IF($B$3=$A$3,D6,IF($B$3=$A$4,E6,IF($B$3=$A$5,F6,IF($B$3=$A$6,G6,""))))</f>
        <v>Gemäss Skizze: (Ansicht von Aussen)</v>
      </c>
      <c r="I6" s="454" t="b">
        <v>0</v>
      </c>
      <c r="X6" s="273" t="s">
        <v>723</v>
      </c>
      <c r="Y6" s="309">
        <v>0.6</v>
      </c>
      <c r="Z6" s="309">
        <v>72</v>
      </c>
      <c r="AA6" s="309" t="s">
        <v>824</v>
      </c>
      <c r="AB6" s="309" t="s">
        <v>743</v>
      </c>
      <c r="AC6" s="310"/>
      <c r="AD6" s="273" t="s">
        <v>723</v>
      </c>
      <c r="AE6" s="309">
        <v>0.23</v>
      </c>
      <c r="AF6" s="309">
        <v>0.4</v>
      </c>
      <c r="AG6" s="309">
        <v>0.56999999999999995</v>
      </c>
      <c r="AH6" s="310" t="s">
        <v>757</v>
      </c>
      <c r="AI6" s="273" t="str">
        <f t="shared" si="0"/>
        <v>SG-34</v>
      </c>
      <c r="AJ6" s="309">
        <f t="shared" si="0"/>
        <v>0.6</v>
      </c>
      <c r="AK6" s="309">
        <f t="shared" si="0"/>
        <v>72</v>
      </c>
      <c r="AL6" s="309" t="str">
        <f t="shared" si="0"/>
        <v>52/53</v>
      </c>
      <c r="AM6" s="309" t="str">
        <f t="shared" si="0"/>
        <v>V-W8-2/14/E8/14/E8</v>
      </c>
      <c r="AN6" s="310"/>
    </row>
    <row r="7" spans="1:40" ht="13.5" thickBot="1" x14ac:dyDescent="0.25">
      <c r="D7" s="273" t="s">
        <v>473</v>
      </c>
      <c r="E7" s="309" t="s">
        <v>474</v>
      </c>
      <c r="F7" s="309" t="s">
        <v>475</v>
      </c>
      <c r="G7" s="310" t="s">
        <v>476</v>
      </c>
      <c r="H7" s="448" t="str">
        <f t="shared" ref="H7:H71" si="1">IF($B$3=$A$3,D7,IF($B$3=$A$4,E7,IF($B$3=$A$5,F7,IF($B$3=$A$6,G7,""))))</f>
        <v xml:space="preserve">Objekt: </v>
      </c>
      <c r="I7" s="454"/>
      <c r="X7" s="273" t="s">
        <v>724</v>
      </c>
      <c r="Y7" s="309">
        <v>0.6</v>
      </c>
      <c r="Z7" s="309">
        <v>71</v>
      </c>
      <c r="AA7" s="309">
        <v>51</v>
      </c>
      <c r="AB7" s="309" t="s">
        <v>744</v>
      </c>
      <c r="AC7" s="310"/>
      <c r="AD7" s="273" t="s">
        <v>724</v>
      </c>
      <c r="AE7" s="309">
        <v>0.22</v>
      </c>
      <c r="AF7" s="309">
        <v>0.37</v>
      </c>
      <c r="AG7" s="309">
        <v>0.56999999999999995</v>
      </c>
      <c r="AH7" s="310" t="s">
        <v>758</v>
      </c>
      <c r="AI7" s="273" t="str">
        <f t="shared" si="0"/>
        <v>SG-35</v>
      </c>
      <c r="AJ7" s="309">
        <f t="shared" si="0"/>
        <v>0.6</v>
      </c>
      <c r="AK7" s="309">
        <f t="shared" si="0"/>
        <v>71</v>
      </c>
      <c r="AL7" s="309">
        <f t="shared" si="0"/>
        <v>51</v>
      </c>
      <c r="AM7" s="309" t="str">
        <f t="shared" si="0"/>
        <v xml:space="preserve">E6/14/V-T12-2/14/E6 </v>
      </c>
      <c r="AN7" s="310"/>
    </row>
    <row r="8" spans="1:40" x14ac:dyDescent="0.2">
      <c r="B8" s="16" t="s">
        <v>183</v>
      </c>
      <c r="C8" s="18" t="s">
        <v>187</v>
      </c>
      <c r="D8" s="273" t="s">
        <v>181</v>
      </c>
      <c r="E8" s="309" t="s">
        <v>182</v>
      </c>
      <c r="F8" s="309" t="s">
        <v>105</v>
      </c>
      <c r="G8" s="310" t="s">
        <v>106</v>
      </c>
      <c r="H8" s="448" t="str">
        <f t="shared" si="1"/>
        <v>Bestelldatum:</v>
      </c>
      <c r="I8" s="454"/>
      <c r="X8" s="273" t="s">
        <v>725</v>
      </c>
      <c r="Y8" s="309">
        <v>0.6</v>
      </c>
      <c r="Z8" s="309">
        <v>72</v>
      </c>
      <c r="AA8" s="309">
        <v>51</v>
      </c>
      <c r="AB8" s="309" t="s">
        <v>745</v>
      </c>
      <c r="AC8" s="310"/>
      <c r="AD8" s="273" t="s">
        <v>725</v>
      </c>
      <c r="AE8" s="309">
        <v>0.23</v>
      </c>
      <c r="AF8" s="309">
        <v>0.37</v>
      </c>
      <c r="AG8" s="309">
        <v>0.56999999999999995</v>
      </c>
      <c r="AH8" s="310" t="s">
        <v>759</v>
      </c>
      <c r="AI8" s="273" t="str">
        <f t="shared" si="0"/>
        <v>SG-36</v>
      </c>
      <c r="AJ8" s="309">
        <f t="shared" si="0"/>
        <v>0.6</v>
      </c>
      <c r="AK8" s="309">
        <f t="shared" si="0"/>
        <v>72</v>
      </c>
      <c r="AL8" s="309">
        <f t="shared" si="0"/>
        <v>51</v>
      </c>
      <c r="AM8" s="309" t="str">
        <f t="shared" si="0"/>
        <v>E8/14/V-W8-2/14/E8</v>
      </c>
      <c r="AN8" s="310"/>
    </row>
    <row r="9" spans="1:40" ht="13.5" thickBot="1" x14ac:dyDescent="0.25">
      <c r="B9" s="317" t="s">
        <v>868</v>
      </c>
      <c r="C9" s="363" t="s">
        <v>869</v>
      </c>
      <c r="D9" s="273" t="s">
        <v>2</v>
      </c>
      <c r="E9" s="309" t="s">
        <v>3</v>
      </c>
      <c r="F9" s="309" t="s">
        <v>4</v>
      </c>
      <c r="G9" s="310" t="s">
        <v>107</v>
      </c>
      <c r="H9" s="448" t="str">
        <f t="shared" si="1"/>
        <v>Projekt-Nr.:</v>
      </c>
      <c r="I9" s="454"/>
      <c r="X9" s="273" t="s">
        <v>726</v>
      </c>
      <c r="Y9" s="309">
        <v>0.5</v>
      </c>
      <c r="Z9" s="309">
        <v>71</v>
      </c>
      <c r="AA9" s="309" t="s">
        <v>825</v>
      </c>
      <c r="AB9" s="309" t="s">
        <v>746</v>
      </c>
      <c r="AC9" s="310"/>
      <c r="AD9" s="273" t="s">
        <v>726</v>
      </c>
      <c r="AE9" s="309">
        <v>0.22</v>
      </c>
      <c r="AF9" s="309">
        <v>0.39</v>
      </c>
      <c r="AG9" s="309">
        <v>0.56999999999999995</v>
      </c>
      <c r="AH9" s="310" t="s">
        <v>760</v>
      </c>
      <c r="AI9" s="273" t="str">
        <f t="shared" si="0"/>
        <v>SG-37</v>
      </c>
      <c r="AJ9" s="309">
        <f t="shared" si="0"/>
        <v>0.5</v>
      </c>
      <c r="AK9" s="309">
        <f t="shared" si="0"/>
        <v>71</v>
      </c>
      <c r="AL9" s="309" t="str">
        <f t="shared" si="0"/>
        <v>52/49</v>
      </c>
      <c r="AM9" s="309" t="str">
        <f t="shared" si="0"/>
        <v xml:space="preserve">V-W8-P/12/E6/12/V-T12-P </v>
      </c>
      <c r="AN9" s="310"/>
    </row>
    <row r="10" spans="1:40" x14ac:dyDescent="0.2">
      <c r="A10" s="57" t="s">
        <v>44</v>
      </c>
      <c r="B10" s="462" t="s">
        <v>184</v>
      </c>
      <c r="C10" s="463" t="s">
        <v>188</v>
      </c>
      <c r="D10" s="273" t="s">
        <v>5</v>
      </c>
      <c r="E10" s="309" t="s">
        <v>6</v>
      </c>
      <c r="F10" s="309" t="s">
        <v>7</v>
      </c>
      <c r="G10" s="310" t="s">
        <v>319</v>
      </c>
      <c r="H10" s="448" t="str">
        <f t="shared" si="1"/>
        <v>2-gleisig</v>
      </c>
      <c r="I10" s="464" t="b">
        <v>0</v>
      </c>
      <c r="X10" s="273">
        <v>0</v>
      </c>
      <c r="Y10" s="52"/>
      <c r="Z10" s="309"/>
      <c r="AA10" s="309"/>
      <c r="AB10" s="309"/>
      <c r="AC10" s="310"/>
      <c r="AD10" s="273">
        <v>0</v>
      </c>
      <c r="AE10" s="309">
        <v>0</v>
      </c>
      <c r="AF10" s="309">
        <v>0</v>
      </c>
      <c r="AG10" s="309">
        <v>0</v>
      </c>
      <c r="AH10" s="310" t="str">
        <f>$H$54</f>
        <v>Glastyp wählen</v>
      </c>
      <c r="AI10" s="273">
        <f t="shared" si="0"/>
        <v>0</v>
      </c>
      <c r="AJ10" s="309">
        <f t="shared" si="0"/>
        <v>0</v>
      </c>
      <c r="AK10" s="309">
        <f t="shared" si="0"/>
        <v>0</v>
      </c>
      <c r="AL10" s="309">
        <f t="shared" si="0"/>
        <v>0</v>
      </c>
      <c r="AM10" s="309">
        <f t="shared" si="0"/>
        <v>0</v>
      </c>
      <c r="AN10" s="310"/>
    </row>
    <row r="11" spans="1:40" x14ac:dyDescent="0.2">
      <c r="A11" s="465"/>
      <c r="B11" s="466" t="s">
        <v>185</v>
      </c>
      <c r="C11" s="467" t="s">
        <v>189</v>
      </c>
      <c r="D11" s="273" t="s">
        <v>8</v>
      </c>
      <c r="E11" s="309" t="s">
        <v>9</v>
      </c>
      <c r="F11" s="309" t="s">
        <v>816</v>
      </c>
      <c r="G11" s="310" t="s">
        <v>320</v>
      </c>
      <c r="H11" s="448" t="str">
        <f t="shared" si="1"/>
        <v>3-gleisig</v>
      </c>
      <c r="I11" s="464" t="b">
        <v>0</v>
      </c>
      <c r="X11" s="273" t="s">
        <v>727</v>
      </c>
      <c r="Y11" s="309">
        <v>0.5</v>
      </c>
      <c r="Z11" s="309">
        <v>64</v>
      </c>
      <c r="AA11" s="309">
        <v>45</v>
      </c>
      <c r="AB11" s="318" t="s">
        <v>740</v>
      </c>
      <c r="AC11" s="310"/>
      <c r="AD11" s="273" t="s">
        <v>727</v>
      </c>
      <c r="AE11" s="309">
        <v>0.23</v>
      </c>
      <c r="AF11" s="309">
        <v>0.35</v>
      </c>
      <c r="AG11" s="309">
        <v>0.52</v>
      </c>
      <c r="AH11" s="310" t="s">
        <v>761</v>
      </c>
      <c r="AI11" s="273" t="str">
        <f t="shared" si="0"/>
        <v>SG-41</v>
      </c>
      <c r="AJ11" s="309">
        <f t="shared" si="0"/>
        <v>0.5</v>
      </c>
      <c r="AK11" s="309">
        <f t="shared" si="0"/>
        <v>64</v>
      </c>
      <c r="AL11" s="309">
        <f t="shared" si="0"/>
        <v>45</v>
      </c>
      <c r="AM11" s="309" t="str">
        <f t="shared" si="0"/>
        <v>E6/18/E6/E6</v>
      </c>
      <c r="AN11" s="310"/>
    </row>
    <row r="12" spans="1:40" x14ac:dyDescent="0.2">
      <c r="A12" s="448" t="s">
        <v>177</v>
      </c>
      <c r="B12" s="466" t="s">
        <v>186</v>
      </c>
      <c r="C12" s="467" t="s">
        <v>190</v>
      </c>
      <c r="D12" s="273" t="s">
        <v>10</v>
      </c>
      <c r="E12" s="309" t="s">
        <v>11</v>
      </c>
      <c r="F12" s="309" t="s">
        <v>817</v>
      </c>
      <c r="G12" s="310" t="s">
        <v>321</v>
      </c>
      <c r="H12" s="448" t="str">
        <f t="shared" si="1"/>
        <v>4-gleisig</v>
      </c>
      <c r="I12" s="464" t="b">
        <f>IF(AND(I11=TRUE,'Pos. 4'!AT5=1),TRUE,FALSE)</f>
        <v>0</v>
      </c>
      <c r="X12" s="273" t="s">
        <v>728</v>
      </c>
      <c r="Y12" s="309">
        <v>0.6</v>
      </c>
      <c r="Z12" s="309">
        <v>63</v>
      </c>
      <c r="AA12" s="309">
        <v>45</v>
      </c>
      <c r="AB12" s="309" t="s">
        <v>741</v>
      </c>
      <c r="AC12" s="310"/>
      <c r="AD12" s="273" t="s">
        <v>728</v>
      </c>
      <c r="AE12" s="309">
        <v>0.23</v>
      </c>
      <c r="AF12" s="309">
        <v>0.34</v>
      </c>
      <c r="AG12" s="309">
        <v>0.51</v>
      </c>
      <c r="AH12" s="310" t="s">
        <v>763</v>
      </c>
      <c r="AI12" s="273" t="str">
        <f t="shared" si="0"/>
        <v>SG-42</v>
      </c>
      <c r="AJ12" s="309">
        <f t="shared" si="0"/>
        <v>0.6</v>
      </c>
      <c r="AK12" s="309">
        <f t="shared" si="0"/>
        <v>63</v>
      </c>
      <c r="AL12" s="309">
        <f t="shared" si="0"/>
        <v>45</v>
      </c>
      <c r="AM12" s="309" t="str">
        <f t="shared" si="0"/>
        <v>E8/16/E8/14/E8</v>
      </c>
      <c r="AN12" s="310"/>
    </row>
    <row r="13" spans="1:40" x14ac:dyDescent="0.2">
      <c r="A13" s="448" t="s">
        <v>222</v>
      </c>
      <c r="B13" s="468" t="s">
        <v>416</v>
      </c>
      <c r="C13" s="469" t="s">
        <v>415</v>
      </c>
      <c r="D13" s="273" t="s">
        <v>12</v>
      </c>
      <c r="E13" s="309" t="s">
        <v>13</v>
      </c>
      <c r="F13" s="309" t="s">
        <v>14</v>
      </c>
      <c r="G13" s="310" t="s">
        <v>108</v>
      </c>
      <c r="H13" s="448" t="str">
        <f t="shared" si="1"/>
        <v>Teilung Achsmasse</v>
      </c>
      <c r="I13" s="454" t="b">
        <v>0</v>
      </c>
      <c r="X13" s="273" t="s">
        <v>729</v>
      </c>
      <c r="Y13" s="309">
        <v>0.5</v>
      </c>
      <c r="Z13" s="309">
        <v>64</v>
      </c>
      <c r="AA13" s="309" t="s">
        <v>828</v>
      </c>
      <c r="AB13" s="309" t="s">
        <v>742</v>
      </c>
      <c r="AC13" s="310"/>
      <c r="AD13" s="273" t="s">
        <v>729</v>
      </c>
      <c r="AE13" s="309">
        <v>0.22</v>
      </c>
      <c r="AF13" s="309">
        <v>0.35</v>
      </c>
      <c r="AG13" s="309">
        <v>0.51</v>
      </c>
      <c r="AH13" s="310" t="s">
        <v>762</v>
      </c>
      <c r="AI13" s="273" t="str">
        <f t="shared" si="0"/>
        <v>SG-43</v>
      </c>
      <c r="AJ13" s="309">
        <f t="shared" si="0"/>
        <v>0.5</v>
      </c>
      <c r="AK13" s="309">
        <f t="shared" si="0"/>
        <v>64</v>
      </c>
      <c r="AL13" s="309" t="str">
        <f t="shared" si="0"/>
        <v>44/46</v>
      </c>
      <c r="AM13" s="309" t="str">
        <f t="shared" si="0"/>
        <v>V-W8-2/16/E6/16/E6</v>
      </c>
      <c r="AN13" s="310"/>
    </row>
    <row r="14" spans="1:40" ht="13.5" thickBot="1" x14ac:dyDescent="0.25">
      <c r="A14" s="448" t="s">
        <v>221</v>
      </c>
      <c r="B14" s="377" t="s">
        <v>417</v>
      </c>
      <c r="C14" s="470" t="s">
        <v>414</v>
      </c>
      <c r="D14" s="273" t="s">
        <v>110</v>
      </c>
      <c r="E14" s="309" t="s">
        <v>109</v>
      </c>
      <c r="F14" s="5" t="s">
        <v>15</v>
      </c>
      <c r="G14" s="59" t="s">
        <v>345</v>
      </c>
      <c r="H14" s="448" t="str">
        <f t="shared" si="1"/>
        <v>alle Gläser gleiche Breite (Empfehlung)</v>
      </c>
      <c r="I14" s="454" t="b">
        <v>0</v>
      </c>
      <c r="X14" s="273" t="s">
        <v>722</v>
      </c>
      <c r="Y14" s="309">
        <v>0.6</v>
      </c>
      <c r="Z14" s="309">
        <v>64</v>
      </c>
      <c r="AA14" s="309" t="s">
        <v>827</v>
      </c>
      <c r="AB14" s="309" t="s">
        <v>743</v>
      </c>
      <c r="AC14" s="310"/>
      <c r="AD14" s="273" t="s">
        <v>722</v>
      </c>
      <c r="AE14" s="309">
        <v>0.23</v>
      </c>
      <c r="AF14" s="309">
        <v>0.34</v>
      </c>
      <c r="AG14" s="309">
        <v>0.5</v>
      </c>
      <c r="AH14" s="310" t="s">
        <v>764</v>
      </c>
      <c r="AI14" s="273" t="str">
        <f t="shared" si="0"/>
        <v>SG-44</v>
      </c>
      <c r="AJ14" s="309">
        <f t="shared" si="0"/>
        <v>0.6</v>
      </c>
      <c r="AK14" s="309">
        <f t="shared" si="0"/>
        <v>64</v>
      </c>
      <c r="AL14" s="309" t="str">
        <f t="shared" si="0"/>
        <v>43/45</v>
      </c>
      <c r="AM14" s="309" t="str">
        <f t="shared" si="0"/>
        <v>V-W8-2/14/E8/14/E8</v>
      </c>
      <c r="AN14" s="310"/>
    </row>
    <row r="15" spans="1:40" x14ac:dyDescent="0.2">
      <c r="A15" s="448" t="s">
        <v>223</v>
      </c>
      <c r="B15" s="85" t="s">
        <v>194</v>
      </c>
      <c r="C15" s="35"/>
      <c r="D15" s="273" t="s">
        <v>16</v>
      </c>
      <c r="E15" s="309" t="s">
        <v>16</v>
      </c>
      <c r="F15" s="309" t="s">
        <v>16</v>
      </c>
      <c r="G15" s="310" t="s">
        <v>16</v>
      </c>
      <c r="H15" s="448" t="str">
        <f t="shared" si="1"/>
        <v>Standard</v>
      </c>
      <c r="I15" s="454" t="b">
        <v>0</v>
      </c>
      <c r="X15" s="273" t="s">
        <v>730</v>
      </c>
      <c r="Y15" s="309">
        <v>0.6</v>
      </c>
      <c r="Z15" s="309">
        <v>63</v>
      </c>
      <c r="AA15" s="309">
        <v>43</v>
      </c>
      <c r="AB15" s="309" t="s">
        <v>744</v>
      </c>
      <c r="AC15" s="310"/>
      <c r="AD15" s="273" t="s">
        <v>730</v>
      </c>
      <c r="AE15" s="309">
        <v>0.22</v>
      </c>
      <c r="AF15" s="309">
        <v>0.31</v>
      </c>
      <c r="AG15" s="309">
        <v>0.5</v>
      </c>
      <c r="AH15" s="310" t="s">
        <v>765</v>
      </c>
      <c r="AI15" s="273" t="str">
        <f t="shared" si="0"/>
        <v>SG-45</v>
      </c>
      <c r="AJ15" s="309">
        <f t="shared" si="0"/>
        <v>0.6</v>
      </c>
      <c r="AK15" s="309">
        <f t="shared" si="0"/>
        <v>63</v>
      </c>
      <c r="AL15" s="309">
        <f t="shared" si="0"/>
        <v>43</v>
      </c>
      <c r="AM15" s="309" t="str">
        <f t="shared" si="0"/>
        <v xml:space="preserve">E6/14/V-T12-2/14/E6 </v>
      </c>
      <c r="AN15" s="310"/>
    </row>
    <row r="16" spans="1:40" x14ac:dyDescent="0.2">
      <c r="A16" s="448" t="s">
        <v>224</v>
      </c>
      <c r="B16" s="471" t="s">
        <v>195</v>
      </c>
      <c r="C16" s="463">
        <f>IF(AND($I$20=TRUE,OR('Pos. 4'!$F$10='Sprachen &amp; Rückgabewerte(4)'!$B$10,'Pos. 4'!$F$10='Sprachen &amp; Rückgabewerte(4)'!$B$11)),1,0)</f>
        <v>0</v>
      </c>
      <c r="D16" s="273" t="s">
        <v>17</v>
      </c>
      <c r="E16" s="309" t="s">
        <v>18</v>
      </c>
      <c r="F16" s="309" t="s">
        <v>19</v>
      </c>
      <c r="G16" s="310" t="s">
        <v>322</v>
      </c>
      <c r="H16" s="448" t="str">
        <f t="shared" si="1"/>
        <v>Einbruchschutz RC2</v>
      </c>
      <c r="I16" s="454" t="b">
        <v>0</v>
      </c>
      <c r="X16" s="273" t="s">
        <v>731</v>
      </c>
      <c r="Y16" s="309">
        <v>0.6</v>
      </c>
      <c r="Z16" s="309">
        <v>61</v>
      </c>
      <c r="AA16" s="309">
        <v>43</v>
      </c>
      <c r="AB16" s="309" t="s">
        <v>745</v>
      </c>
      <c r="AC16" s="310"/>
      <c r="AD16" s="273" t="s">
        <v>731</v>
      </c>
      <c r="AE16" s="309">
        <v>0.23</v>
      </c>
      <c r="AF16" s="309">
        <v>0.31</v>
      </c>
      <c r="AG16" s="309">
        <v>0.5</v>
      </c>
      <c r="AH16" s="310" t="s">
        <v>766</v>
      </c>
      <c r="AI16" s="273" t="str">
        <f t="shared" si="0"/>
        <v>SG-46</v>
      </c>
      <c r="AJ16" s="309">
        <f t="shared" si="0"/>
        <v>0.6</v>
      </c>
      <c r="AK16" s="309">
        <f t="shared" si="0"/>
        <v>61</v>
      </c>
      <c r="AL16" s="309">
        <f t="shared" si="0"/>
        <v>43</v>
      </c>
      <c r="AM16" s="309" t="str">
        <f t="shared" si="0"/>
        <v>E8/14/V-W8-2/14/E8</v>
      </c>
      <c r="AN16" s="310"/>
    </row>
    <row r="17" spans="1:40" x14ac:dyDescent="0.2">
      <c r="A17" s="448" t="s">
        <v>225</v>
      </c>
      <c r="B17" s="466" t="s">
        <v>196</v>
      </c>
      <c r="C17" s="467">
        <f>IF(AND($I$20=TRUE,OR('Pos. 4'!$J$10='Sprachen &amp; Rückgabewerte(4)'!$B$10,'Pos. 4'!$J$10='Sprachen &amp; Rückgabewerte(4)'!$B$11)),1,0)</f>
        <v>0</v>
      </c>
      <c r="D17" s="273" t="s">
        <v>313</v>
      </c>
      <c r="E17" s="309" t="s">
        <v>20</v>
      </c>
      <c r="F17" s="309" t="s">
        <v>21</v>
      </c>
      <c r="G17" s="310" t="s">
        <v>122</v>
      </c>
      <c r="H17" s="448" t="str">
        <f t="shared" si="1"/>
        <v>Positionsüberwachung (P)</v>
      </c>
      <c r="I17" s="454" t="b">
        <v>0</v>
      </c>
      <c r="X17" s="273" t="s">
        <v>732</v>
      </c>
      <c r="Y17" s="309">
        <v>0.5</v>
      </c>
      <c r="Z17" s="309">
        <v>63</v>
      </c>
      <c r="AA17" s="309" t="s">
        <v>826</v>
      </c>
      <c r="AB17" s="309" t="s">
        <v>747</v>
      </c>
      <c r="AC17" s="310"/>
      <c r="AD17" s="273" t="s">
        <v>732</v>
      </c>
      <c r="AE17" s="309">
        <v>0.22</v>
      </c>
      <c r="AF17" s="309">
        <v>0.34</v>
      </c>
      <c r="AG17" s="309">
        <v>0.5</v>
      </c>
      <c r="AH17" s="310" t="s">
        <v>767</v>
      </c>
      <c r="AI17" s="273" t="str">
        <f t="shared" si="0"/>
        <v>SG-47</v>
      </c>
      <c r="AJ17" s="309">
        <f t="shared" si="0"/>
        <v>0.5</v>
      </c>
      <c r="AK17" s="309">
        <f t="shared" si="0"/>
        <v>63</v>
      </c>
      <c r="AL17" s="309" t="str">
        <f t="shared" si="0"/>
        <v>44/41</v>
      </c>
      <c r="AM17" s="309" t="str">
        <f t="shared" si="0"/>
        <v xml:space="preserve">V-W-8P/12/E6/12/V-T12-P </v>
      </c>
      <c r="AN17" s="310"/>
    </row>
    <row r="18" spans="1:40" x14ac:dyDescent="0.2">
      <c r="A18" s="448" t="s">
        <v>226</v>
      </c>
      <c r="B18" s="466" t="s">
        <v>197</v>
      </c>
      <c r="C18" s="467">
        <f>IF(AND($I$20=TRUE,OR('Pos. 4'!$N$10='Sprachen &amp; Rückgabewerte(4)'!$B$10,'Pos. 4'!$N$10='Sprachen &amp; Rückgabewerte(4)'!$B$11)),1,0)</f>
        <v>0</v>
      </c>
      <c r="D18" s="273" t="s">
        <v>314</v>
      </c>
      <c r="E18" s="309" t="s">
        <v>22</v>
      </c>
      <c r="F18" s="309" t="s">
        <v>315</v>
      </c>
      <c r="G18" s="310" t="s">
        <v>123</v>
      </c>
      <c r="H18" s="448" t="str">
        <f t="shared" si="1"/>
        <v xml:space="preserve">Riegelüberwachung (R) </v>
      </c>
      <c r="I18" s="454" t="b">
        <v>0</v>
      </c>
      <c r="X18" s="273">
        <v>0</v>
      </c>
      <c r="Y18" s="309"/>
      <c r="Z18" s="309"/>
      <c r="AA18" s="309"/>
      <c r="AB18" s="309"/>
      <c r="AC18" s="310"/>
      <c r="AD18" s="273">
        <v>0</v>
      </c>
      <c r="AE18" s="309">
        <v>0</v>
      </c>
      <c r="AF18" s="309">
        <v>0</v>
      </c>
      <c r="AG18" s="309">
        <v>0</v>
      </c>
      <c r="AH18" s="310" t="str">
        <f>$H$54</f>
        <v>Glastyp wählen</v>
      </c>
      <c r="AI18" s="273">
        <f t="shared" si="0"/>
        <v>0</v>
      </c>
      <c r="AJ18" s="309">
        <f t="shared" si="0"/>
        <v>0</v>
      </c>
      <c r="AK18" s="309">
        <f t="shared" si="0"/>
        <v>0</v>
      </c>
      <c r="AL18" s="309">
        <f t="shared" si="0"/>
        <v>0</v>
      </c>
      <c r="AM18" s="309">
        <f t="shared" si="0"/>
        <v>0</v>
      </c>
      <c r="AN18" s="310"/>
    </row>
    <row r="19" spans="1:40" x14ac:dyDescent="0.2">
      <c r="A19" s="448"/>
      <c r="B19" s="466" t="s">
        <v>198</v>
      </c>
      <c r="C19" s="467">
        <f>IF(AND($I$20=TRUE,OR('Pos. 4'!$R$10='Sprachen &amp; Rückgabewerte(4)'!$B$10,'Pos. 4'!$R$10='Sprachen &amp; Rückgabewerte(4)'!$B$11)),1,0)</f>
        <v>0</v>
      </c>
      <c r="D19" s="273" t="s">
        <v>316</v>
      </c>
      <c r="E19" s="309" t="s">
        <v>23</v>
      </c>
      <c r="F19" s="309" t="s">
        <v>24</v>
      </c>
      <c r="G19" s="310" t="s">
        <v>121</v>
      </c>
      <c r="H19" s="448" t="str">
        <f t="shared" si="1"/>
        <v>Glasbruchüberwachung (G)</v>
      </c>
      <c r="I19" s="454" t="b">
        <v>0</v>
      </c>
      <c r="X19" s="273" t="s">
        <v>733</v>
      </c>
      <c r="Y19" s="309">
        <v>0.5</v>
      </c>
      <c r="Z19" s="309">
        <v>55</v>
      </c>
      <c r="AA19" s="309">
        <v>33</v>
      </c>
      <c r="AB19" s="318" t="s">
        <v>740</v>
      </c>
      <c r="AC19" s="310"/>
      <c r="AD19" s="273" t="s">
        <v>733</v>
      </c>
      <c r="AE19" s="309">
        <v>0.23</v>
      </c>
      <c r="AF19" s="309">
        <v>0.28999999999999998</v>
      </c>
      <c r="AG19" s="309">
        <v>0.46</v>
      </c>
      <c r="AH19" s="310" t="s">
        <v>768</v>
      </c>
      <c r="AI19" s="273" t="str">
        <f t="shared" si="0"/>
        <v>SG-51</v>
      </c>
      <c r="AJ19" s="309">
        <f t="shared" si="0"/>
        <v>0.5</v>
      </c>
      <c r="AK19" s="309">
        <f t="shared" si="0"/>
        <v>55</v>
      </c>
      <c r="AL19" s="309">
        <f t="shared" si="0"/>
        <v>33</v>
      </c>
      <c r="AM19" s="309" t="str">
        <f t="shared" si="0"/>
        <v>E6/18/E6/E6</v>
      </c>
      <c r="AN19" s="310"/>
    </row>
    <row r="20" spans="1:40" x14ac:dyDescent="0.2">
      <c r="A20" s="448" t="s">
        <v>227</v>
      </c>
      <c r="B20" s="466" t="s">
        <v>199</v>
      </c>
      <c r="C20" s="467">
        <f>IF(AND($I$20=TRUE,OR('Pos. 4'!$V$10='Sprachen &amp; Rückgabewerte(4)'!$B$10,'Pos. 4'!$V$10='Sprachen &amp; Rückgabewerte(4)'!$B$11)),1,0)</f>
        <v>0</v>
      </c>
      <c r="D20" s="273" t="s">
        <v>25</v>
      </c>
      <c r="E20" s="309" t="s">
        <v>192</v>
      </c>
      <c r="F20" s="309" t="s">
        <v>26</v>
      </c>
      <c r="G20" s="310" t="s">
        <v>124</v>
      </c>
      <c r="H20" s="448" t="str">
        <f t="shared" si="1"/>
        <v>Elektrischer Antrieb, Anzahl</v>
      </c>
      <c r="I20" s="454" t="b">
        <v>0</v>
      </c>
      <c r="X20" s="273" t="s">
        <v>734</v>
      </c>
      <c r="Y20" s="309">
        <v>0.6</v>
      </c>
      <c r="Z20" s="309">
        <v>54</v>
      </c>
      <c r="AA20" s="309">
        <v>33</v>
      </c>
      <c r="AB20" s="309" t="s">
        <v>741</v>
      </c>
      <c r="AC20" s="310"/>
      <c r="AD20" s="273" t="s">
        <v>734</v>
      </c>
      <c r="AE20" s="309">
        <v>0.23</v>
      </c>
      <c r="AF20" s="309">
        <v>0.28000000000000003</v>
      </c>
      <c r="AG20" s="309">
        <v>0.46</v>
      </c>
      <c r="AH20" s="310" t="s">
        <v>769</v>
      </c>
      <c r="AI20" s="273" t="str">
        <f t="shared" si="0"/>
        <v>SG-52</v>
      </c>
      <c r="AJ20" s="309">
        <f t="shared" si="0"/>
        <v>0.6</v>
      </c>
      <c r="AK20" s="309">
        <f t="shared" si="0"/>
        <v>54</v>
      </c>
      <c r="AL20" s="309">
        <f t="shared" si="0"/>
        <v>33</v>
      </c>
      <c r="AM20" s="309" t="str">
        <f t="shared" si="0"/>
        <v>E8/16/E8/14/E8</v>
      </c>
      <c r="AN20" s="310"/>
    </row>
    <row r="21" spans="1:40" x14ac:dyDescent="0.2">
      <c r="A21" s="448" t="s">
        <v>228</v>
      </c>
      <c r="B21" s="466" t="s">
        <v>200</v>
      </c>
      <c r="C21" s="467">
        <f>IF(AND($I$20=TRUE,OR('Pos. 4'!$Z$10='Sprachen &amp; Rückgabewerte(4)'!$B$10,'Pos. 4'!$Z$10='Sprachen &amp; Rückgabewerte(4)'!$B$11)),1,0)</f>
        <v>0</v>
      </c>
      <c r="D21" s="273" t="s">
        <v>27</v>
      </c>
      <c r="E21" s="309" t="s">
        <v>692</v>
      </c>
      <c r="F21" s="309" t="s">
        <v>28</v>
      </c>
      <c r="G21" s="310" t="s">
        <v>125</v>
      </c>
      <c r="H21" s="448" t="str">
        <f t="shared" si="1"/>
        <v>Stk.</v>
      </c>
      <c r="I21" s="454"/>
      <c r="X21" s="273" t="s">
        <v>735</v>
      </c>
      <c r="Y21" s="309">
        <v>0.5</v>
      </c>
      <c r="Z21" s="309">
        <v>55</v>
      </c>
      <c r="AA21" s="309" t="s">
        <v>831</v>
      </c>
      <c r="AB21" s="309" t="s">
        <v>742</v>
      </c>
      <c r="AC21" s="310"/>
      <c r="AD21" s="273" t="s">
        <v>735</v>
      </c>
      <c r="AE21" s="309">
        <v>0.23</v>
      </c>
      <c r="AF21" s="309">
        <v>0.28999999999999998</v>
      </c>
      <c r="AG21" s="309">
        <v>0.45</v>
      </c>
      <c r="AH21" s="310" t="s">
        <v>770</v>
      </c>
      <c r="AI21" s="273" t="str">
        <f t="shared" si="0"/>
        <v>SG-53</v>
      </c>
      <c r="AJ21" s="309">
        <f t="shared" si="0"/>
        <v>0.5</v>
      </c>
      <c r="AK21" s="309">
        <f t="shared" si="0"/>
        <v>55</v>
      </c>
      <c r="AL21" s="309" t="str">
        <f t="shared" si="0"/>
        <v>32/34</v>
      </c>
      <c r="AM21" s="309" t="str">
        <f t="shared" si="0"/>
        <v>V-W8-2/16/E6/16/E6</v>
      </c>
      <c r="AN21" s="310"/>
    </row>
    <row r="22" spans="1:40" x14ac:dyDescent="0.2">
      <c r="A22" s="448"/>
      <c r="B22" s="466" t="s">
        <v>201</v>
      </c>
      <c r="C22" s="467">
        <f>IF(AND($I$20=TRUE,OR('Pos. 4'!$AD$10='Sprachen &amp; Rückgabewerte(4)'!$B$10,'Pos. 4'!$AD$10='Sprachen &amp; Rückgabewerte(4)'!$B$11)),1,0)</f>
        <v>0</v>
      </c>
      <c r="D22" s="273" t="s">
        <v>29</v>
      </c>
      <c r="E22" s="309" t="s">
        <v>312</v>
      </c>
      <c r="F22" s="309" t="s">
        <v>311</v>
      </c>
      <c r="G22" s="310" t="s">
        <v>468</v>
      </c>
      <c r="H22" s="448" t="str">
        <f t="shared" si="1"/>
        <v>geforderte Klassen:</v>
      </c>
      <c r="I22" s="454" t="b">
        <v>0</v>
      </c>
      <c r="X22" s="273" t="s">
        <v>736</v>
      </c>
      <c r="Y22" s="309">
        <v>0.6</v>
      </c>
      <c r="Z22" s="309">
        <v>54</v>
      </c>
      <c r="AA22" s="309" t="s">
        <v>830</v>
      </c>
      <c r="AB22" s="309" t="s">
        <v>743</v>
      </c>
      <c r="AC22" s="310"/>
      <c r="AD22" s="273" t="s">
        <v>736</v>
      </c>
      <c r="AE22" s="309">
        <v>0.23</v>
      </c>
      <c r="AF22" s="309">
        <v>0.28000000000000003</v>
      </c>
      <c r="AG22" s="309">
        <v>0.45</v>
      </c>
      <c r="AH22" s="310" t="s">
        <v>771</v>
      </c>
      <c r="AI22" s="273" t="str">
        <f t="shared" si="0"/>
        <v>SG-54</v>
      </c>
      <c r="AJ22" s="309">
        <f t="shared" si="0"/>
        <v>0.6</v>
      </c>
      <c r="AK22" s="309">
        <f t="shared" si="0"/>
        <v>54</v>
      </c>
      <c r="AL22" s="309" t="str">
        <f t="shared" si="0"/>
        <v>31/33</v>
      </c>
      <c r="AM22" s="309" t="str">
        <f t="shared" si="0"/>
        <v>V-W8-2/14/E8/14/E8</v>
      </c>
      <c r="AN22" s="310"/>
    </row>
    <row r="23" spans="1:40" x14ac:dyDescent="0.2">
      <c r="A23" s="368">
        <v>1</v>
      </c>
      <c r="B23" s="466" t="s">
        <v>202</v>
      </c>
      <c r="C23" s="467">
        <f>IF(AND($I$20=TRUE,OR('Pos. 4'!$AH$10='Sprachen &amp; Rückgabewerte(4)'!$B$10,'Pos. 4'!$AH$10='Sprachen &amp; Rückgabewerte(4)'!$B$11)),1,0)</f>
        <v>0</v>
      </c>
      <c r="D23" s="6" t="s">
        <v>118</v>
      </c>
      <c r="E23" s="7" t="s">
        <v>119</v>
      </c>
      <c r="F23" s="7" t="s">
        <v>120</v>
      </c>
      <c r="G23" s="8" t="s">
        <v>323</v>
      </c>
      <c r="H23" s="448" t="str">
        <f t="shared" si="1"/>
        <v>(Schlagregen, Luftdurchlässigkeit)</v>
      </c>
      <c r="I23" s="454"/>
      <c r="X23" s="273" t="s">
        <v>737</v>
      </c>
      <c r="Y23" s="309">
        <v>0.6</v>
      </c>
      <c r="Z23" s="309">
        <v>53</v>
      </c>
      <c r="AA23" s="309">
        <v>25</v>
      </c>
      <c r="AB23" s="309" t="s">
        <v>744</v>
      </c>
      <c r="AC23" s="310"/>
      <c r="AD23" s="273" t="s">
        <v>737</v>
      </c>
      <c r="AE23" s="309">
        <v>0.22</v>
      </c>
      <c r="AF23" s="309">
        <v>0.23</v>
      </c>
      <c r="AG23" s="309">
        <v>0.45</v>
      </c>
      <c r="AH23" s="310" t="s">
        <v>772</v>
      </c>
      <c r="AI23" s="273" t="str">
        <f t="shared" si="0"/>
        <v>SG-55</v>
      </c>
      <c r="AJ23" s="309">
        <f t="shared" si="0"/>
        <v>0.6</v>
      </c>
      <c r="AK23" s="309">
        <f t="shared" si="0"/>
        <v>53</v>
      </c>
      <c r="AL23" s="309">
        <f t="shared" si="0"/>
        <v>25</v>
      </c>
      <c r="AM23" s="309" t="str">
        <f t="shared" si="0"/>
        <v xml:space="preserve">E6/14/V-T12-2/14/E6 </v>
      </c>
      <c r="AN23" s="310"/>
    </row>
    <row r="24" spans="1:40" ht="13.5" thickBot="1" x14ac:dyDescent="0.25">
      <c r="A24" s="472">
        <v>2</v>
      </c>
      <c r="B24" s="466" t="s">
        <v>203</v>
      </c>
      <c r="C24" s="467">
        <f>IF(AND($I$20=TRUE,OR('Pos. 4'!$AL$10='Sprachen &amp; Rückgabewerte(4)'!$B$10,'Pos. 4'!$AL$10='Sprachen &amp; Rückgabewerte(4)'!$B$11)),1,0)</f>
        <v>0</v>
      </c>
      <c r="D24" s="273" t="s">
        <v>111</v>
      </c>
      <c r="E24" s="309" t="s">
        <v>112</v>
      </c>
      <c r="F24" s="309" t="s">
        <v>113</v>
      </c>
      <c r="G24" s="310" t="s">
        <v>114</v>
      </c>
      <c r="H24" s="448" t="str">
        <f t="shared" si="1"/>
        <v>Speziell:</v>
      </c>
      <c r="I24" s="454"/>
      <c r="X24" s="273" t="s">
        <v>738</v>
      </c>
      <c r="Y24" s="309">
        <v>0.6</v>
      </c>
      <c r="Z24" s="309">
        <v>54</v>
      </c>
      <c r="AA24" s="309">
        <v>26</v>
      </c>
      <c r="AB24" s="309" t="s">
        <v>745</v>
      </c>
      <c r="AC24" s="310"/>
      <c r="AD24" s="273" t="s">
        <v>738</v>
      </c>
      <c r="AE24" s="309">
        <v>0.23</v>
      </c>
      <c r="AF24" s="309">
        <v>0.23</v>
      </c>
      <c r="AG24" s="309">
        <v>0.45</v>
      </c>
      <c r="AH24" s="310" t="s">
        <v>773</v>
      </c>
      <c r="AI24" s="273" t="str">
        <f t="shared" si="0"/>
        <v>SG-56</v>
      </c>
      <c r="AJ24" s="309">
        <f t="shared" si="0"/>
        <v>0.6</v>
      </c>
      <c r="AK24" s="309">
        <f t="shared" si="0"/>
        <v>54</v>
      </c>
      <c r="AL24" s="309">
        <f t="shared" si="0"/>
        <v>26</v>
      </c>
      <c r="AM24" s="309" t="str">
        <f t="shared" si="0"/>
        <v>E8/14/V-W8-2/14/E8</v>
      </c>
      <c r="AN24" s="310"/>
    </row>
    <row r="25" spans="1:40" ht="13.5" thickBot="1" x14ac:dyDescent="0.25">
      <c r="B25" s="473" t="s">
        <v>204</v>
      </c>
      <c r="C25" s="470">
        <f>IF(AND($I$20=TRUE,OR('Pos. 4'!$AP$10='Sprachen &amp; Rückgabewerte(4)'!$B$10,'Pos. 4'!$AP$10='Sprachen &amp; Rückgabewerte(4)'!$B$11)),1,0)</f>
        <v>0</v>
      </c>
      <c r="D25" s="273" t="s">
        <v>30</v>
      </c>
      <c r="E25" s="309" t="s">
        <v>30</v>
      </c>
      <c r="F25" s="309" t="s">
        <v>30</v>
      </c>
      <c r="G25" s="310" t="s">
        <v>30</v>
      </c>
      <c r="H25" s="448" t="str">
        <f t="shared" si="1"/>
        <v>Pool</v>
      </c>
      <c r="I25" s="454" t="b">
        <v>0</v>
      </c>
      <c r="X25" s="273" t="s">
        <v>739</v>
      </c>
      <c r="Y25" s="309">
        <v>0.5</v>
      </c>
      <c r="Z25" s="309">
        <v>53</v>
      </c>
      <c r="AA25" s="309" t="s">
        <v>829</v>
      </c>
      <c r="AB25" s="309" t="s">
        <v>747</v>
      </c>
      <c r="AC25" s="310"/>
      <c r="AD25" s="273" t="s">
        <v>739</v>
      </c>
      <c r="AE25" s="309">
        <v>0.22</v>
      </c>
      <c r="AF25" s="309">
        <v>0.28000000000000003</v>
      </c>
      <c r="AG25" s="309">
        <v>0.45</v>
      </c>
      <c r="AH25" s="310" t="s">
        <v>774</v>
      </c>
      <c r="AI25" s="474" t="str">
        <f t="shared" si="0"/>
        <v>SG-57</v>
      </c>
      <c r="AJ25" s="475">
        <f t="shared" si="0"/>
        <v>0.5</v>
      </c>
      <c r="AK25" s="475">
        <f t="shared" si="0"/>
        <v>53</v>
      </c>
      <c r="AL25" s="475" t="str">
        <f t="shared" si="0"/>
        <v>32/31</v>
      </c>
      <c r="AM25" s="475" t="str">
        <f t="shared" si="0"/>
        <v xml:space="preserve">V-W-8P/12/E6/12/V-T12-P </v>
      </c>
      <c r="AN25" s="476"/>
    </row>
    <row r="26" spans="1:40" ht="13.5" thickBot="1" x14ac:dyDescent="0.25">
      <c r="D26" s="273" t="s">
        <v>115</v>
      </c>
      <c r="E26" s="309" t="s">
        <v>707</v>
      </c>
      <c r="F26" s="309" t="s">
        <v>708</v>
      </c>
      <c r="G26" s="310" t="s">
        <v>324</v>
      </c>
      <c r="H26" s="448" t="str">
        <f t="shared" si="1"/>
        <v>Schallschutz</v>
      </c>
      <c r="I26" s="454" t="b">
        <v>0</v>
      </c>
      <c r="X26" s="273">
        <v>0</v>
      </c>
      <c r="Y26" s="309">
        <v>0</v>
      </c>
      <c r="Z26" s="309">
        <v>0</v>
      </c>
      <c r="AA26" s="309">
        <v>0</v>
      </c>
      <c r="AB26" s="309" t="str">
        <f>$H$54</f>
        <v>Glastyp wählen</v>
      </c>
      <c r="AC26" s="310"/>
      <c r="AD26" s="326">
        <v>0</v>
      </c>
      <c r="AE26" s="477">
        <v>0</v>
      </c>
      <c r="AF26" s="477">
        <v>0</v>
      </c>
      <c r="AG26" s="477">
        <v>0</v>
      </c>
      <c r="AH26" s="310" t="str">
        <f>$H$54</f>
        <v>Glastyp wählen</v>
      </c>
      <c r="AI26" s="273">
        <f t="shared" ref="AI26:AM41" si="2">IF($I$125=TRUE,AD26,X26)</f>
        <v>0</v>
      </c>
      <c r="AJ26" s="309">
        <f t="shared" si="2"/>
        <v>0</v>
      </c>
      <c r="AK26" s="309">
        <f t="shared" si="2"/>
        <v>0</v>
      </c>
      <c r="AL26" s="309">
        <f t="shared" si="2"/>
        <v>0</v>
      </c>
      <c r="AM26" s="309" t="str">
        <f t="shared" si="2"/>
        <v>Glastyp wählen</v>
      </c>
      <c r="AN26" s="310"/>
    </row>
    <row r="27" spans="1:40" x14ac:dyDescent="0.2">
      <c r="A27" s="57" t="s">
        <v>885</v>
      </c>
      <c r="B27" s="34" t="s">
        <v>205</v>
      </c>
      <c r="C27" s="371"/>
      <c r="D27" s="273" t="s">
        <v>116</v>
      </c>
      <c r="E27" s="309" t="s">
        <v>116</v>
      </c>
      <c r="F27" s="309" t="s">
        <v>116</v>
      </c>
      <c r="G27" s="310" t="s">
        <v>116</v>
      </c>
      <c r="H27" s="448" t="str">
        <f t="shared" si="1"/>
        <v>MINERGIE Modul</v>
      </c>
      <c r="I27" s="454" t="b">
        <v>0</v>
      </c>
      <c r="X27" s="273" t="s">
        <v>789</v>
      </c>
      <c r="Y27" s="309">
        <v>1.1000000000000001</v>
      </c>
      <c r="Z27" s="309">
        <v>79</v>
      </c>
      <c r="AA27" s="309">
        <v>61</v>
      </c>
      <c r="AB27" s="309" t="s">
        <v>805</v>
      </c>
      <c r="AC27" s="310"/>
      <c r="AD27" s="326" t="s">
        <v>775</v>
      </c>
      <c r="AE27" s="477">
        <v>0.23</v>
      </c>
      <c r="AF27" s="477">
        <v>0.26</v>
      </c>
      <c r="AG27" s="477">
        <v>0.38</v>
      </c>
      <c r="AH27" s="310" t="s">
        <v>776</v>
      </c>
      <c r="AI27" s="273" t="str">
        <f t="shared" si="2"/>
        <v>SG-61</v>
      </c>
      <c r="AJ27" s="309">
        <f t="shared" si="2"/>
        <v>1.1000000000000001</v>
      </c>
      <c r="AK27" s="309">
        <f t="shared" si="2"/>
        <v>79</v>
      </c>
      <c r="AL27" s="309">
        <f t="shared" si="2"/>
        <v>61</v>
      </c>
      <c r="AM27" s="309" t="str">
        <f t="shared" si="2"/>
        <v>E10/18/E10</v>
      </c>
      <c r="AN27" s="310"/>
    </row>
    <row r="28" spans="1:40" x14ac:dyDescent="0.2">
      <c r="A28" s="367"/>
      <c r="B28" s="317" t="s">
        <v>206</v>
      </c>
      <c r="C28" s="363" t="str">
        <f>IF($I$17=TRUE,"P","")</f>
        <v/>
      </c>
      <c r="D28" s="273" t="s">
        <v>117</v>
      </c>
      <c r="E28" s="309" t="s">
        <v>117</v>
      </c>
      <c r="F28" s="309" t="s">
        <v>117</v>
      </c>
      <c r="G28" s="310" t="s">
        <v>117</v>
      </c>
      <c r="H28" s="448" t="str">
        <f t="shared" si="1"/>
        <v>MINERGIE-P Modul</v>
      </c>
      <c r="I28" s="454" t="b">
        <v>0</v>
      </c>
      <c r="X28" s="273" t="s">
        <v>791</v>
      </c>
      <c r="Y28" s="309">
        <v>1.1000000000000001</v>
      </c>
      <c r="Z28" s="309">
        <v>77</v>
      </c>
      <c r="AA28" s="309">
        <v>61</v>
      </c>
      <c r="AB28" s="309" t="s">
        <v>806</v>
      </c>
      <c r="AC28" s="310"/>
      <c r="AD28" s="326" t="s">
        <v>777</v>
      </c>
      <c r="AE28" s="477">
        <v>0.23</v>
      </c>
      <c r="AF28" s="477">
        <v>0.26</v>
      </c>
      <c r="AG28" s="477">
        <v>0.37</v>
      </c>
      <c r="AH28" s="310" t="s">
        <v>778</v>
      </c>
      <c r="AI28" s="273" t="str">
        <f t="shared" si="2"/>
        <v>SG-62</v>
      </c>
      <c r="AJ28" s="309">
        <f t="shared" si="2"/>
        <v>1.1000000000000001</v>
      </c>
      <c r="AK28" s="309">
        <f t="shared" si="2"/>
        <v>77</v>
      </c>
      <c r="AL28" s="309">
        <f t="shared" si="2"/>
        <v>61</v>
      </c>
      <c r="AM28" s="309" t="str">
        <f t="shared" si="2"/>
        <v>E10/14/V-W16-2</v>
      </c>
      <c r="AN28" s="310"/>
    </row>
    <row r="29" spans="1:40" x14ac:dyDescent="0.2">
      <c r="A29" s="368" t="s">
        <v>886</v>
      </c>
      <c r="B29" s="273" t="s">
        <v>207</v>
      </c>
      <c r="C29" s="467" t="str">
        <f>IF($I$18=TRUE,"R","")</f>
        <v/>
      </c>
      <c r="D29" s="273" t="s">
        <v>709</v>
      </c>
      <c r="E29" s="309" t="s">
        <v>709</v>
      </c>
      <c r="F29" s="309" t="s">
        <v>709</v>
      </c>
      <c r="G29" s="310" t="s">
        <v>709</v>
      </c>
      <c r="H29" s="448" t="str">
        <f t="shared" si="1"/>
        <v>Sky-Frame Gun</v>
      </c>
      <c r="I29" s="454" t="b">
        <v>0</v>
      </c>
      <c r="X29" s="273" t="s">
        <v>793</v>
      </c>
      <c r="Y29" s="309">
        <v>1</v>
      </c>
      <c r="Z29" s="309">
        <v>69</v>
      </c>
      <c r="AA29" s="309">
        <v>50</v>
      </c>
      <c r="AB29" s="309" t="s">
        <v>805</v>
      </c>
      <c r="AC29" s="310"/>
      <c r="AD29" s="326" t="s">
        <v>779</v>
      </c>
      <c r="AE29" s="477">
        <v>0.23</v>
      </c>
      <c r="AF29" s="477">
        <v>0.26</v>
      </c>
      <c r="AG29" s="477">
        <v>0.37</v>
      </c>
      <c r="AH29" s="310" t="s">
        <v>780</v>
      </c>
      <c r="AI29" s="273" t="str">
        <f t="shared" si="2"/>
        <v>SG-63</v>
      </c>
      <c r="AJ29" s="309">
        <f t="shared" si="2"/>
        <v>1</v>
      </c>
      <c r="AK29" s="309">
        <f t="shared" si="2"/>
        <v>69</v>
      </c>
      <c r="AL29" s="309">
        <f t="shared" si="2"/>
        <v>50</v>
      </c>
      <c r="AM29" s="309" t="str">
        <f t="shared" si="2"/>
        <v>E10/18/E10</v>
      </c>
      <c r="AN29" s="310"/>
    </row>
    <row r="30" spans="1:40" ht="13.5" thickBot="1" x14ac:dyDescent="0.25">
      <c r="A30" s="369" t="s">
        <v>887</v>
      </c>
      <c r="B30" s="473" t="s">
        <v>208</v>
      </c>
      <c r="C30" s="470" t="str">
        <f>IF($I$19=TRUE,"G","")</f>
        <v/>
      </c>
      <c r="D30" s="273" t="s">
        <v>31</v>
      </c>
      <c r="E30" s="309" t="s">
        <v>32</v>
      </c>
      <c r="F30" s="309" t="s">
        <v>33</v>
      </c>
      <c r="G30" s="310" t="s">
        <v>622</v>
      </c>
      <c r="H30" s="448" t="str">
        <f t="shared" si="1"/>
        <v>nach rechts</v>
      </c>
      <c r="I30" s="454" t="b">
        <v>0</v>
      </c>
      <c r="X30" s="273" t="s">
        <v>795</v>
      </c>
      <c r="Y30" s="309">
        <v>1</v>
      </c>
      <c r="Z30" s="309">
        <v>67</v>
      </c>
      <c r="AA30" s="309">
        <v>49</v>
      </c>
      <c r="AB30" s="309" t="s">
        <v>806</v>
      </c>
      <c r="AC30" s="310"/>
      <c r="AD30" s="273" t="s">
        <v>781</v>
      </c>
      <c r="AE30" s="309">
        <v>0.23</v>
      </c>
      <c r="AF30" s="309">
        <v>0.26</v>
      </c>
      <c r="AG30" s="309">
        <v>0.36</v>
      </c>
      <c r="AH30" s="310" t="s">
        <v>782</v>
      </c>
      <c r="AI30" s="273" t="str">
        <f t="shared" si="2"/>
        <v>SG-64</v>
      </c>
      <c r="AJ30" s="309">
        <f t="shared" si="2"/>
        <v>1</v>
      </c>
      <c r="AK30" s="309">
        <f t="shared" si="2"/>
        <v>67</v>
      </c>
      <c r="AL30" s="309">
        <f t="shared" si="2"/>
        <v>49</v>
      </c>
      <c r="AM30" s="309" t="str">
        <f t="shared" si="2"/>
        <v>E10/14/V-W16-2</v>
      </c>
      <c r="AN30" s="310"/>
    </row>
    <row r="31" spans="1:40" ht="13.5" thickBot="1" x14ac:dyDescent="0.25">
      <c r="B31" s="478"/>
      <c r="C31" s="479"/>
      <c r="D31" s="466" t="s">
        <v>34</v>
      </c>
      <c r="E31" s="309" t="s">
        <v>35</v>
      </c>
      <c r="F31" s="309" t="s">
        <v>36</v>
      </c>
      <c r="G31" s="310" t="s">
        <v>623</v>
      </c>
      <c r="H31" s="448" t="str">
        <f t="shared" si="1"/>
        <v>nach links</v>
      </c>
      <c r="I31" s="454" t="b">
        <v>0</v>
      </c>
      <c r="X31" s="273" t="s">
        <v>807</v>
      </c>
      <c r="Y31" s="309">
        <v>1</v>
      </c>
      <c r="Z31" s="309">
        <v>70</v>
      </c>
      <c r="AA31" s="309">
        <v>55</v>
      </c>
      <c r="AB31" s="309" t="s">
        <v>808</v>
      </c>
      <c r="AC31" s="310"/>
      <c r="AD31" s="326" t="s">
        <v>783</v>
      </c>
      <c r="AE31" s="477">
        <v>0.22</v>
      </c>
      <c r="AF31" s="477">
        <v>0.19</v>
      </c>
      <c r="AG31" s="477">
        <v>0.37</v>
      </c>
      <c r="AH31" s="310" t="s">
        <v>784</v>
      </c>
      <c r="AI31" s="273" t="str">
        <f t="shared" si="2"/>
        <v>SG-65</v>
      </c>
      <c r="AJ31" s="309">
        <f t="shared" si="2"/>
        <v>1</v>
      </c>
      <c r="AK31" s="309">
        <f t="shared" si="2"/>
        <v>70</v>
      </c>
      <c r="AL31" s="309">
        <f t="shared" si="2"/>
        <v>55</v>
      </c>
      <c r="AM31" s="309" t="str">
        <f t="shared" si="2"/>
        <v>GUN-BR4-12-NS</v>
      </c>
      <c r="AN31" s="310"/>
    </row>
    <row r="32" spans="1:40" x14ac:dyDescent="0.2">
      <c r="B32" s="34" t="s">
        <v>214</v>
      </c>
      <c r="C32" s="34"/>
      <c r="D32" s="466" t="s">
        <v>37</v>
      </c>
      <c r="E32" s="309" t="s">
        <v>38</v>
      </c>
      <c r="F32" s="309" t="s">
        <v>39</v>
      </c>
      <c r="G32" s="310" t="s">
        <v>126</v>
      </c>
      <c r="H32" s="448" t="str">
        <f t="shared" si="1"/>
        <v>Breite =</v>
      </c>
      <c r="I32" s="454"/>
      <c r="X32" s="273">
        <v>0</v>
      </c>
      <c r="Y32" s="309">
        <v>0</v>
      </c>
      <c r="Z32" s="309">
        <v>0</v>
      </c>
      <c r="AA32" s="309">
        <v>0</v>
      </c>
      <c r="AB32" s="309" t="str">
        <f>$H$54</f>
        <v>Glastyp wählen</v>
      </c>
      <c r="AC32" s="310"/>
      <c r="AD32" s="326" t="s">
        <v>785</v>
      </c>
      <c r="AE32" s="477">
        <v>0.23</v>
      </c>
      <c r="AF32" s="477">
        <v>0.19</v>
      </c>
      <c r="AG32" s="477">
        <v>0.37</v>
      </c>
      <c r="AH32" s="310" t="s">
        <v>786</v>
      </c>
      <c r="AI32" s="273">
        <f t="shared" si="2"/>
        <v>0</v>
      </c>
      <c r="AJ32" s="309">
        <f t="shared" si="2"/>
        <v>0</v>
      </c>
      <c r="AK32" s="309">
        <f t="shared" si="2"/>
        <v>0</v>
      </c>
      <c r="AL32" s="309">
        <f t="shared" si="2"/>
        <v>0</v>
      </c>
      <c r="AM32" s="309" t="str">
        <f t="shared" si="2"/>
        <v>Glastyp wählen</v>
      </c>
      <c r="AN32" s="310"/>
    </row>
    <row r="33" spans="1:40" x14ac:dyDescent="0.2">
      <c r="B33" s="317"/>
      <c r="C33" s="325"/>
      <c r="D33" s="273" t="s">
        <v>129</v>
      </c>
      <c r="E33" s="309" t="s">
        <v>128</v>
      </c>
      <c r="F33" s="309" t="s">
        <v>40</v>
      </c>
      <c r="G33" s="310" t="s">
        <v>127</v>
      </c>
      <c r="H33" s="448" t="str">
        <f t="shared" si="1"/>
        <v>Griffhöhe:</v>
      </c>
      <c r="I33" s="454"/>
      <c r="X33" s="273">
        <v>0</v>
      </c>
      <c r="Y33" s="309">
        <v>0</v>
      </c>
      <c r="Z33" s="309">
        <v>0</v>
      </c>
      <c r="AA33" s="309">
        <v>0</v>
      </c>
      <c r="AB33" s="309" t="str">
        <f t="shared" ref="AB33:AB45" si="3">$H$54</f>
        <v>Glastyp wählen</v>
      </c>
      <c r="AC33" s="310"/>
      <c r="AD33" s="326" t="s">
        <v>787</v>
      </c>
      <c r="AE33" s="477">
        <v>0.22</v>
      </c>
      <c r="AF33" s="477">
        <v>0.25</v>
      </c>
      <c r="AG33" s="477">
        <v>0.36</v>
      </c>
      <c r="AH33" s="310" t="s">
        <v>788</v>
      </c>
      <c r="AI33" s="273">
        <f t="shared" si="2"/>
        <v>0</v>
      </c>
      <c r="AJ33" s="309">
        <f t="shared" si="2"/>
        <v>0</v>
      </c>
      <c r="AK33" s="309">
        <f t="shared" si="2"/>
        <v>0</v>
      </c>
      <c r="AL33" s="309">
        <f t="shared" si="2"/>
        <v>0</v>
      </c>
      <c r="AM33" s="309" t="str">
        <f t="shared" si="2"/>
        <v>Glastyp wählen</v>
      </c>
      <c r="AN33" s="310"/>
    </row>
    <row r="34" spans="1:40" ht="13.5" thickBot="1" x14ac:dyDescent="0.25">
      <c r="B34" s="480" t="s">
        <v>215</v>
      </c>
      <c r="C34" s="380"/>
      <c r="D34" s="273" t="s">
        <v>41</v>
      </c>
      <c r="E34" s="309" t="s">
        <v>42</v>
      </c>
      <c r="F34" s="309" t="s">
        <v>43</v>
      </c>
      <c r="G34" s="310" t="s">
        <v>130</v>
      </c>
      <c r="H34" s="448" t="str">
        <f t="shared" si="1"/>
        <v xml:space="preserve">Höhe = </v>
      </c>
      <c r="I34" s="454"/>
      <c r="X34" s="273">
        <v>0</v>
      </c>
      <c r="Y34" s="309">
        <v>0</v>
      </c>
      <c r="Z34" s="309">
        <v>0</v>
      </c>
      <c r="AA34" s="309">
        <v>0</v>
      </c>
      <c r="AB34" s="309" t="str">
        <f>$H$54</f>
        <v>Glastyp wählen</v>
      </c>
      <c r="AC34" s="221"/>
      <c r="AD34" s="273">
        <v>0</v>
      </c>
      <c r="AE34" s="309">
        <v>0</v>
      </c>
      <c r="AF34" s="309">
        <v>0</v>
      </c>
      <c r="AG34" s="309">
        <v>0</v>
      </c>
      <c r="AH34" s="310" t="str">
        <f>$H$54</f>
        <v>Glastyp wählen</v>
      </c>
      <c r="AI34" s="273">
        <f t="shared" si="2"/>
        <v>0</v>
      </c>
      <c r="AJ34" s="309">
        <f t="shared" si="2"/>
        <v>0</v>
      </c>
      <c r="AK34" s="309">
        <f t="shared" si="2"/>
        <v>0</v>
      </c>
      <c r="AL34" s="309">
        <f t="shared" si="2"/>
        <v>0</v>
      </c>
      <c r="AM34" s="309" t="str">
        <f t="shared" si="2"/>
        <v>Glastyp wählen</v>
      </c>
      <c r="AN34" s="310"/>
    </row>
    <row r="35" spans="1:40" ht="13.5" thickBot="1" x14ac:dyDescent="0.25">
      <c r="D35" s="273" t="s">
        <v>44</v>
      </c>
      <c r="E35" s="309" t="s">
        <v>45</v>
      </c>
      <c r="F35" s="309" t="s">
        <v>45</v>
      </c>
      <c r="G35" s="310" t="s">
        <v>131</v>
      </c>
      <c r="H35" s="448" t="str">
        <f t="shared" si="1"/>
        <v>Oberfläche:</v>
      </c>
      <c r="I35" s="454"/>
      <c r="X35" s="273">
        <v>0</v>
      </c>
      <c r="Y35" s="309">
        <v>0</v>
      </c>
      <c r="Z35" s="309">
        <v>0</v>
      </c>
      <c r="AA35" s="309">
        <v>0</v>
      </c>
      <c r="AB35" s="309" t="str">
        <f t="shared" si="3"/>
        <v>Glastyp wählen</v>
      </c>
      <c r="AC35" s="310"/>
      <c r="AD35" s="326" t="s">
        <v>789</v>
      </c>
      <c r="AE35" s="477">
        <v>0.35</v>
      </c>
      <c r="AF35" s="477">
        <v>0.47</v>
      </c>
      <c r="AG35" s="477">
        <v>0.65</v>
      </c>
      <c r="AH35" s="310" t="s">
        <v>790</v>
      </c>
      <c r="AI35" s="273">
        <f t="shared" si="2"/>
        <v>0</v>
      </c>
      <c r="AJ35" s="309">
        <f t="shared" si="2"/>
        <v>0</v>
      </c>
      <c r="AK35" s="309">
        <f t="shared" si="2"/>
        <v>0</v>
      </c>
      <c r="AL35" s="309">
        <f t="shared" si="2"/>
        <v>0</v>
      </c>
      <c r="AM35" s="309" t="str">
        <f t="shared" si="2"/>
        <v>Glastyp wählen</v>
      </c>
      <c r="AN35" s="310"/>
    </row>
    <row r="36" spans="1:40" x14ac:dyDescent="0.2">
      <c r="B36" s="34" t="s">
        <v>216</v>
      </c>
      <c r="C36" s="34"/>
      <c r="D36" s="273" t="s">
        <v>46</v>
      </c>
      <c r="E36" s="309" t="s">
        <v>47</v>
      </c>
      <c r="F36" s="309" t="s">
        <v>133</v>
      </c>
      <c r="G36" s="310" t="s">
        <v>132</v>
      </c>
      <c r="H36" s="448" t="str">
        <f t="shared" si="1"/>
        <v>eloxiert (Qualanod):</v>
      </c>
      <c r="I36" s="454" t="b">
        <v>0</v>
      </c>
      <c r="X36" s="273">
        <v>0</v>
      </c>
      <c r="Y36" s="309">
        <v>0</v>
      </c>
      <c r="Z36" s="309">
        <v>0</v>
      </c>
      <c r="AA36" s="309">
        <v>0</v>
      </c>
      <c r="AB36" s="309" t="str">
        <f t="shared" si="3"/>
        <v>Glastyp wählen</v>
      </c>
      <c r="AC36" s="310"/>
      <c r="AD36" s="326" t="s">
        <v>791</v>
      </c>
      <c r="AE36" s="477">
        <v>0.34</v>
      </c>
      <c r="AF36" s="477">
        <v>0.47</v>
      </c>
      <c r="AG36" s="477">
        <v>0.63</v>
      </c>
      <c r="AH36" s="310" t="s">
        <v>792</v>
      </c>
      <c r="AI36" s="273">
        <f t="shared" si="2"/>
        <v>0</v>
      </c>
      <c r="AJ36" s="309">
        <f t="shared" si="2"/>
        <v>0</v>
      </c>
      <c r="AK36" s="309">
        <f t="shared" si="2"/>
        <v>0</v>
      </c>
      <c r="AL36" s="309">
        <f t="shared" si="2"/>
        <v>0</v>
      </c>
      <c r="AM36" s="309" t="str">
        <f t="shared" si="2"/>
        <v>Glastyp wählen</v>
      </c>
      <c r="AN36" s="310"/>
    </row>
    <row r="37" spans="1:40" x14ac:dyDescent="0.2">
      <c r="B37" s="317" t="s">
        <v>218</v>
      </c>
      <c r="C37" s="325" t="b">
        <v>1</v>
      </c>
      <c r="D37" s="273" t="s">
        <v>48</v>
      </c>
      <c r="E37" s="309" t="s">
        <v>134</v>
      </c>
      <c r="F37" s="309" t="s">
        <v>134</v>
      </c>
      <c r="G37" s="310" t="s">
        <v>134</v>
      </c>
      <c r="H37" s="448" t="str">
        <f t="shared" si="1"/>
        <v>20 my (Standard)</v>
      </c>
      <c r="I37" s="454"/>
      <c r="X37" s="273">
        <v>0</v>
      </c>
      <c r="Y37" s="309">
        <v>0</v>
      </c>
      <c r="Z37" s="309">
        <v>0</v>
      </c>
      <c r="AA37" s="309">
        <v>0</v>
      </c>
      <c r="AB37" s="309" t="str">
        <f t="shared" si="3"/>
        <v>Glastyp wählen</v>
      </c>
      <c r="AC37" s="310"/>
      <c r="AD37" s="326" t="s">
        <v>793</v>
      </c>
      <c r="AE37" s="477">
        <v>0.34</v>
      </c>
      <c r="AF37" s="477">
        <v>0.4</v>
      </c>
      <c r="AG37" s="477">
        <v>0.56999999999999995</v>
      </c>
      <c r="AH37" s="310" t="s">
        <v>794</v>
      </c>
      <c r="AI37" s="273">
        <f t="shared" si="2"/>
        <v>0</v>
      </c>
      <c r="AJ37" s="309">
        <f t="shared" si="2"/>
        <v>0</v>
      </c>
      <c r="AK37" s="309">
        <f t="shared" si="2"/>
        <v>0</v>
      </c>
      <c r="AL37" s="309">
        <f t="shared" si="2"/>
        <v>0</v>
      </c>
      <c r="AM37" s="309" t="str">
        <f t="shared" si="2"/>
        <v>Glastyp wählen</v>
      </c>
      <c r="AN37" s="310"/>
    </row>
    <row r="38" spans="1:40" x14ac:dyDescent="0.2">
      <c r="B38" s="273" t="s">
        <v>217</v>
      </c>
      <c r="C38" s="310" t="b">
        <v>1</v>
      </c>
      <c r="D38" s="273" t="s">
        <v>49</v>
      </c>
      <c r="E38" s="309" t="s">
        <v>50</v>
      </c>
      <c r="F38" s="309" t="s">
        <v>51</v>
      </c>
      <c r="G38" s="310" t="s">
        <v>325</v>
      </c>
      <c r="H38" s="448" t="str">
        <f t="shared" si="1"/>
        <v>25 my (Pool/Meer)</v>
      </c>
      <c r="I38" s="454"/>
      <c r="X38" s="273">
        <v>0</v>
      </c>
      <c r="Y38" s="309">
        <v>0</v>
      </c>
      <c r="Z38" s="309">
        <v>0</v>
      </c>
      <c r="AA38" s="309">
        <v>0</v>
      </c>
      <c r="AB38" s="309" t="str">
        <f t="shared" si="3"/>
        <v>Glastyp wählen</v>
      </c>
      <c r="AC38" s="310"/>
      <c r="AD38" s="326" t="s">
        <v>795</v>
      </c>
      <c r="AE38" s="477">
        <v>0.33</v>
      </c>
      <c r="AF38" s="477">
        <v>0.39</v>
      </c>
      <c r="AG38" s="477">
        <v>0.55000000000000004</v>
      </c>
      <c r="AH38" s="310" t="s">
        <v>796</v>
      </c>
      <c r="AI38" s="273">
        <f t="shared" si="2"/>
        <v>0</v>
      </c>
      <c r="AJ38" s="309">
        <f t="shared" si="2"/>
        <v>0</v>
      </c>
      <c r="AK38" s="309">
        <f t="shared" si="2"/>
        <v>0</v>
      </c>
      <c r="AL38" s="309">
        <f t="shared" si="2"/>
        <v>0</v>
      </c>
      <c r="AM38" s="309" t="str">
        <f t="shared" si="2"/>
        <v>Glastyp wählen</v>
      </c>
      <c r="AN38" s="310"/>
    </row>
    <row r="39" spans="1:40" ht="13.5" thickBot="1" x14ac:dyDescent="0.25">
      <c r="B39" s="273" t="s">
        <v>219</v>
      </c>
      <c r="C39" s="310" t="b">
        <v>0</v>
      </c>
      <c r="D39" s="273" t="s">
        <v>350</v>
      </c>
      <c r="E39" s="309" t="s">
        <v>351</v>
      </c>
      <c r="F39" s="309" t="s">
        <v>352</v>
      </c>
      <c r="G39" s="310" t="s">
        <v>353</v>
      </c>
      <c r="H39" s="448" t="str">
        <f t="shared" si="1"/>
        <v>pulverbeschichtet:</v>
      </c>
      <c r="I39" s="454" t="b">
        <v>0</v>
      </c>
      <c r="X39" s="273">
        <v>0</v>
      </c>
      <c r="Y39" s="309">
        <v>0</v>
      </c>
      <c r="Z39" s="309">
        <v>0</v>
      </c>
      <c r="AA39" s="309">
        <v>0</v>
      </c>
      <c r="AB39" s="309" t="str">
        <f t="shared" si="3"/>
        <v>Glastyp wählen</v>
      </c>
      <c r="AC39" s="310"/>
      <c r="AD39" s="326" t="s">
        <v>798</v>
      </c>
      <c r="AE39" s="477">
        <v>0.34</v>
      </c>
      <c r="AF39" s="477">
        <v>0.26</v>
      </c>
      <c r="AG39" s="477">
        <v>0.51</v>
      </c>
      <c r="AH39" s="310" t="s">
        <v>799</v>
      </c>
      <c r="AI39" s="273">
        <f t="shared" si="2"/>
        <v>0</v>
      </c>
      <c r="AJ39" s="309">
        <f t="shared" si="2"/>
        <v>0</v>
      </c>
      <c r="AK39" s="309">
        <f t="shared" si="2"/>
        <v>0</v>
      </c>
      <c r="AL39" s="309">
        <f t="shared" si="2"/>
        <v>0</v>
      </c>
      <c r="AM39" s="309" t="str">
        <f t="shared" si="2"/>
        <v>Glastyp wählen</v>
      </c>
      <c r="AN39" s="310"/>
    </row>
    <row r="40" spans="1:40" x14ac:dyDescent="0.2">
      <c r="A40" s="274" t="s">
        <v>684</v>
      </c>
      <c r="B40" s="273" t="s">
        <v>220</v>
      </c>
      <c r="C40" s="310" t="b">
        <v>0</v>
      </c>
      <c r="D40" s="273" t="s">
        <v>881</v>
      </c>
      <c r="E40" s="309" t="s">
        <v>882</v>
      </c>
      <c r="F40" s="309" t="s">
        <v>883</v>
      </c>
      <c r="G40" s="310" t="s">
        <v>884</v>
      </c>
      <c r="H40" s="448" t="str">
        <f t="shared" si="1"/>
        <v>Vorbehandlung:</v>
      </c>
      <c r="I40" s="454"/>
      <c r="K40" s="57" t="s">
        <v>430</v>
      </c>
      <c r="L40" s="370"/>
      <c r="M40" s="371"/>
      <c r="N40" s="541" t="s">
        <v>580</v>
      </c>
      <c r="O40" s="542"/>
      <c r="P40" s="543"/>
      <c r="Q40" s="57" t="s">
        <v>288</v>
      </c>
      <c r="R40" s="57" t="s">
        <v>488</v>
      </c>
      <c r="S40" s="57" t="s">
        <v>492</v>
      </c>
      <c r="U40" s="34" t="s">
        <v>682</v>
      </c>
      <c r="V40" s="35"/>
      <c r="X40" s="273">
        <v>0</v>
      </c>
      <c r="Y40" s="309">
        <v>0</v>
      </c>
      <c r="Z40" s="309">
        <v>0</v>
      </c>
      <c r="AA40" s="309">
        <v>0</v>
      </c>
      <c r="AB40" s="309" t="str">
        <f t="shared" si="3"/>
        <v>Glastyp wählen</v>
      </c>
      <c r="AC40" s="310"/>
      <c r="AD40" s="326" t="s">
        <v>800</v>
      </c>
      <c r="AE40" s="477">
        <v>0.33</v>
      </c>
      <c r="AF40" s="477">
        <v>0.26</v>
      </c>
      <c r="AG40" s="477">
        <v>0.5</v>
      </c>
      <c r="AH40" s="310" t="s">
        <v>801</v>
      </c>
      <c r="AI40" s="273">
        <f t="shared" si="2"/>
        <v>0</v>
      </c>
      <c r="AJ40" s="309">
        <f t="shared" si="2"/>
        <v>0</v>
      </c>
      <c r="AK40" s="309">
        <f t="shared" si="2"/>
        <v>0</v>
      </c>
      <c r="AL40" s="309">
        <f t="shared" si="2"/>
        <v>0</v>
      </c>
      <c r="AM40" s="309" t="str">
        <f t="shared" si="2"/>
        <v>Glastyp wählen</v>
      </c>
      <c r="AN40" s="310"/>
    </row>
    <row r="41" spans="1:40" x14ac:dyDescent="0.2">
      <c r="A41" s="465" t="b">
        <f>IF(C41=FALSE,TRUE,(IF(AND(C41=TRUE,'Pos. 4'!F72=""),FALSE,TRUE)))</f>
        <v>1</v>
      </c>
      <c r="B41" s="273" t="s">
        <v>710</v>
      </c>
      <c r="C41" s="310" t="b">
        <v>0</v>
      </c>
      <c r="D41" s="273" t="s">
        <v>52</v>
      </c>
      <c r="E41" s="309" t="s">
        <v>53</v>
      </c>
      <c r="F41" s="309" t="s">
        <v>54</v>
      </c>
      <c r="G41" s="481" t="s">
        <v>135</v>
      </c>
      <c r="H41" s="448" t="str">
        <f t="shared" si="1"/>
        <v>+Voranodisieren</v>
      </c>
      <c r="I41" s="454"/>
      <c r="K41" s="482" t="s">
        <v>431</v>
      </c>
      <c r="L41" s="276">
        <f>IF(OR($I$5=TRUE,$I$6=TRUE),1,0)</f>
        <v>0</v>
      </c>
      <c r="M41" s="483"/>
      <c r="N41" s="187" t="str">
        <f>CONCATENATE("Pos. ",'Pos. 4'!$B$2,".1")</f>
        <v>Pos. 4.1</v>
      </c>
      <c r="O41" s="188" t="b">
        <f>IF(AND('Pos. 4'!AW32&lt;&gt;"",'Pos. 4'!AX32&lt;&gt;""),TRUE,FALSE)</f>
        <v>0</v>
      </c>
      <c r="P41" s="189"/>
      <c r="Q41" s="367"/>
      <c r="R41" s="367"/>
      <c r="S41" s="272">
        <f>COUNTA('Pos. 4'!G20:AP20)</f>
        <v>0</v>
      </c>
      <c r="U41" s="484" t="b">
        <f>IF(L41=0,FALSE,TRUE)</f>
        <v>0</v>
      </c>
      <c r="V41" s="485">
        <f>IF(U41=FALSE,1,0)</f>
        <v>1</v>
      </c>
      <c r="X41" s="273">
        <v>0</v>
      </c>
      <c r="Y41" s="309">
        <v>0</v>
      </c>
      <c r="Z41" s="309">
        <v>0</v>
      </c>
      <c r="AA41" s="309">
        <v>0</v>
      </c>
      <c r="AB41" s="309" t="str">
        <f t="shared" si="3"/>
        <v>Glastyp wählen</v>
      </c>
      <c r="AC41" s="310"/>
      <c r="AD41" s="326" t="s">
        <v>797</v>
      </c>
      <c r="AE41" s="477">
        <v>0.34</v>
      </c>
      <c r="AF41" s="477">
        <v>0.22</v>
      </c>
      <c r="AG41" s="477">
        <v>0.42</v>
      </c>
      <c r="AH41" s="310" t="s">
        <v>802</v>
      </c>
      <c r="AI41" s="273">
        <f t="shared" si="2"/>
        <v>0</v>
      </c>
      <c r="AJ41" s="309">
        <f t="shared" si="2"/>
        <v>0</v>
      </c>
      <c r="AK41" s="309">
        <f t="shared" si="2"/>
        <v>0</v>
      </c>
      <c r="AL41" s="309">
        <f t="shared" si="2"/>
        <v>0</v>
      </c>
      <c r="AM41" s="309" t="str">
        <f t="shared" si="2"/>
        <v>Glastyp wählen</v>
      </c>
      <c r="AN41" s="310"/>
    </row>
    <row r="42" spans="1:40" x14ac:dyDescent="0.2">
      <c r="A42" s="448" t="b">
        <f>IF(C42=FALSE,TRUE,(IF(AND(C42=TRUE,'Pos. 4'!L72=""),FALSE,TRUE)))</f>
        <v>1</v>
      </c>
      <c r="B42" s="273" t="s">
        <v>711</v>
      </c>
      <c r="C42" s="310" t="b">
        <v>0</v>
      </c>
      <c r="D42" s="273" t="s">
        <v>55</v>
      </c>
      <c r="E42" s="309" t="s">
        <v>56</v>
      </c>
      <c r="F42" s="309" t="s">
        <v>57</v>
      </c>
      <c r="G42" s="310" t="s">
        <v>136</v>
      </c>
      <c r="H42" s="448" t="str">
        <f t="shared" si="1"/>
        <v>Glas-Typ: SG = "Sky-Glass"</v>
      </c>
      <c r="I42" s="454"/>
      <c r="K42" s="303" t="s">
        <v>432</v>
      </c>
      <c r="L42" s="279">
        <f>IF(AND('Pos. 4'!$Y$5&lt;&gt;"",'Pos. 4'!$Y$7&lt;&gt;"",'Pos. 4'!$Y$6&lt;&gt;""),1,0)</f>
        <v>0</v>
      </c>
      <c r="M42" s="486"/>
      <c r="N42" s="187" t="str">
        <f>CONCATENATE("Pos. ",'Pos. 4'!$B$2,".2")</f>
        <v>Pos. 4.2</v>
      </c>
      <c r="O42" s="188" t="b">
        <f>IF(AND('Pos. 4'!AW33&lt;&gt;"",'Pos. 4'!AX33&lt;&gt;""),TRUE,FALSE)</f>
        <v>0</v>
      </c>
      <c r="P42" s="191"/>
      <c r="Q42" s="487">
        <v>1</v>
      </c>
      <c r="R42" s="488" t="s">
        <v>486</v>
      </c>
      <c r="U42" s="303" t="b">
        <f t="shared" ref="U42:U47" si="4">IF(L42=0,FALSE,TRUE)</f>
        <v>0</v>
      </c>
      <c r="V42" s="489">
        <f t="shared" ref="V42:V79" si="5">IF(U42=FALSE,1,0)</f>
        <v>1</v>
      </c>
      <c r="X42" s="273">
        <v>0</v>
      </c>
      <c r="Y42" s="309">
        <v>0</v>
      </c>
      <c r="Z42" s="309">
        <v>0</v>
      </c>
      <c r="AA42" s="309">
        <v>0</v>
      </c>
      <c r="AB42" s="309" t="str">
        <f t="shared" si="3"/>
        <v>Glastyp wählen</v>
      </c>
      <c r="AC42" s="310"/>
      <c r="AD42" s="326" t="s">
        <v>803</v>
      </c>
      <c r="AE42" s="477">
        <v>0.33</v>
      </c>
      <c r="AF42" s="477">
        <v>0.22</v>
      </c>
      <c r="AG42" s="477">
        <v>0.4</v>
      </c>
      <c r="AH42" s="310" t="s">
        <v>804</v>
      </c>
      <c r="AI42" s="273">
        <f t="shared" ref="AI42:AM45" si="6">IF($I$125=TRUE,AD42,X42)</f>
        <v>0</v>
      </c>
      <c r="AJ42" s="309">
        <f t="shared" si="6"/>
        <v>0</v>
      </c>
      <c r="AK42" s="309">
        <f t="shared" si="6"/>
        <v>0</v>
      </c>
      <c r="AL42" s="309">
        <f t="shared" si="6"/>
        <v>0</v>
      </c>
      <c r="AM42" s="309" t="str">
        <f t="shared" si="6"/>
        <v>Glastyp wählen</v>
      </c>
      <c r="AN42" s="310"/>
    </row>
    <row r="43" spans="1:40" x14ac:dyDescent="0.2">
      <c r="A43" s="448" t="b">
        <f>TRUE</f>
        <v>1</v>
      </c>
      <c r="B43" s="273" t="s">
        <v>712</v>
      </c>
      <c r="C43" s="310" t="b">
        <v>0</v>
      </c>
      <c r="D43" s="273" t="s">
        <v>58</v>
      </c>
      <c r="E43" s="309" t="s">
        <v>59</v>
      </c>
      <c r="F43" s="309" t="s">
        <v>60</v>
      </c>
      <c r="G43" s="310" t="s">
        <v>137</v>
      </c>
      <c r="H43" s="448" t="str">
        <f t="shared" si="1"/>
        <v>Swisspacer-U schwarz</v>
      </c>
      <c r="I43" s="454" t="b">
        <v>0</v>
      </c>
      <c r="K43" s="303" t="s">
        <v>433</v>
      </c>
      <c r="L43" s="279">
        <f>IF(AND('Pos. 4'!$AJ$5&lt;&gt;"",'Pos. 4'!$AJ$6&lt;&gt;"",'Pos. 4'!$AJ$7&lt;&gt;""),1,0)</f>
        <v>0</v>
      </c>
      <c r="M43" s="486"/>
      <c r="N43" s="187" t="str">
        <f>CONCATENATE("Pos. ",'Pos. 4'!$B$2,".3")</f>
        <v>Pos. 4.3</v>
      </c>
      <c r="O43" s="188" t="b">
        <f>IF(AND('Pos. 4'!AW34&lt;&gt;"",'Pos. 4'!AX34&lt;&gt;""),TRUE,FALSE)</f>
        <v>0</v>
      </c>
      <c r="P43" s="191"/>
      <c r="Q43" s="368">
        <v>2</v>
      </c>
      <c r="R43" s="488" t="s">
        <v>487</v>
      </c>
      <c r="U43" s="303" t="b">
        <f t="shared" si="4"/>
        <v>0</v>
      </c>
      <c r="V43" s="489">
        <f t="shared" si="5"/>
        <v>1</v>
      </c>
      <c r="X43" s="273">
        <v>0</v>
      </c>
      <c r="Y43" s="309">
        <v>0</v>
      </c>
      <c r="Z43" s="309">
        <v>0</v>
      </c>
      <c r="AA43" s="309">
        <v>0</v>
      </c>
      <c r="AB43" s="309" t="str">
        <f t="shared" si="3"/>
        <v>Glastyp wählen</v>
      </c>
      <c r="AC43" s="310"/>
      <c r="AD43" s="326">
        <v>0</v>
      </c>
      <c r="AE43" s="477">
        <v>0</v>
      </c>
      <c r="AF43" s="477">
        <v>0</v>
      </c>
      <c r="AG43" s="477">
        <v>0</v>
      </c>
      <c r="AH43" s="310" t="str">
        <f>$H$54</f>
        <v>Glastyp wählen</v>
      </c>
      <c r="AI43" s="273">
        <f t="shared" si="6"/>
        <v>0</v>
      </c>
      <c r="AJ43" s="309">
        <f t="shared" si="6"/>
        <v>0</v>
      </c>
      <c r="AK43" s="309">
        <f t="shared" si="6"/>
        <v>0</v>
      </c>
      <c r="AL43" s="309">
        <f t="shared" si="6"/>
        <v>0</v>
      </c>
      <c r="AM43" s="309" t="str">
        <f t="shared" si="6"/>
        <v>Glastyp wählen</v>
      </c>
      <c r="AN43" s="310"/>
    </row>
    <row r="44" spans="1:40" x14ac:dyDescent="0.2">
      <c r="A44" s="448" t="b">
        <f>IF(C44=FALSE,TRUE,(IF(AND(C44=TRUE,'Pos. 4'!X72=""),FALSE,TRUE)))</f>
        <v>1</v>
      </c>
      <c r="B44" s="273" t="str">
        <f>IF('Pos. 4'!AB62="","321101/321101","400493/400493")</f>
        <v>321101/321101</v>
      </c>
      <c r="C44" s="310" t="b">
        <v>0</v>
      </c>
      <c r="D44" s="273" t="s">
        <v>61</v>
      </c>
      <c r="E44" s="309" t="s">
        <v>62</v>
      </c>
      <c r="F44" s="309" t="s">
        <v>63</v>
      </c>
      <c r="G44" s="310" t="s">
        <v>138</v>
      </c>
      <c r="H44" s="448" t="str">
        <f t="shared" si="1"/>
        <v>Swisspacer-U grau</v>
      </c>
      <c r="I44" s="454" t="b">
        <v>0</v>
      </c>
      <c r="K44" s="303" t="s">
        <v>434</v>
      </c>
      <c r="L44" s="279">
        <f>IF(OR($I$10=TRUE,$I$11=TRUE,$I$12=TRUE),1,0)</f>
        <v>0</v>
      </c>
      <c r="M44" s="486"/>
      <c r="N44" s="187" t="str">
        <f>CONCATENATE("Pos. ",'Pos. 4'!$B$2,".4")</f>
        <v>Pos. 4.4</v>
      </c>
      <c r="O44" s="188" t="b">
        <f>IF(AND('Pos. 4'!AW35&lt;&gt;"",'Pos. 4'!AX35&lt;&gt;""),TRUE,FALSE)</f>
        <v>0</v>
      </c>
      <c r="P44" s="191"/>
      <c r="Q44" s="368">
        <v>3</v>
      </c>
      <c r="U44" s="303" t="b">
        <f t="shared" si="4"/>
        <v>0</v>
      </c>
      <c r="V44" s="489">
        <f t="shared" si="5"/>
        <v>1</v>
      </c>
      <c r="X44" s="273">
        <v>0</v>
      </c>
      <c r="Y44" s="309">
        <v>0</v>
      </c>
      <c r="Z44" s="309">
        <v>0</v>
      </c>
      <c r="AA44" s="309">
        <v>0</v>
      </c>
      <c r="AB44" s="309" t="str">
        <f t="shared" si="3"/>
        <v>Glastyp wählen</v>
      </c>
      <c r="AC44" s="310"/>
      <c r="AD44" s="326">
        <v>0</v>
      </c>
      <c r="AE44" s="477">
        <v>0</v>
      </c>
      <c r="AF44" s="477">
        <v>0</v>
      </c>
      <c r="AG44" s="477">
        <v>0</v>
      </c>
      <c r="AH44" s="310" t="str">
        <f>$H$54</f>
        <v>Glastyp wählen</v>
      </c>
      <c r="AI44" s="273">
        <f t="shared" si="6"/>
        <v>0</v>
      </c>
      <c r="AJ44" s="309">
        <f t="shared" si="6"/>
        <v>0</v>
      </c>
      <c r="AK44" s="309">
        <f t="shared" si="6"/>
        <v>0</v>
      </c>
      <c r="AL44" s="309">
        <f t="shared" si="6"/>
        <v>0</v>
      </c>
      <c r="AM44" s="309" t="str">
        <f t="shared" si="6"/>
        <v>Glastyp wählen</v>
      </c>
      <c r="AN44" s="310"/>
    </row>
    <row r="45" spans="1:40" ht="13.5" thickBot="1" x14ac:dyDescent="0.25">
      <c r="A45" s="448" t="b">
        <f>IF(C45=FALSE,TRUE,(IF(AND(C45=TRUE,'Pos. 4'!H85=""),FALSE,TRUE)))</f>
        <v>1</v>
      </c>
      <c r="B45" s="273" t="s">
        <v>713</v>
      </c>
      <c r="C45" s="310" t="b">
        <v>0</v>
      </c>
      <c r="D45" s="273" t="s">
        <v>111</v>
      </c>
      <c r="E45" s="309" t="s">
        <v>112</v>
      </c>
      <c r="F45" s="309" t="s">
        <v>113</v>
      </c>
      <c r="G45" s="310" t="s">
        <v>114</v>
      </c>
      <c r="H45" s="448" t="str">
        <f t="shared" si="1"/>
        <v>Speziell:</v>
      </c>
      <c r="I45" s="454" t="b">
        <v>0</v>
      </c>
      <c r="K45" s="303" t="s">
        <v>435</v>
      </c>
      <c r="L45" s="279">
        <f>IF(AND('Pos. 4'!$F$10&lt;&gt;"",OR('Pos. 4'!$E$23&lt;&gt;"",'Pos. 4'!$E$24&lt;&gt;"",'Pos. 4'!$E$25&lt;&gt;"",'Pos. 4'!$E$26&lt;&gt;"")),1,0)</f>
        <v>0</v>
      </c>
      <c r="M45" s="486"/>
      <c r="N45" s="187" t="str">
        <f>CONCATENATE("Pos. ",'Pos. 4'!$B$2,".5")</f>
        <v>Pos. 4.5</v>
      </c>
      <c r="O45" s="188" t="b">
        <f>IF(AND('Pos. 4'!AW36&lt;&gt;"",'Pos. 4'!AX36&lt;&gt;""),TRUE,FALSE)</f>
        <v>0</v>
      </c>
      <c r="P45" s="191"/>
      <c r="Q45" s="368">
        <v>4</v>
      </c>
      <c r="U45" s="303" t="b">
        <f t="shared" si="4"/>
        <v>0</v>
      </c>
      <c r="V45" s="489">
        <f t="shared" si="5"/>
        <v>1</v>
      </c>
      <c r="X45" s="473">
        <v>0</v>
      </c>
      <c r="Y45" s="490">
        <v>0</v>
      </c>
      <c r="Z45" s="490">
        <v>0</v>
      </c>
      <c r="AA45" s="490">
        <v>0</v>
      </c>
      <c r="AB45" s="490" t="str">
        <f t="shared" si="3"/>
        <v>Glastyp wählen</v>
      </c>
      <c r="AC45" s="380"/>
      <c r="AD45" s="491">
        <v>0</v>
      </c>
      <c r="AE45" s="492">
        <v>0</v>
      </c>
      <c r="AF45" s="492">
        <v>0</v>
      </c>
      <c r="AG45" s="492">
        <v>0</v>
      </c>
      <c r="AH45" s="380" t="str">
        <f>$H$54</f>
        <v>Glastyp wählen</v>
      </c>
      <c r="AI45" s="473">
        <f t="shared" si="6"/>
        <v>0</v>
      </c>
      <c r="AJ45" s="490">
        <f t="shared" si="6"/>
        <v>0</v>
      </c>
      <c r="AK45" s="490">
        <f t="shared" si="6"/>
        <v>0</v>
      </c>
      <c r="AL45" s="490">
        <f t="shared" si="6"/>
        <v>0</v>
      </c>
      <c r="AM45" s="490" t="str">
        <f t="shared" si="6"/>
        <v>Glastyp wählen</v>
      </c>
      <c r="AN45" s="380"/>
    </row>
    <row r="46" spans="1:40" x14ac:dyDescent="0.2">
      <c r="A46" s="448" t="b">
        <f>IF(C46=FALSE,TRUE,(IF(AND(C46=TRUE,'Pos. 4'!O85=""),FALSE,TRUE)))</f>
        <v>1</v>
      </c>
      <c r="B46" s="273" t="s">
        <v>714</v>
      </c>
      <c r="C46" s="310" t="b">
        <v>0</v>
      </c>
      <c r="D46" s="273" t="s">
        <v>64</v>
      </c>
      <c r="E46" s="309" t="s">
        <v>65</v>
      </c>
      <c r="F46" s="309" t="s">
        <v>66</v>
      </c>
      <c r="G46" s="310" t="s">
        <v>139</v>
      </c>
      <c r="H46" s="448" t="str">
        <f t="shared" si="1"/>
        <v>Statik:</v>
      </c>
      <c r="I46" s="454"/>
      <c r="K46" s="303" t="s">
        <v>436</v>
      </c>
      <c r="L46" s="279">
        <f>IF(AND($I$13=TRUE,'Pos. 4'!$E$28=""),0,1)</f>
        <v>1</v>
      </c>
      <c r="M46" s="486"/>
      <c r="N46" s="187" t="str">
        <f>CONCATENATE("Pos. ",'Pos. 4'!$B$2,".6")</f>
        <v>Pos. 4.6</v>
      </c>
      <c r="O46" s="188" t="b">
        <f>IF(AND('Pos. 4'!AW37&lt;&gt;"",'Pos. 4'!AX37&lt;&gt;""),TRUE,FALSE)</f>
        <v>0</v>
      </c>
      <c r="P46" s="191"/>
      <c r="Q46" s="368">
        <v>5</v>
      </c>
      <c r="U46" s="303" t="b">
        <f t="shared" si="4"/>
        <v>1</v>
      </c>
      <c r="V46" s="489">
        <f t="shared" si="5"/>
        <v>0</v>
      </c>
    </row>
    <row r="47" spans="1:40" x14ac:dyDescent="0.2">
      <c r="A47" s="448" t="b">
        <f>IF(C47=FALSE,TRUE,(IF(AND(C47=TRUE,'Pos. 4'!V85=""),FALSE,TRUE)))</f>
        <v>1</v>
      </c>
      <c r="B47" s="273" t="str">
        <f>IF('Pos. 4'!AB73="","322201/322201","400228/400228")</f>
        <v>322201/322201</v>
      </c>
      <c r="C47" s="310" t="b">
        <v>0</v>
      </c>
      <c r="D47" s="273" t="s">
        <v>67</v>
      </c>
      <c r="E47" s="309" t="s">
        <v>68</v>
      </c>
      <c r="F47" s="309" t="s">
        <v>69</v>
      </c>
      <c r="G47" s="310" t="s">
        <v>326</v>
      </c>
      <c r="H47" s="448" t="str">
        <f t="shared" si="1"/>
        <v>Windlast:</v>
      </c>
      <c r="I47" s="454"/>
      <c r="K47" s="303" t="s">
        <v>437</v>
      </c>
      <c r="L47" s="281">
        <f>IF(AND($I$13=FALSE,$I$14=FALSE),0,1)</f>
        <v>0</v>
      </c>
      <c r="M47" s="486"/>
      <c r="N47" s="187" t="str">
        <f>CONCATENATE("Pos. ",'Pos. 4'!$B$2,".7")</f>
        <v>Pos. 4.7</v>
      </c>
      <c r="O47" s="188" t="b">
        <f>IF(AND('Pos. 4'!AW38&lt;&gt;"",'Pos. 4'!AX38&lt;&gt;""),TRUE,FALSE)</f>
        <v>0</v>
      </c>
      <c r="P47" s="191"/>
      <c r="Q47" s="368">
        <v>6</v>
      </c>
      <c r="U47" s="303" t="b">
        <f t="shared" si="4"/>
        <v>0</v>
      </c>
      <c r="V47" s="489">
        <f t="shared" si="5"/>
        <v>1</v>
      </c>
    </row>
    <row r="48" spans="1:40" x14ac:dyDescent="0.2">
      <c r="A48" s="448" t="b">
        <f>IF(C48=FALSE,TRUE,(IF(AND(C48=TRUE,'Pos. 4'!H96=""),FALSE,TRUE)))</f>
        <v>1</v>
      </c>
      <c r="B48" s="273" t="s">
        <v>715</v>
      </c>
      <c r="C48" s="310" t="b">
        <v>0</v>
      </c>
      <c r="D48" s="273" t="s">
        <v>70</v>
      </c>
      <c r="E48" s="309" t="s">
        <v>71</v>
      </c>
      <c r="F48" s="309" t="s">
        <v>72</v>
      </c>
      <c r="G48" s="310" t="s">
        <v>327</v>
      </c>
      <c r="H48" s="448" t="str">
        <f t="shared" si="1"/>
        <v>Bemerkung:</v>
      </c>
      <c r="I48" s="454"/>
      <c r="K48" s="303" t="s">
        <v>439</v>
      </c>
      <c r="L48" s="493">
        <f>IF(OR(AND($C$37=FALSE,$C$39=FALSE),(AND($C$38=FALSE,$C$40=FALSE))),0,1)</f>
        <v>1</v>
      </c>
      <c r="M48" s="494">
        <f>IF($L$49=0,0,L48)</f>
        <v>0</v>
      </c>
      <c r="N48" s="187" t="str">
        <f>CONCATENATE("Pos. ",'Pos. 4'!$B$2,".8")</f>
        <v>Pos. 4.8</v>
      </c>
      <c r="O48" s="188" t="b">
        <f>IF(AND('Pos. 4'!AW39&lt;&gt;"",'Pos. 4'!AX39&lt;&gt;""),TRUE,FALSE)</f>
        <v>0</v>
      </c>
      <c r="P48" s="191"/>
      <c r="Q48" s="368">
        <v>7</v>
      </c>
      <c r="U48" s="303" t="b">
        <f>IF(M49=0,FALSE,TRUE)</f>
        <v>0</v>
      </c>
      <c r="V48" s="489">
        <f t="shared" si="5"/>
        <v>1</v>
      </c>
    </row>
    <row r="49" spans="1:22" ht="13.5" thickBot="1" x14ac:dyDescent="0.25">
      <c r="A49" s="495"/>
      <c r="B49" s="273" t="s">
        <v>716</v>
      </c>
      <c r="C49" s="310" t="b">
        <v>0</v>
      </c>
      <c r="D49" s="273" t="s">
        <v>73</v>
      </c>
      <c r="E49" s="309" t="s">
        <v>74</v>
      </c>
      <c r="F49" s="309" t="s">
        <v>310</v>
      </c>
      <c r="G49" s="310" t="s">
        <v>328</v>
      </c>
      <c r="H49" s="448" t="str">
        <f t="shared" si="1"/>
        <v>Zubehör:</v>
      </c>
      <c r="I49" s="454"/>
      <c r="K49" s="303" t="s">
        <v>438</v>
      </c>
      <c r="L49" s="327">
        <f>IF(L48=0,0,IF('Pos. 4'!$I$49&gt;0,1,0))</f>
        <v>0</v>
      </c>
      <c r="M49" s="285">
        <f>SUM(L49,M48)</f>
        <v>0</v>
      </c>
      <c r="N49" s="187" t="str">
        <f>CONCATENATE("Pos. ",'Pos. 4'!$B$2,".9")</f>
        <v>Pos. 4.9</v>
      </c>
      <c r="O49" s="188" t="b">
        <f>IF(AND('Pos. 4'!AW40&lt;&gt;"",'Pos. 4'!AX40&lt;&gt;""),TRUE,FALSE)</f>
        <v>0</v>
      </c>
      <c r="P49" s="191"/>
      <c r="Q49" s="368">
        <v>8</v>
      </c>
      <c r="T49" s="308" t="s">
        <v>870</v>
      </c>
      <c r="U49" s="303" t="b">
        <f>IF(AND(L44=1,AND('Pos. 4'!E23="",'Pos. 4'!E24="",'Pos. 4'!E25="",'Pos. 4'!E26="")),FALSE,TRUE)</f>
        <v>1</v>
      </c>
      <c r="V49" s="489">
        <f t="shared" si="5"/>
        <v>0</v>
      </c>
    </row>
    <row r="50" spans="1:22" x14ac:dyDescent="0.2">
      <c r="A50" s="272">
        <f>COUNTIF(A41:A49,FALSE)</f>
        <v>0</v>
      </c>
      <c r="B50" s="273" t="s">
        <v>371</v>
      </c>
      <c r="C50" s="310" t="b">
        <v>0</v>
      </c>
      <c r="D50" s="273" t="s">
        <v>670</v>
      </c>
      <c r="E50" s="309" t="s">
        <v>671</v>
      </c>
      <c r="F50" s="309" t="s">
        <v>673</v>
      </c>
      <c r="G50" s="310" t="s">
        <v>672</v>
      </c>
      <c r="H50" s="448" t="str">
        <f t="shared" si="1"/>
        <v>Rinne (siehe unten)</v>
      </c>
      <c r="I50" s="454" t="b">
        <v>0</v>
      </c>
      <c r="K50" s="303" t="s">
        <v>440</v>
      </c>
      <c r="L50" s="286">
        <f>IF(AND(OR($C$53=TRUE,$C$54=TRUE),'Pos. 4'!$Z$42&lt;&gt;"",'Pos. 4'!$T$45&lt;&gt;""),1,0)</f>
        <v>0</v>
      </c>
      <c r="M50" s="486"/>
      <c r="N50" s="187" t="str">
        <f>CONCATENATE("Pos. ",'Pos. 4'!$B$2,".10")</f>
        <v>Pos. 4.10</v>
      </c>
      <c r="O50" s="188" t="b">
        <f>IF(AND('Pos. 4'!AW41&lt;&gt;"",'Pos. 4'!AX41&lt;&gt;""),TRUE,FALSE)</f>
        <v>0</v>
      </c>
      <c r="P50" s="191"/>
      <c r="Q50" s="368">
        <v>9</v>
      </c>
      <c r="U50" s="303" t="b">
        <f t="shared" ref="U50:U55" si="7">IF(L50=0,FALSE,TRUE)</f>
        <v>0</v>
      </c>
      <c r="V50" s="489">
        <f t="shared" si="5"/>
        <v>1</v>
      </c>
    </row>
    <row r="51" spans="1:22" ht="13.5" thickBot="1" x14ac:dyDescent="0.25">
      <c r="B51" s="273" t="s">
        <v>394</v>
      </c>
      <c r="C51" s="310" t="b">
        <v>0</v>
      </c>
      <c r="D51" s="273" t="s">
        <v>306</v>
      </c>
      <c r="E51" s="309" t="s">
        <v>307</v>
      </c>
      <c r="F51" s="309" t="s">
        <v>308</v>
      </c>
      <c r="G51" s="310" t="s">
        <v>329</v>
      </c>
      <c r="H51" s="448" t="str">
        <f t="shared" si="1"/>
        <v>Wetterschenkel</v>
      </c>
      <c r="I51" s="454" t="b">
        <v>0</v>
      </c>
      <c r="K51" s="303" t="s">
        <v>441</v>
      </c>
      <c r="L51" s="279">
        <f>IF(OR($I$15=TRUE,$I$16=TRUE,$I$17=TRUE,$I$18=TRUE,$I$19=TRUE,$I$20=TRUE,$I$22=TRUE,$I$25=TRUE,$I$125=TRUE,$I$26=TRUE,$I$27=TRUE,$I$28=TRUE,$I$29=TRUE),1,0)</f>
        <v>0</v>
      </c>
      <c r="M51" s="486"/>
      <c r="N51" s="190" t="s">
        <v>581</v>
      </c>
      <c r="O51" s="192">
        <f>IF(P51=O52,1,0)</f>
        <v>0</v>
      </c>
      <c r="P51" s="193" t="str">
        <f>CONCATENATE("(",COUNTBLANK('Pos. 4'!AW32:AW41),")")</f>
        <v>(10)</v>
      </c>
      <c r="Q51" s="472">
        <v>10</v>
      </c>
      <c r="U51" s="303" t="b">
        <f t="shared" si="7"/>
        <v>0</v>
      </c>
      <c r="V51" s="489">
        <f t="shared" si="5"/>
        <v>1</v>
      </c>
    </row>
    <row r="52" spans="1:22" ht="13.5" thickBot="1" x14ac:dyDescent="0.25">
      <c r="B52" s="273"/>
      <c r="C52" s="310"/>
      <c r="D52" s="273" t="s">
        <v>298</v>
      </c>
      <c r="E52" s="309" t="s">
        <v>299</v>
      </c>
      <c r="F52" s="309" t="s">
        <v>300</v>
      </c>
      <c r="G52" s="310" t="s">
        <v>330</v>
      </c>
      <c r="H52" s="448" t="str">
        <f t="shared" si="1"/>
        <v>Standardgrundplatten:</v>
      </c>
      <c r="I52" s="454" t="b">
        <v>0</v>
      </c>
      <c r="K52" s="303" t="s">
        <v>442</v>
      </c>
      <c r="L52" s="279">
        <f>IF(OR(AND($I$36=TRUE,'Pos. 4'!$AM$43&lt;&gt;0,'Pos. 4'!$AR$43&lt;&gt;0,'Pos. 4'!$AM$49&lt;&gt;""),AND($I$39=TRUE,'Pos. 4'!$AM$45&lt;&gt;0,'Pos. 4'!$AM$49&lt;&gt;"",'Pos. 4'!$AM$46&lt;&gt;"",'Pos. 4'!$AM$47&lt;&gt;"")),1,0)</f>
        <v>0</v>
      </c>
      <c r="M52" s="486"/>
      <c r="N52" s="194"/>
      <c r="O52" s="195" t="str">
        <f>CONCATENATE("(",IF(I19=TRUE,COUNTIF(O41:O50,FALSE),""),")")</f>
        <v>()</v>
      </c>
      <c r="P52" s="196"/>
      <c r="U52" s="303" t="b">
        <f t="shared" si="7"/>
        <v>0</v>
      </c>
      <c r="V52" s="489">
        <f t="shared" si="5"/>
        <v>1</v>
      </c>
    </row>
    <row r="53" spans="1:22" x14ac:dyDescent="0.2">
      <c r="B53" s="273" t="s">
        <v>717</v>
      </c>
      <c r="C53" s="310" t="b">
        <v>1</v>
      </c>
      <c r="D53" s="273" t="s">
        <v>75</v>
      </c>
      <c r="E53" s="309" t="s">
        <v>75</v>
      </c>
      <c r="F53" s="309" t="s">
        <v>75</v>
      </c>
      <c r="G53" s="310" t="s">
        <v>75</v>
      </c>
      <c r="H53" s="448" t="str">
        <f t="shared" si="1"/>
        <v>Sun-Box</v>
      </c>
      <c r="I53" s="454"/>
      <c r="K53" s="303" t="s">
        <v>446</v>
      </c>
      <c r="L53" s="279">
        <f>IF('Pos. 4'!AT52=1,1,IF(AND(OR($I$43=TRUE,$I$44=TRUE),'Pos. 4'!$AE$53&lt;&gt;0,'Pos. 4'!$AO$55&lt;&gt;""),1,0))</f>
        <v>0</v>
      </c>
      <c r="M53" s="486"/>
      <c r="U53" s="303" t="b">
        <f t="shared" si="7"/>
        <v>0</v>
      </c>
      <c r="V53" s="489">
        <f t="shared" si="5"/>
        <v>1</v>
      </c>
    </row>
    <row r="54" spans="1:22" x14ac:dyDescent="0.2">
      <c r="B54" s="273" t="s">
        <v>718</v>
      </c>
      <c r="C54" s="310" t="b">
        <v>0</v>
      </c>
      <c r="D54" s="273" t="s">
        <v>76</v>
      </c>
      <c r="E54" s="309" t="s">
        <v>77</v>
      </c>
      <c r="F54" s="309" t="s">
        <v>78</v>
      </c>
      <c r="G54" s="310" t="s">
        <v>331</v>
      </c>
      <c r="H54" s="448" t="str">
        <f t="shared" si="1"/>
        <v>Glastyp wählen</v>
      </c>
      <c r="I54" s="454"/>
      <c r="K54" s="303" t="s">
        <v>447</v>
      </c>
      <c r="L54" s="279">
        <f>SUM(IF(AND('Pos. 4'!$AE$70&lt;&gt;"",'Pos. 4'!$AN$70&lt;&gt;"",OR($C$60=TRUE,$C$61=TRUE,$C$62=TRUE,$C$63=TRUE)),1,0),M54)</f>
        <v>1</v>
      </c>
      <c r="M54" s="486">
        <f>IF(AND(OR('Pos. 4'!F10="F",'Pos. 4'!F10=""),OR('Pos. 4'!N10="F",'Pos. 4'!N10=""),OR('Pos. 4'!R10="F",'Pos. 4'!R10=""),OR('Pos. 4'!V10="F",'Pos. 4'!V10=""),OR('Pos. 4'!Z10="F",'Pos. 4'!Z10=""),OR('Pos. 4'!AD10="F",'Pos. 4'!AD10=""),OR('Pos. 4'!AH10="F",'Pos. 4'!AH10=""),OR('Pos. 4'!AL10="F",'Pos. 4'!AL10=""),OR('Pos. 4'!AP10="F",'Pos. 4'!AP10="")),1,0)</f>
        <v>1</v>
      </c>
      <c r="U54" s="303" t="b">
        <f t="shared" si="7"/>
        <v>1</v>
      </c>
      <c r="V54" s="489">
        <f t="shared" si="5"/>
        <v>0</v>
      </c>
    </row>
    <row r="55" spans="1:22" x14ac:dyDescent="0.2">
      <c r="B55" s="273"/>
      <c r="C55" s="310"/>
      <c r="D55" s="273" t="s">
        <v>79</v>
      </c>
      <c r="E55" s="309" t="s">
        <v>80</v>
      </c>
      <c r="F55" s="309" t="s">
        <v>79</v>
      </c>
      <c r="G55" s="310" t="s">
        <v>79</v>
      </c>
      <c r="H55" s="448" t="str">
        <f t="shared" si="1"/>
        <v>Pos:</v>
      </c>
      <c r="I55" s="454"/>
      <c r="K55" s="303" t="s">
        <v>448</v>
      </c>
      <c r="L55" s="281">
        <f>IF(AND('Pos. 4'!$AM$88&lt;&gt;"",'Pos. 4'!$AE$84&lt;&gt;"",'Pos. 4'!$AM$87&lt;&gt;""),1,0)</f>
        <v>0</v>
      </c>
      <c r="M55" s="486"/>
      <c r="U55" s="303" t="b">
        <f t="shared" si="7"/>
        <v>0</v>
      </c>
      <c r="V55" s="489">
        <f t="shared" si="5"/>
        <v>1</v>
      </c>
    </row>
    <row r="56" spans="1:22" ht="15" customHeight="1" thickBot="1" x14ac:dyDescent="0.25">
      <c r="B56" s="273"/>
      <c r="C56" s="310" t="b">
        <v>1</v>
      </c>
      <c r="D56" s="273" t="s">
        <v>81</v>
      </c>
      <c r="E56" s="309" t="s">
        <v>82</v>
      </c>
      <c r="F56" s="309" t="s">
        <v>83</v>
      </c>
      <c r="G56" s="310" t="s">
        <v>147</v>
      </c>
      <c r="H56" s="448" t="str">
        <f t="shared" si="1"/>
        <v>Stück:</v>
      </c>
      <c r="I56" s="454"/>
      <c r="K56" s="303" t="s">
        <v>453</v>
      </c>
      <c r="L56" s="493">
        <f>IF(OR($C$41=TRUE,$C$42=TRUE,$C$43=TRUE,$C$44=TRUE,AND('Pos. 4'!F10="F",'Pos. 4'!J10="")),1,0)</f>
        <v>0</v>
      </c>
      <c r="M56" s="287">
        <f>SUM(L56:L57)</f>
        <v>0</v>
      </c>
      <c r="U56" s="303" t="b">
        <f>IF(M56=0,FALSE,TRUE)</f>
        <v>0</v>
      </c>
      <c r="V56" s="489">
        <f t="shared" si="5"/>
        <v>1</v>
      </c>
    </row>
    <row r="57" spans="1:22" x14ac:dyDescent="0.2">
      <c r="B57" s="273" t="s">
        <v>455</v>
      </c>
      <c r="C57" s="310" t="b">
        <v>0</v>
      </c>
      <c r="D57" s="273" t="s">
        <v>84</v>
      </c>
      <c r="E57" s="309" t="s">
        <v>85</v>
      </c>
      <c r="F57" s="309" t="s">
        <v>85</v>
      </c>
      <c r="G57" s="310" t="s">
        <v>193</v>
      </c>
      <c r="H57" s="448" t="str">
        <f t="shared" si="1"/>
        <v>Seite:</v>
      </c>
      <c r="I57" s="454"/>
      <c r="K57" s="303" t="s">
        <v>454</v>
      </c>
      <c r="L57" s="327" t="s">
        <v>809</v>
      </c>
      <c r="M57" s="288"/>
      <c r="O57" s="34" t="s">
        <v>888</v>
      </c>
      <c r="P57" s="370"/>
      <c r="Q57" s="370"/>
      <c r="R57" s="371"/>
      <c r="T57" s="308"/>
      <c r="U57" s="303"/>
      <c r="V57" s="489"/>
    </row>
    <row r="58" spans="1:22" x14ac:dyDescent="0.2">
      <c r="B58" s="273" t="s">
        <v>456</v>
      </c>
      <c r="C58" s="310" t="b">
        <v>0</v>
      </c>
      <c r="D58" s="273" t="s">
        <v>425</v>
      </c>
      <c r="E58" s="309" t="s">
        <v>426</v>
      </c>
      <c r="F58" s="309" t="s">
        <v>427</v>
      </c>
      <c r="G58" s="310" t="s">
        <v>428</v>
      </c>
      <c r="H58" s="448" t="str">
        <f t="shared" si="1"/>
        <v>Achsmass →</v>
      </c>
      <c r="I58" s="454"/>
      <c r="K58" s="303" t="s">
        <v>457</v>
      </c>
      <c r="L58" s="286">
        <f>IF(AND('Pos. 4'!$G$20=0,'Pos. 4'!$K$20=0,'Pos. 4'!$O$20=0,'Pos. 4'!$S$20=0,'Pos. 4'!$W$20=0,'Pos. 4'!$AA$20=0,'Pos. 4'!$AE$20=0,'Pos. 4'!$AI$20=0,'Pos. 4'!$AM$20=0),1,0)</f>
        <v>1</v>
      </c>
      <c r="M58" s="486"/>
      <c r="O58" s="372" t="s">
        <v>889</v>
      </c>
      <c r="P58" s="373" t="s">
        <v>890</v>
      </c>
      <c r="Q58" s="373" t="s">
        <v>891</v>
      </c>
      <c r="R58" s="374" t="s">
        <v>892</v>
      </c>
      <c r="T58" s="308" t="s">
        <v>690</v>
      </c>
      <c r="U58" s="303" t="b">
        <f>IF(AND(L62=1,'Pos. 4'!C11&gt;35),FALSE,TRUE)</f>
        <v>1</v>
      </c>
      <c r="V58" s="489">
        <f t="shared" si="5"/>
        <v>0</v>
      </c>
    </row>
    <row r="59" spans="1:22" x14ac:dyDescent="0.2">
      <c r="B59" s="273"/>
      <c r="C59" s="310"/>
      <c r="D59" s="273" t="s">
        <v>86</v>
      </c>
      <c r="E59" s="309" t="s">
        <v>87</v>
      </c>
      <c r="F59" s="309" t="s">
        <v>88</v>
      </c>
      <c r="G59" s="310" t="s">
        <v>146</v>
      </c>
      <c r="H59" s="448" t="str">
        <f t="shared" si="1"/>
        <v>VSG mit P4A</v>
      </c>
      <c r="I59" s="454"/>
      <c r="K59" s="303" t="s">
        <v>458</v>
      </c>
      <c r="L59" s="496">
        <f>IF(AND($C$49=FALSE,$C$50=FALSE,$C$51=FALSE),0,1)</f>
        <v>0</v>
      </c>
      <c r="M59" s="290">
        <f>SUM(L58:L59)</f>
        <v>1</v>
      </c>
      <c r="O59" s="317" t="s">
        <v>195</v>
      </c>
      <c r="P59" s="375">
        <f>IF(OR('Pos. 4'!$F$10='Sprachen &amp; Rückgabewerte(4)'!$B$10,'Pos. 4'!$F$10='Sprachen &amp; Rückgabewerte(4)'!B11),1,0)</f>
        <v>0</v>
      </c>
      <c r="Q59" s="318">
        <f>IF(P59=1,0,1)</f>
        <v>1</v>
      </c>
      <c r="R59" s="325">
        <f>IF(AND(P59=1,'Pos. 4'!$F$16=""),1,0)</f>
        <v>0</v>
      </c>
      <c r="U59" s="303" t="b">
        <f>IF(M59=0,FALSE,TRUE)</f>
        <v>1</v>
      </c>
      <c r="V59" s="489">
        <f t="shared" si="5"/>
        <v>0</v>
      </c>
    </row>
    <row r="60" spans="1:22" ht="15" customHeight="1" x14ac:dyDescent="0.2">
      <c r="B60" s="273" t="s">
        <v>229</v>
      </c>
      <c r="C60" s="310" t="b">
        <v>0</v>
      </c>
      <c r="D60" s="273" t="s">
        <v>89</v>
      </c>
      <c r="E60" s="309" t="s">
        <v>90</v>
      </c>
      <c r="F60" s="309" t="s">
        <v>289</v>
      </c>
      <c r="G60" s="310" t="s">
        <v>332</v>
      </c>
      <c r="H60" s="448" t="str">
        <f t="shared" si="1"/>
        <v>Insektenschutz</v>
      </c>
      <c r="I60" s="454"/>
      <c r="K60" s="303" t="s">
        <v>459</v>
      </c>
      <c r="L60" s="493">
        <f>IF(AND($C$46=TRUE,OR($C$57=TRUE,$C$58=TRUE)),1,0)</f>
        <v>0</v>
      </c>
      <c r="M60" s="544">
        <f>SUM(L60:L61)</f>
        <v>1</v>
      </c>
      <c r="O60" s="273" t="s">
        <v>196</v>
      </c>
      <c r="P60" s="376">
        <f>IF(OR('Pos. 4'!$J$10='Sprachen &amp; Rückgabewerte(4)'!$B$10,'Pos. 4'!$J$10='Sprachen &amp; Rückgabewerte(4)'!B11),1,0)</f>
        <v>0</v>
      </c>
      <c r="Q60" s="309">
        <f t="shared" ref="Q60:Q68" si="8">IF(P60=1,0,1)</f>
        <v>1</v>
      </c>
      <c r="R60" s="310">
        <f>IF(AND(P60=1,'Pos. 4'!$J$16=""),1,0)</f>
        <v>0</v>
      </c>
      <c r="U60" s="303" t="b">
        <f>IF(M60=0,FALSE,TRUE)</f>
        <v>1</v>
      </c>
      <c r="V60" s="489">
        <f t="shared" si="5"/>
        <v>0</v>
      </c>
    </row>
    <row r="61" spans="1:22" ht="12.75" customHeight="1" x14ac:dyDescent="0.2">
      <c r="B61" s="273" t="s">
        <v>230</v>
      </c>
      <c r="C61" s="310" t="b">
        <v>0</v>
      </c>
      <c r="D61" s="336" t="s">
        <v>145</v>
      </c>
      <c r="E61" s="497" t="s">
        <v>145</v>
      </c>
      <c r="F61" s="497" t="s">
        <v>145</v>
      </c>
      <c r="G61" s="498" t="s">
        <v>145</v>
      </c>
      <c r="H61" s="448" t="str">
        <f t="shared" si="1"/>
        <v>Standard = 1050mm</v>
      </c>
      <c r="I61" s="454"/>
      <c r="K61" s="303"/>
      <c r="L61" s="327">
        <f>IF(C46=FALSE,1,0)</f>
        <v>1</v>
      </c>
      <c r="M61" s="545"/>
      <c r="O61" s="273" t="s">
        <v>197</v>
      </c>
      <c r="P61" s="376">
        <f>IF(OR('Pos. 4'!$N$10='Sprachen &amp; Rückgabewerte(4)'!$B$10,'Pos. 4'!$N$10='Sprachen &amp; Rückgabewerte(4)'!B11),1,0)</f>
        <v>0</v>
      </c>
      <c r="Q61" s="309">
        <f t="shared" si="8"/>
        <v>1</v>
      </c>
      <c r="R61" s="310">
        <f>IF(AND(P61=1,'Pos. 4'!$N$16=""),1,0)</f>
        <v>0</v>
      </c>
      <c r="U61" s="303"/>
      <c r="V61" s="489"/>
    </row>
    <row r="62" spans="1:22" x14ac:dyDescent="0.2">
      <c r="B62" s="273" t="s">
        <v>231</v>
      </c>
      <c r="C62" s="310" t="b">
        <v>0</v>
      </c>
      <c r="D62" s="273" t="s">
        <v>140</v>
      </c>
      <c r="E62" s="309" t="s">
        <v>141</v>
      </c>
      <c r="F62" s="309" t="s">
        <v>142</v>
      </c>
      <c r="G62" s="310" t="s">
        <v>143</v>
      </c>
      <c r="H62" s="448" t="str">
        <f t="shared" si="1"/>
        <v>RC2: zwingend 1050mm</v>
      </c>
      <c r="I62" s="454"/>
      <c r="K62" s="303" t="s">
        <v>484</v>
      </c>
      <c r="L62" s="493">
        <f>IF(OR(AND('Pos. 4'!$F$10="L",'Pos. 4'!$J$10="R"),AND('Pos. 4'!$J$10="L",'Pos. 4'!$N$10="R"),AND('Pos. 4'!$N$10="L",'Pos. 4'!$R$10="R"),AND('Pos. 4'!$R$10="L",'Pos. 4'!$V$10="R"),AND('Pos. 4'!$V$10="L",'Pos. 4'!$Z$10="R"),AND('Pos. 4'!$Z$10="L",'Pos. 4'!$AD$10="R"),AND('Pos. 4'!$AD$10="L",'Pos. 4'!$AH$10="R"),AND('Pos. 4'!$AH$10="L",'Pos. 4'!$AL$10="R"),AND('Pos. 4'!$AL$10="L",'Pos. 4'!$AP$10="R"),AND('Pos. 4'!F10="F",'Pos. 4'!J10="R"),AND('Pos. 4'!J10="F",'Pos. 4'!N10="R"),AND('Pos. 4'!N10="F",'Pos. 4'!R10="R"),AND('Pos. 4'!R10="F",'Pos. 4'!V10="R"),AND('Pos. 4'!V10="F",'Pos. 4'!Z10="R"),AND('Pos. 4'!Z10="F",'Pos. 4'!AD10="R"),AND('Pos. 4'!AD10="F",'Pos. 4'!AH10="R"),AND('Pos. 4'!AH10="F",'Pos. 4'!AL10="R"),AND('Pos. 4'!AL10="F",'Pos. 4'!AP10="R"),AND('Pos. 4'!F10="L",'Pos. 4'!J10="F"),AND('Pos. 4'!J10="L",'Pos. 4'!N10="F"),AND('Pos. 4'!N10="L",'Pos. 4'!R10="F"),AND('Pos. 4'!R10="L",'Pos. 4'!V10="F"),AND('Pos. 4'!V10="L",'Pos. 4'!Z10="F"),AND('Pos. 4'!Z10="L",'Pos. 4'!AD10="F"),AND('Pos. 4'!AD10="L",'Pos. 4'!AH10="F"),AND('Pos. 4'!AH10="L",'Pos. 4'!AL10="F"),AND('Pos. 4'!AL10="L",'Pos. 4'!AP10="F")),1,0)</f>
        <v>0</v>
      </c>
      <c r="M62" s="287">
        <f>IF(AND(L58=0,SUM(L62:L65)=2),0,SUM(L62:L65))</f>
        <v>1</v>
      </c>
      <c r="O62" s="273" t="s">
        <v>198</v>
      </c>
      <c r="P62" s="376">
        <f>IF(OR('Pos. 4'!$R$10='Sprachen &amp; Rückgabewerte(4)'!$B$10,'Pos. 4'!$R$10='Sprachen &amp; Rückgabewerte(4)'!B11),1,0)</f>
        <v>0</v>
      </c>
      <c r="Q62" s="309">
        <f t="shared" si="8"/>
        <v>1</v>
      </c>
      <c r="R62" s="310">
        <f>IF(AND(P62=1,'Pos. 4'!$R$16=""),1,0)</f>
        <v>0</v>
      </c>
      <c r="U62" s="303" t="b">
        <f>IF(OR(M62=2,M62=3),FALSE,TRUE)</f>
        <v>1</v>
      </c>
      <c r="V62" s="489">
        <f t="shared" si="5"/>
        <v>0</v>
      </c>
    </row>
    <row r="63" spans="1:22" ht="15.75" customHeight="1" thickBot="1" x14ac:dyDescent="0.25">
      <c r="B63" s="473" t="s">
        <v>232</v>
      </c>
      <c r="C63" s="380" t="b">
        <v>0</v>
      </c>
      <c r="D63" s="273" t="s">
        <v>144</v>
      </c>
      <c r="E63" s="309" t="s">
        <v>144</v>
      </c>
      <c r="F63" s="309" t="s">
        <v>144</v>
      </c>
      <c r="G63" s="310" t="s">
        <v>144</v>
      </c>
      <c r="H63" s="448" t="str">
        <f t="shared" si="1"/>
        <v>min: RV=200 MVv=750</v>
      </c>
      <c r="I63" s="454"/>
      <c r="K63" s="303"/>
      <c r="L63" s="499">
        <f>IF(AND('Pos. 4'!G20="",'Pos. 4'!K20="",'Pos. 4'!O20="",'Pos. 4'!S20="",'Pos. 4'!W20="",'Pos. 4'!AA20="",'Pos. 4'!AE20="",'Pos. 4'!AI20="",'Pos. 4'!AM20=""),1,2)</f>
        <v>1</v>
      </c>
      <c r="M63" s="292"/>
      <c r="O63" s="273" t="s">
        <v>199</v>
      </c>
      <c r="P63" s="376">
        <f>IF(OR('Pos. 4'!$V$10='Sprachen &amp; Rückgabewerte(4)'!$B$10,'Pos. 4'!$V$10='Sprachen &amp; Rückgabewerte(4)'!B11),1,0)</f>
        <v>0</v>
      </c>
      <c r="Q63" s="309">
        <f t="shared" si="8"/>
        <v>1</v>
      </c>
      <c r="R63" s="310">
        <f>IF(AND(P63=1,'Pos. 4'!$V$16=""),1,0)</f>
        <v>0</v>
      </c>
      <c r="T63" s="308" t="s">
        <v>698</v>
      </c>
      <c r="U63" s="303" t="b">
        <f>IF('Pos. 4'!AX25="",FALSE,TRUE)</f>
        <v>0</v>
      </c>
      <c r="V63" s="489">
        <f>IF(U63=FALSE,1,0)</f>
        <v>1</v>
      </c>
    </row>
    <row r="64" spans="1:22" ht="15" customHeight="1" x14ac:dyDescent="0.2">
      <c r="B64" s="500" t="s">
        <v>549</v>
      </c>
      <c r="C64" s="501">
        <f>IF(OR($C$60=TRUE,$C$61=TRUE,$C$62=TRUE,$C$63=TRUE),1,0)</f>
        <v>0</v>
      </c>
      <c r="D64" s="273" t="s">
        <v>148</v>
      </c>
      <c r="E64" s="309" t="s">
        <v>234</v>
      </c>
      <c r="F64" s="309" t="s">
        <v>258</v>
      </c>
      <c r="G64" s="310" t="s">
        <v>272</v>
      </c>
      <c r="H64" s="448" t="str">
        <f t="shared" si="1"/>
        <v>Verschlussgriffe:</v>
      </c>
      <c r="I64" s="454"/>
      <c r="K64" s="303"/>
      <c r="L64" s="499">
        <f>IF(AND($C$45=FALSE,$C$46=FALSE,$C$47=FALSE,$C$48=FALSE),0,1)</f>
        <v>0</v>
      </c>
      <c r="M64" s="292"/>
      <c r="O64" s="273" t="s">
        <v>200</v>
      </c>
      <c r="P64" s="376">
        <f>IF(OR('Pos. 4'!$Z$10='Sprachen &amp; Rückgabewerte(4)'!$B$10,'Pos. 4'!$Z$10='Sprachen &amp; Rückgabewerte(4)'!B11),1,0)</f>
        <v>0</v>
      </c>
      <c r="Q64" s="309">
        <f t="shared" si="8"/>
        <v>1</v>
      </c>
      <c r="R64" s="310">
        <f>IF(AND(P64=1,'Pos. 4'!$Z$16=""),1,0)</f>
        <v>0</v>
      </c>
      <c r="T64" s="308" t="s">
        <v>705</v>
      </c>
      <c r="U64" s="303" t="b">
        <f>IF('Pos. 4'!AM87="",FALSE,TRUE)</f>
        <v>0</v>
      </c>
      <c r="V64" s="489">
        <f>IF(U64=FALSE,1,0)</f>
        <v>1</v>
      </c>
    </row>
    <row r="65" spans="2:23" ht="15.75" customHeight="1" thickBot="1" x14ac:dyDescent="0.25">
      <c r="B65" s="89"/>
      <c r="C65" s="502"/>
      <c r="D65" s="273" t="s">
        <v>152</v>
      </c>
      <c r="E65" s="309" t="s">
        <v>235</v>
      </c>
      <c r="F65" s="309" t="s">
        <v>290</v>
      </c>
      <c r="G65" s="310" t="s">
        <v>333</v>
      </c>
      <c r="H65" s="448" t="str">
        <f t="shared" si="1"/>
        <v>mit Verschlussraster (Druckknopf)</v>
      </c>
      <c r="I65" s="454"/>
      <c r="K65" s="303"/>
      <c r="L65" s="327">
        <f>IF(AND('Pos. 4'!H11="",'Pos. 4'!I11="",'Pos. 4'!L11="",'Pos. 4'!M11="",'Pos. 4'!P11="",'Pos. 4'!Q11="",'Pos. 4'!T11="",'Pos. 4'!U11="",'Pos. 4'!X11="",'Pos. 4'!Y11="",'Pos. 4'!AB11="",'Pos. 4'!AC11="",'Pos. 4'!AF11="",'Pos. 4'!AG11="",'Pos. 4'!AJ11="",'Pos. 4'!AK11="",'Pos. 4'!AN11="",'Pos. 4'!AO11=""),0,1)</f>
        <v>0</v>
      </c>
      <c r="M65" s="288"/>
      <c r="O65" s="273" t="s">
        <v>201</v>
      </c>
      <c r="P65" s="376">
        <f>IF(OR('Pos. 4'!$AD$10='Sprachen &amp; Rückgabewerte(4)'!$B$10,'Pos. 4'!$AD$10='Sprachen &amp; Rückgabewerte(4)'!B11),1,0)</f>
        <v>0</v>
      </c>
      <c r="Q65" s="309">
        <f t="shared" si="8"/>
        <v>1</v>
      </c>
      <c r="R65" s="310">
        <f>IF(AND(P65=1,'Pos. 4'!$AD$16=""),1,0)</f>
        <v>0</v>
      </c>
      <c r="T65" s="272" t="s">
        <v>936</v>
      </c>
      <c r="U65" s="303" t="b">
        <f>IF(AND(C51=TRUE,'Pos. 4'!V97=""),FALSE,TRUE)</f>
        <v>1</v>
      </c>
      <c r="V65" s="489">
        <f>IF(U65=FALSE,1,0)</f>
        <v>0</v>
      </c>
    </row>
    <row r="66" spans="2:23" ht="25.5" x14ac:dyDescent="0.2">
      <c r="B66" s="181" t="s">
        <v>550</v>
      </c>
      <c r="C66" s="502"/>
      <c r="D66" s="273" t="s">
        <v>406</v>
      </c>
      <c r="E66" s="309" t="s">
        <v>407</v>
      </c>
      <c r="F66" s="309" t="s">
        <v>409</v>
      </c>
      <c r="G66" s="310" t="s">
        <v>408</v>
      </c>
      <c r="H66" s="448" t="str">
        <f t="shared" si="1"/>
        <v>mit Verschlussraster (Zylinder)</v>
      </c>
      <c r="I66" s="454"/>
      <c r="K66" s="297" t="s">
        <v>553</v>
      </c>
      <c r="L66" s="493" t="b">
        <f>IF(AND($I$71=TRUE,'Pos. 4'!$AP$74="",'Pos. 4'!$AP$75="",'Pos. 4'!$AP$76=""),FALSE,TRUE)</f>
        <v>1</v>
      </c>
      <c r="M66" s="287" t="b">
        <f>IF(OR($L$66=FALSE,$L$67=FALSE,$L$68=FALSE,L69=FALSE),FALSE,TRUE)</f>
        <v>0</v>
      </c>
      <c r="O66" s="273" t="s">
        <v>202</v>
      </c>
      <c r="P66" s="376">
        <f>IF(OR('Pos. 4'!$AH$10='Sprachen &amp; Rückgabewerte(4)'!$B$10,'Pos. 4'!$AH$10='Sprachen &amp; Rückgabewerte(4)'!B11),1,0)</f>
        <v>0</v>
      </c>
      <c r="Q66" s="309">
        <f t="shared" si="8"/>
        <v>1</v>
      </c>
      <c r="R66" s="310">
        <f>IF(AND(P66=1,'Pos. 4'!$AH$16=""),1,0)</f>
        <v>0</v>
      </c>
      <c r="U66" s="303" t="b">
        <f>M66</f>
        <v>0</v>
      </c>
      <c r="V66" s="489">
        <f t="shared" si="5"/>
        <v>1</v>
      </c>
    </row>
    <row r="67" spans="2:23" ht="15" customHeight="1" x14ac:dyDescent="0.2">
      <c r="B67" s="503"/>
      <c r="C67" s="502"/>
      <c r="D67" s="273" t="s">
        <v>149</v>
      </c>
      <c r="E67" s="309" t="s">
        <v>236</v>
      </c>
      <c r="F67" s="309" t="s">
        <v>291</v>
      </c>
      <c r="G67" s="310" t="s">
        <v>334</v>
      </c>
      <c r="H67" s="448" t="str">
        <f t="shared" si="1"/>
        <v>ohne Verschlussraster</v>
      </c>
      <c r="I67" s="454"/>
      <c r="K67" s="297" t="s">
        <v>554</v>
      </c>
      <c r="L67" s="504" t="b">
        <f>IF('Pos. 4'!AN78="",FALSE,TRUE)</f>
        <v>0</v>
      </c>
      <c r="M67" s="292"/>
      <c r="O67" s="273" t="s">
        <v>203</v>
      </c>
      <c r="P67" s="376">
        <f>IF(OR('Pos. 4'!$AL$10='Sprachen &amp; Rückgabewerte(4)'!$B$10,'Pos. 4'!$AL$10='Sprachen &amp; Rückgabewerte(4)'!B11),1,0)</f>
        <v>0</v>
      </c>
      <c r="Q67" s="309">
        <f t="shared" si="8"/>
        <v>1</v>
      </c>
      <c r="R67" s="310">
        <f>IF(AND(P67=1,'Pos. 4'!$AL$16=""),1,0)</f>
        <v>0</v>
      </c>
      <c r="T67" s="308" t="s">
        <v>894</v>
      </c>
      <c r="U67" s="303" t="b">
        <f>IF(R69&gt;0,FALSE,TRUE)</f>
        <v>1</v>
      </c>
      <c r="V67" s="489">
        <f>IF(U67=FALSE,1,0)</f>
        <v>0</v>
      </c>
    </row>
    <row r="68" spans="2:23" ht="15" customHeight="1" x14ac:dyDescent="0.2">
      <c r="B68" s="448" t="str">
        <f>$H$112</f>
        <v>mit CFK</v>
      </c>
      <c r="C68" s="502"/>
      <c r="D68" s="273" t="s">
        <v>150</v>
      </c>
      <c r="E68" s="309" t="s">
        <v>237</v>
      </c>
      <c r="F68" s="309" t="s">
        <v>260</v>
      </c>
      <c r="G68" s="310" t="s">
        <v>335</v>
      </c>
      <c r="H68" s="448" t="str">
        <f t="shared" si="1"/>
        <v>2-Punkt Verriegelung</v>
      </c>
      <c r="I68" s="454"/>
      <c r="J68" s="272" t="str">
        <f>H68</f>
        <v>2-Punkt Verriegelung</v>
      </c>
      <c r="K68" s="297" t="s">
        <v>555</v>
      </c>
      <c r="L68" s="504" t="b">
        <f>IF('Pos. 4'!AN79="",FALSE,TRUE)</f>
        <v>0</v>
      </c>
      <c r="M68" s="292"/>
      <c r="O68" s="273" t="s">
        <v>204</v>
      </c>
      <c r="P68" s="376">
        <f>IF(OR('Pos. 4'!$AP$10='Sprachen &amp; Rückgabewerte(4)'!$B$10,'Pos. 4'!$AP$10='Sprachen &amp; Rückgabewerte(4)'!B11),1,0)</f>
        <v>0</v>
      </c>
      <c r="Q68" s="309">
        <f t="shared" si="8"/>
        <v>1</v>
      </c>
      <c r="R68" s="310">
        <f>IF(AND(P68=1,'Pos. 4'!$AP$16=""),1,0)</f>
        <v>0</v>
      </c>
      <c r="T68" s="308" t="s">
        <v>933</v>
      </c>
      <c r="U68" s="303" t="b">
        <f>IF('Pos. 4'!AQ96="",FALSE,TRUE)</f>
        <v>0</v>
      </c>
      <c r="V68" s="489">
        <f t="shared" ref="V68:V69" si="9">IF(U68=FALSE,1,0)</f>
        <v>1</v>
      </c>
      <c r="W68" s="505">
        <f>SUM(V68:V69)</f>
        <v>1</v>
      </c>
    </row>
    <row r="69" spans="2:23" ht="15" customHeight="1" thickBot="1" x14ac:dyDescent="0.25">
      <c r="B69" s="448" t="str">
        <f>$H$113</f>
        <v>ohne CFK</v>
      </c>
      <c r="C69" s="502"/>
      <c r="D69" s="273" t="s">
        <v>151</v>
      </c>
      <c r="E69" s="309" t="s">
        <v>238</v>
      </c>
      <c r="F69" s="309" t="s">
        <v>259</v>
      </c>
      <c r="G69" s="310" t="s">
        <v>336</v>
      </c>
      <c r="H69" s="448" t="str">
        <f t="shared" si="1"/>
        <v>3-Punkt Verriegelung</v>
      </c>
      <c r="I69" s="454"/>
      <c r="J69" s="272" t="str">
        <f>H69</f>
        <v>3-Punkt Verriegelung</v>
      </c>
      <c r="K69" s="297" t="s">
        <v>556</v>
      </c>
      <c r="L69" s="506" t="b">
        <f>IF('Pos. 4'!$AN$80&lt;&gt;"",TRUE,FALSE)</f>
        <v>0</v>
      </c>
      <c r="M69" s="288"/>
      <c r="O69" s="377"/>
      <c r="P69" s="378"/>
      <c r="Q69" s="379" t="s">
        <v>893</v>
      </c>
      <c r="R69" s="380">
        <f>IF(I20=TRUE,SUM(R59:R68),0)</f>
        <v>0</v>
      </c>
      <c r="T69" s="308" t="s">
        <v>934</v>
      </c>
      <c r="U69" s="303" t="b">
        <f>IF(AND('Pos. 4'!AQ96='Sprachen &amp; Rückgabewerte(4)'!H95,'Pos. 4'!AW96=""),FALSE,TRUE)</f>
        <v>1</v>
      </c>
      <c r="V69" s="489">
        <f t="shared" si="9"/>
        <v>0</v>
      </c>
    </row>
    <row r="70" spans="2:23" x14ac:dyDescent="0.2">
      <c r="B70" s="448"/>
      <c r="C70" s="502"/>
      <c r="D70" s="273" t="s">
        <v>233</v>
      </c>
      <c r="E70" s="309" t="s">
        <v>239</v>
      </c>
      <c r="F70" s="309" t="s">
        <v>261</v>
      </c>
      <c r="G70" s="310" t="s">
        <v>273</v>
      </c>
      <c r="H70" s="448" t="str">
        <f t="shared" si="1"/>
        <v>Befestigung:</v>
      </c>
      <c r="I70" s="454"/>
      <c r="K70" s="303" t="s">
        <v>579</v>
      </c>
      <c r="L70" s="507">
        <f>IF(AND(I19=TRUE,O51=1),1,0)</f>
        <v>0</v>
      </c>
      <c r="M70" s="290"/>
      <c r="U70" s="303" t="b">
        <f>IF(AND(I19=TRUE,O51&lt;&gt;1),FALSE,TRUE)</f>
        <v>1</v>
      </c>
      <c r="V70" s="489">
        <f t="shared" si="5"/>
        <v>0</v>
      </c>
    </row>
    <row r="71" spans="2:23" x14ac:dyDescent="0.2">
      <c r="B71" s="448" t="str">
        <f>$H$114</f>
        <v>mit Stahl</v>
      </c>
      <c r="C71" s="502"/>
      <c r="D71" s="273" t="s">
        <v>285</v>
      </c>
      <c r="E71" s="309" t="s">
        <v>286</v>
      </c>
      <c r="F71" s="309" t="s">
        <v>287</v>
      </c>
      <c r="G71" s="310" t="s">
        <v>274</v>
      </c>
      <c r="H71" s="448" t="str">
        <f t="shared" si="1"/>
        <v>Universalschrauben (A2):</v>
      </c>
      <c r="I71" s="454" t="b">
        <v>0</v>
      </c>
      <c r="K71" s="303" t="s">
        <v>619</v>
      </c>
      <c r="L71" s="507">
        <f>IF(OR('Pos. 4'!$F$10='Sprachen &amp; Rückgabewerte(4)'!$B$14,'Pos. 4'!$J$10='Sprachen &amp; Rückgabewerte(4)'!$B$14,'Pos. 4'!$N$10='Sprachen &amp; Rückgabewerte(4)'!B14,'Pos. 4'!$R$10='Sprachen &amp; Rückgabewerte(4)'!$B$14,'Pos. 4'!$V$10='Sprachen &amp; Rückgabewerte(4)'!$B$14,'Pos. 4'!$Z$10='Sprachen &amp; Rückgabewerte(4)'!$B$14,'Pos. 4'!$AD$10='Sprachen &amp; Rückgabewerte(4)'!$B$14,'Pos. 4'!$AH$10='Sprachen &amp; Rückgabewerte(4)'!$B$14,'Pos. 4'!$AL$10='Sprachen &amp; Rückgabewerte(4)'!$B$14,'Pos. 4'!$AP$10='Sprachen &amp; Rückgabewerte(4)'!$B$14),0,1)</f>
        <v>1</v>
      </c>
      <c r="M71" s="290">
        <f>IF(AND(L71=0,'Pos. 4'!AW48=""),0,1)</f>
        <v>1</v>
      </c>
      <c r="U71" s="303" t="b">
        <f>IF(M71=1,TRUE,FALSE)</f>
        <v>1</v>
      </c>
      <c r="V71" s="489">
        <f t="shared" si="5"/>
        <v>0</v>
      </c>
    </row>
    <row r="72" spans="2:23" x14ac:dyDescent="0.2">
      <c r="B72" s="448" t="str">
        <f>$H$115</f>
        <v>ohne Stahl</v>
      </c>
      <c r="C72" s="502"/>
      <c r="D72" s="273" t="s">
        <v>153</v>
      </c>
      <c r="E72" s="309" t="s">
        <v>153</v>
      </c>
      <c r="F72" s="309" t="s">
        <v>153</v>
      </c>
      <c r="G72" s="309" t="s">
        <v>153</v>
      </c>
      <c r="H72" s="448" t="str">
        <f t="shared" ref="H72:H88" si="10">IF($B$3=$A$3,D72,IF($B$3=$A$4,E72,IF($B$3=$A$5,F72,IF($B$3=$A$6,G72,""))))</f>
        <v>L=52mm</v>
      </c>
      <c r="I72" s="454"/>
      <c r="J72" s="272" t="str">
        <f>H72</f>
        <v>L=52mm</v>
      </c>
      <c r="K72" s="297" t="s">
        <v>683</v>
      </c>
      <c r="L72" s="298">
        <f>C95</f>
        <v>6</v>
      </c>
      <c r="M72" s="489"/>
      <c r="U72" s="303" t="b">
        <f>IF(AND(L72&gt;0,I50=TRUE),FALSE,TRUE)</f>
        <v>1</v>
      </c>
      <c r="V72" s="489">
        <f t="shared" si="5"/>
        <v>0</v>
      </c>
    </row>
    <row r="73" spans="2:23" x14ac:dyDescent="0.2">
      <c r="B73" s="448"/>
      <c r="C73" s="502"/>
      <c r="D73" s="273" t="s">
        <v>154</v>
      </c>
      <c r="E73" s="309" t="s">
        <v>154</v>
      </c>
      <c r="F73" s="309" t="s">
        <v>154</v>
      </c>
      <c r="G73" s="309" t="s">
        <v>154</v>
      </c>
      <c r="H73" s="448" t="str">
        <f t="shared" si="10"/>
        <v>L=82mm</v>
      </c>
      <c r="I73" s="454"/>
      <c r="J73" s="272" t="str">
        <f>H73</f>
        <v>L=82mm</v>
      </c>
      <c r="K73" s="297" t="s">
        <v>685</v>
      </c>
      <c r="L73" s="298">
        <f>A50</f>
        <v>0</v>
      </c>
      <c r="M73" s="489"/>
      <c r="U73" s="303" t="b">
        <f>IF(L73=0,TRUE,FALSE)</f>
        <v>1</v>
      </c>
      <c r="V73" s="489">
        <f t="shared" si="5"/>
        <v>0</v>
      </c>
    </row>
    <row r="74" spans="2:23" x14ac:dyDescent="0.2">
      <c r="B74" s="448" t="str">
        <f>$H$120</f>
        <v>mit AL.</v>
      </c>
      <c r="C74" s="502"/>
      <c r="D74" s="273" t="s">
        <v>155</v>
      </c>
      <c r="E74" s="309" t="s">
        <v>155</v>
      </c>
      <c r="F74" s="309" t="s">
        <v>155</v>
      </c>
      <c r="G74" s="309" t="s">
        <v>155</v>
      </c>
      <c r="H74" s="448" t="str">
        <f t="shared" si="10"/>
        <v>L=112mm</v>
      </c>
      <c r="I74" s="454"/>
      <c r="J74" s="272" t="str">
        <f>H74</f>
        <v>L=112mm</v>
      </c>
      <c r="K74" s="297" t="s">
        <v>306</v>
      </c>
      <c r="L74" s="298" t="b">
        <f>IF(AND(I51=TRUE,'Pos. 4'!AP86=""),FALSE,TRUE)</f>
        <v>1</v>
      </c>
      <c r="M74" s="489"/>
      <c r="U74" s="303" t="b">
        <f>L74</f>
        <v>1</v>
      </c>
      <c r="V74" s="489">
        <f t="shared" si="5"/>
        <v>0</v>
      </c>
    </row>
    <row r="75" spans="2:23" x14ac:dyDescent="0.2">
      <c r="B75" s="448" t="str">
        <f>$H$121</f>
        <v>ohne AL.</v>
      </c>
      <c r="C75" s="502"/>
      <c r="D75" s="273" t="s">
        <v>899</v>
      </c>
      <c r="E75" s="309" t="s">
        <v>900</v>
      </c>
      <c r="F75" s="309" t="s">
        <v>901</v>
      </c>
      <c r="G75" s="310" t="s">
        <v>902</v>
      </c>
      <c r="H75" s="448" t="str">
        <f t="shared" si="10"/>
        <v>(VE à 100 Stk.)</v>
      </c>
      <c r="I75" s="454"/>
      <c r="K75" s="297" t="s">
        <v>686</v>
      </c>
      <c r="L75" s="298" t="b">
        <f>IF(AND(I22=TRUE,'Pos. 4'!AL39=""),FALSE,TRUE)</f>
        <v>1</v>
      </c>
      <c r="M75" s="489"/>
      <c r="U75" s="303" t="b">
        <f>L75</f>
        <v>1</v>
      </c>
      <c r="V75" s="489">
        <f t="shared" si="5"/>
        <v>0</v>
      </c>
    </row>
    <row r="76" spans="2:23" x14ac:dyDescent="0.2">
      <c r="B76" s="448"/>
      <c r="D76" s="273" t="s">
        <v>156</v>
      </c>
      <c r="E76" s="309" t="s">
        <v>240</v>
      </c>
      <c r="F76" s="309" t="s">
        <v>262</v>
      </c>
      <c r="G76" s="310" t="s">
        <v>275</v>
      </c>
      <c r="H76" s="448" t="str">
        <f t="shared" si="10"/>
        <v>Sockelbefestigung:</v>
      </c>
      <c r="I76" s="454"/>
      <c r="K76" s="297" t="s">
        <v>687</v>
      </c>
      <c r="L76" s="298" t="b">
        <f>IF(AND(I45=TRUE,'Pos. 4'!AI57=""),FALSE,TRUE)</f>
        <v>1</v>
      </c>
      <c r="M76" s="489"/>
      <c r="U76" s="303" t="b">
        <f>L76</f>
        <v>1</v>
      </c>
      <c r="V76" s="489">
        <f t="shared" si="5"/>
        <v>0</v>
      </c>
    </row>
    <row r="77" spans="2:23" ht="13.5" thickBot="1" x14ac:dyDescent="0.25">
      <c r="B77" s="448" t="str">
        <f>$H$122</f>
        <v>mit AL. (&gt;2.5m)</v>
      </c>
      <c r="D77" s="273" t="s">
        <v>157</v>
      </c>
      <c r="E77" s="309" t="s">
        <v>241</v>
      </c>
      <c r="F77" s="309" t="s">
        <v>263</v>
      </c>
      <c r="G77" s="310" t="s">
        <v>276</v>
      </c>
      <c r="H77" s="448" t="str">
        <f t="shared" si="10"/>
        <v>Verstellschrauben M10 x</v>
      </c>
      <c r="I77" s="454"/>
      <c r="J77" s="272" t="str">
        <f>H80</f>
        <v>ohne</v>
      </c>
      <c r="K77" s="300" t="s">
        <v>688</v>
      </c>
      <c r="L77" s="301" t="b">
        <f>IF(OR('Pos. 4'!AE84='Sprachen &amp; Rückgabewerte(4)'!H88,AND('Pos. 4'!AE84='Sprachen &amp; Rückgabewerte(4)'!H89,'Pos. 4'!AE85&lt;&gt;"")),TRUE,FALSE)</f>
        <v>0</v>
      </c>
      <c r="M77" s="508"/>
      <c r="U77" s="303" t="b">
        <f>L77</f>
        <v>0</v>
      </c>
      <c r="V77" s="489">
        <f t="shared" si="5"/>
        <v>1</v>
      </c>
    </row>
    <row r="78" spans="2:23" ht="13.5" thickBot="1" x14ac:dyDescent="0.25">
      <c r="B78" s="495" t="str">
        <f>$H$123</f>
        <v>ohne AL. (&lt;2.5m)</v>
      </c>
      <c r="D78" s="273" t="s">
        <v>158</v>
      </c>
      <c r="E78" s="309" t="s">
        <v>158</v>
      </c>
      <c r="F78" s="309" t="s">
        <v>158</v>
      </c>
      <c r="G78" s="309" t="s">
        <v>158</v>
      </c>
      <c r="H78" s="448" t="str">
        <f t="shared" si="10"/>
        <v>L=70mm</v>
      </c>
      <c r="I78" s="454"/>
      <c r="J78" s="272" t="str">
        <f>H78</f>
        <v>L=70mm</v>
      </c>
      <c r="K78" s="34" t="s">
        <v>405</v>
      </c>
      <c r="L78" s="370"/>
      <c r="M78" s="370"/>
      <c r="N78" s="370"/>
      <c r="O78" s="371"/>
      <c r="T78" s="308" t="s">
        <v>952</v>
      </c>
      <c r="U78" s="303" t="b">
        <f>IF('Pos. 4'!AZ9="",FALSE,TRUE)</f>
        <v>0</v>
      </c>
      <c r="V78" s="489">
        <f t="shared" si="5"/>
        <v>1</v>
      </c>
      <c r="W78" s="505">
        <f>SUM(V78:V79)</f>
        <v>2</v>
      </c>
    </row>
    <row r="79" spans="2:23" ht="13.5" thickBot="1" x14ac:dyDescent="0.25">
      <c r="D79" s="273" t="s">
        <v>159</v>
      </c>
      <c r="E79" s="309" t="s">
        <v>159</v>
      </c>
      <c r="F79" s="309" t="s">
        <v>159</v>
      </c>
      <c r="G79" s="309" t="s">
        <v>159</v>
      </c>
      <c r="H79" s="448" t="str">
        <f t="shared" si="10"/>
        <v>L=100mm</v>
      </c>
      <c r="I79" s="454"/>
      <c r="J79" s="272" t="str">
        <f>H79</f>
        <v>L=100mm</v>
      </c>
      <c r="K79" s="509" t="str">
        <f>H65</f>
        <v>mit Verschlussraster (Druckknopf)</v>
      </c>
      <c r="L79" s="510"/>
      <c r="M79" s="511"/>
      <c r="N79" s="512" t="str">
        <f>IF(OR(C62=TRUE,C63=TRUE),K81,K79)</f>
        <v>mit Verschlussraster (Druckknopf)</v>
      </c>
      <c r="O79" s="513"/>
      <c r="T79" s="308" t="s">
        <v>953</v>
      </c>
      <c r="U79" s="303" t="b">
        <f>IF('Pos. 4'!AZ10="",FALSE,TRUE)</f>
        <v>0</v>
      </c>
      <c r="V79" s="489">
        <f t="shared" si="5"/>
        <v>1</v>
      </c>
    </row>
    <row r="80" spans="2:23" ht="13.5" thickBot="1" x14ac:dyDescent="0.25">
      <c r="B80" s="57" t="s">
        <v>578</v>
      </c>
      <c r="D80" s="273" t="s">
        <v>160</v>
      </c>
      <c r="E80" s="309" t="s">
        <v>242</v>
      </c>
      <c r="F80" s="309" t="s">
        <v>264</v>
      </c>
      <c r="G80" s="310" t="s">
        <v>277</v>
      </c>
      <c r="H80" s="448" t="str">
        <f t="shared" si="10"/>
        <v>ohne</v>
      </c>
      <c r="I80" s="454"/>
      <c r="J80" s="272" t="str">
        <f>H80</f>
        <v>ohne</v>
      </c>
      <c r="K80" s="514" t="str">
        <f>H67</f>
        <v>ohne Verschlussraster</v>
      </c>
      <c r="L80" s="515"/>
      <c r="M80" s="466"/>
      <c r="N80" s="516" t="str">
        <f>IF(OR(C62=TRUE,C63=TRUE),K82,K80)</f>
        <v>ohne Verschlussraster</v>
      </c>
      <c r="O80" s="517"/>
      <c r="U80" s="303"/>
      <c r="V80" s="489"/>
    </row>
    <row r="81" spans="1:22" x14ac:dyDescent="0.2">
      <c r="A81" s="518">
        <v>280</v>
      </c>
      <c r="B81" s="519" t="str">
        <f>""</f>
        <v/>
      </c>
      <c r="C81" s="520">
        <v>214</v>
      </c>
      <c r="D81" s="273" t="s">
        <v>161</v>
      </c>
      <c r="E81" s="309" t="s">
        <v>243</v>
      </c>
      <c r="F81" s="309" t="s">
        <v>265</v>
      </c>
      <c r="G81" s="310" t="s">
        <v>278</v>
      </c>
      <c r="H81" s="448" t="str">
        <f t="shared" si="10"/>
        <v>inklusive</v>
      </c>
      <c r="I81" s="454"/>
      <c r="J81" s="272" t="str">
        <f>H81</f>
        <v>inklusive</v>
      </c>
      <c r="K81" s="514" t="str">
        <f>H66</f>
        <v>mit Verschlussraster (Zylinder)</v>
      </c>
      <c r="L81" s="515"/>
      <c r="M81" s="466"/>
      <c r="N81" s="516"/>
      <c r="O81" s="517"/>
      <c r="U81" s="303"/>
      <c r="V81" s="489"/>
    </row>
    <row r="82" spans="1:22" ht="13.5" thickBot="1" x14ac:dyDescent="0.25">
      <c r="A82" s="521">
        <v>254</v>
      </c>
      <c r="B82" s="522">
        <v>85</v>
      </c>
      <c r="C82" s="523">
        <f>IF('Pos. 4'!$T$114='Sprachen &amp; Rückgabewerte(4)'!$J$146,130,144)</f>
        <v>144</v>
      </c>
      <c r="D82" s="273" t="s">
        <v>244</v>
      </c>
      <c r="E82" s="309" t="s">
        <v>245</v>
      </c>
      <c r="F82" s="309" t="s">
        <v>266</v>
      </c>
      <c r="G82" s="310" t="s">
        <v>245</v>
      </c>
      <c r="H82" s="448" t="str">
        <f t="shared" si="10"/>
        <v>Sockel 75</v>
      </c>
      <c r="I82" s="454"/>
      <c r="K82" s="524" t="str">
        <f>H161</f>
        <v>ohne Verschlussraster (Zylinder)</v>
      </c>
      <c r="L82" s="525"/>
      <c r="M82" s="526"/>
      <c r="N82" s="525"/>
      <c r="O82" s="527"/>
      <c r="U82" s="303"/>
      <c r="V82" s="489"/>
    </row>
    <row r="83" spans="1:22" ht="14.25" thickTop="1" thickBot="1" x14ac:dyDescent="0.25">
      <c r="A83" s="521">
        <v>254</v>
      </c>
      <c r="B83" s="522">
        <v>105</v>
      </c>
      <c r="C83" s="523">
        <f>IF('Pos. 4'!$T$114='Sprachen &amp; Rückgabewerte(4)'!$J$146,158,172)</f>
        <v>172</v>
      </c>
      <c r="D83" s="273" t="s">
        <v>160</v>
      </c>
      <c r="E83" s="309" t="s">
        <v>242</v>
      </c>
      <c r="F83" s="309" t="s">
        <v>264</v>
      </c>
      <c r="G83" s="310" t="s">
        <v>277</v>
      </c>
      <c r="H83" s="448" t="str">
        <f t="shared" si="10"/>
        <v>ohne</v>
      </c>
      <c r="I83" s="454"/>
      <c r="S83" s="272" t="s">
        <v>951</v>
      </c>
      <c r="T83" s="307" t="s">
        <v>689</v>
      </c>
      <c r="U83" s="304" t="b">
        <f>IF(V83&gt;0,FALSE,TRUE)</f>
        <v>0</v>
      </c>
      <c r="V83" s="508">
        <f>SUM(V41:V82)</f>
        <v>20</v>
      </c>
    </row>
    <row r="84" spans="1:22" ht="13.5" thickBot="1" x14ac:dyDescent="0.25">
      <c r="A84" s="528">
        <v>228</v>
      </c>
      <c r="B84" s="529">
        <v>110</v>
      </c>
      <c r="C84" s="530">
        <f>IF('Pos. 4'!$T$114='Sprachen &amp; Rückgabewerte(4)'!$J$146,186,200)</f>
        <v>200</v>
      </c>
      <c r="D84" s="273" t="s">
        <v>162</v>
      </c>
      <c r="E84" s="309" t="s">
        <v>246</v>
      </c>
      <c r="F84" s="309" t="s">
        <v>267</v>
      </c>
      <c r="G84" s="310" t="s">
        <v>279</v>
      </c>
      <c r="H84" s="448" t="str">
        <f t="shared" si="10"/>
        <v>Rahmenzusammenbau:</v>
      </c>
      <c r="I84" s="454"/>
    </row>
    <row r="85" spans="1:22" x14ac:dyDescent="0.2">
      <c r="D85" s="273" t="s">
        <v>163</v>
      </c>
      <c r="E85" s="309" t="s">
        <v>247</v>
      </c>
      <c r="F85" s="309" t="s">
        <v>268</v>
      </c>
      <c r="G85" s="310" t="s">
        <v>280</v>
      </c>
      <c r="H85" s="448" t="str">
        <f t="shared" si="10"/>
        <v>Gehrungsstoss (A)</v>
      </c>
      <c r="I85" s="454"/>
      <c r="J85" s="272" t="str">
        <f>H85</f>
        <v>Gehrungsstoss (A)</v>
      </c>
      <c r="L85" s="548" t="s">
        <v>632</v>
      </c>
      <c r="M85" s="549"/>
    </row>
    <row r="86" spans="1:22" ht="13.5" thickBot="1" x14ac:dyDescent="0.25">
      <c r="D86" s="273" t="s">
        <v>301</v>
      </c>
      <c r="E86" s="309" t="s">
        <v>248</v>
      </c>
      <c r="F86" s="309" t="s">
        <v>269</v>
      </c>
      <c r="G86" s="310" t="s">
        <v>467</v>
      </c>
      <c r="H86" s="448" t="str">
        <f t="shared" si="10"/>
        <v>Montagestoss (B)</v>
      </c>
      <c r="I86" s="454"/>
      <c r="J86" s="272" t="str">
        <f>H86</f>
        <v>Montagestoss (B)</v>
      </c>
      <c r="L86" s="531"/>
      <c r="M86" s="325"/>
    </row>
    <row r="87" spans="1:22" x14ac:dyDescent="0.2">
      <c r="B87" s="546" t="s">
        <v>608</v>
      </c>
      <c r="C87" s="547"/>
      <c r="D87" s="273" t="s">
        <v>164</v>
      </c>
      <c r="E87" s="309" t="s">
        <v>249</v>
      </c>
      <c r="F87" s="309" t="s">
        <v>309</v>
      </c>
      <c r="G87" s="310" t="s">
        <v>281</v>
      </c>
      <c r="H87" s="448" t="str">
        <f t="shared" si="10"/>
        <v>Logistik:</v>
      </c>
      <c r="I87" s="454"/>
      <c r="L87" s="532">
        <v>1</v>
      </c>
      <c r="M87" s="310" t="str">
        <f>CONCATENATE($H$154," ",L87)</f>
        <v>Kalenderwoche 1</v>
      </c>
    </row>
    <row r="88" spans="1:22" x14ac:dyDescent="0.2">
      <c r="B88" s="317" t="s">
        <v>609</v>
      </c>
      <c r="C88" s="363">
        <f>IF(AND(I50=TRUE,'Pos. 4'!T104&lt;&gt;""),0,1)</f>
        <v>1</v>
      </c>
      <c r="D88" s="273" t="s">
        <v>302</v>
      </c>
      <c r="E88" s="309" t="s">
        <v>693</v>
      </c>
      <c r="F88" s="309" t="s">
        <v>303</v>
      </c>
      <c r="G88" s="310" t="s">
        <v>482</v>
      </c>
      <c r="H88" s="448" t="str">
        <f t="shared" si="10"/>
        <v>ohne Glas-Sortierung</v>
      </c>
      <c r="I88" s="454"/>
      <c r="J88" s="272" t="str">
        <f>H88</f>
        <v>ohne Glas-Sortierung</v>
      </c>
      <c r="L88" s="532">
        <v>2</v>
      </c>
      <c r="M88" s="310" t="str">
        <f t="shared" ref="M88:M138" si="11">CONCATENATE($H$154," ",L88)</f>
        <v>Kalenderwoche 2</v>
      </c>
    </row>
    <row r="89" spans="1:22" x14ac:dyDescent="0.2">
      <c r="B89" s="273" t="s">
        <v>610</v>
      </c>
      <c r="C89" s="467">
        <f>IF(AND(I50=TRUE,'Pos. 4'!T106&lt;&gt;""),0,1)</f>
        <v>1</v>
      </c>
      <c r="D89" s="273" t="s">
        <v>165</v>
      </c>
      <c r="E89" s="309" t="s">
        <v>304</v>
      </c>
      <c r="F89" s="309" t="s">
        <v>305</v>
      </c>
      <c r="G89" s="310" t="s">
        <v>483</v>
      </c>
      <c r="H89" s="448" t="str">
        <f>IF($B$3=$A$3,D89,IF($B$3=$A$4,E89,IF($B$3=$A$5,F89,IF($B$3=$A$6,$G$89,""))))</f>
        <v>nach Stockwerk:</v>
      </c>
      <c r="I89" s="454"/>
      <c r="J89" s="272" t="str">
        <f>H89</f>
        <v>nach Stockwerk:</v>
      </c>
      <c r="L89" s="532">
        <v>3</v>
      </c>
      <c r="M89" s="310" t="str">
        <f t="shared" si="11"/>
        <v>Kalenderwoche 3</v>
      </c>
    </row>
    <row r="90" spans="1:22" x14ac:dyDescent="0.2">
      <c r="B90" s="273" t="s">
        <v>611</v>
      </c>
      <c r="C90" s="467">
        <f>IF(AND(I50=TRUE,'Pos. 4'!T108&lt;&gt;""),0,1)</f>
        <v>1</v>
      </c>
      <c r="D90" s="273" t="s">
        <v>251</v>
      </c>
      <c r="E90" s="309" t="s">
        <v>250</v>
      </c>
      <c r="F90" s="309" t="s">
        <v>270</v>
      </c>
      <c r="G90" s="310" t="s">
        <v>337</v>
      </c>
      <c r="H90" s="448" t="str">
        <f>IF($B$3=$A$3,D90,IF($B$3=$A$4,E90,IF($B$3=$A$5,F90,IF($B$3=$A$6,G90,""))))</f>
        <v>Wunschtermin:</v>
      </c>
      <c r="I90" s="454"/>
      <c r="L90" s="532">
        <v>4</v>
      </c>
      <c r="M90" s="310" t="str">
        <f t="shared" si="11"/>
        <v>Kalenderwoche 4</v>
      </c>
    </row>
    <row r="91" spans="1:22" x14ac:dyDescent="0.2">
      <c r="B91" s="273" t="s">
        <v>612</v>
      </c>
      <c r="C91" s="467">
        <f>IF(AND(I50=TRUE,'Pos. 4'!T110&lt;&gt;""),0,1)</f>
        <v>1</v>
      </c>
      <c r="D91" s="273" t="s">
        <v>354</v>
      </c>
      <c r="E91" s="309" t="s">
        <v>252</v>
      </c>
      <c r="F91" s="309" t="s">
        <v>355</v>
      </c>
      <c r="G91" s="310" t="s">
        <v>356</v>
      </c>
      <c r="H91" s="448" t="str">
        <f t="shared" ref="H91:H111" si="12">IF($B$3=$A$3,D91,IF($B$3=$A$4,E91,IF($B$3=$A$5,F91,IF($B$3=$A$6,G91,""))))</f>
        <v>Farbe Laufschiene + Schraubenarretierungen:</v>
      </c>
      <c r="I91" s="454"/>
      <c r="L91" s="532">
        <v>5</v>
      </c>
      <c r="M91" s="310" t="str">
        <f t="shared" si="11"/>
        <v>Kalenderwoche 5</v>
      </c>
    </row>
    <row r="92" spans="1:22" x14ac:dyDescent="0.2">
      <c r="B92" s="273" t="s">
        <v>613</v>
      </c>
      <c r="C92" s="467">
        <f>IF(AND(I50=TRUE,'Pos. 4'!T112&lt;&gt;""),0,1)</f>
        <v>1</v>
      </c>
      <c r="D92" s="273" t="s">
        <v>399</v>
      </c>
      <c r="E92" s="309" t="s">
        <v>400</v>
      </c>
      <c r="F92" s="309" t="s">
        <v>401</v>
      </c>
      <c r="G92" s="310" t="s">
        <v>402</v>
      </c>
      <c r="H92" s="448" t="str">
        <f t="shared" si="12"/>
        <v>Silber</v>
      </c>
      <c r="I92" s="454"/>
      <c r="J92" s="272" t="str">
        <f>H92</f>
        <v>Silber</v>
      </c>
      <c r="L92" s="532">
        <v>6</v>
      </c>
      <c r="M92" s="310" t="str">
        <f t="shared" si="11"/>
        <v>Kalenderwoche 6</v>
      </c>
    </row>
    <row r="93" spans="1:22" x14ac:dyDescent="0.2">
      <c r="B93" s="273" t="s">
        <v>614</v>
      </c>
      <c r="C93" s="467">
        <f>IF(AND(I50=TRUE,'Pos. 4'!T114&lt;&gt;""),0,1)</f>
        <v>1</v>
      </c>
      <c r="D93" s="273" t="s">
        <v>166</v>
      </c>
      <c r="E93" s="309" t="s">
        <v>253</v>
      </c>
      <c r="F93" s="309" t="s">
        <v>271</v>
      </c>
      <c r="G93" s="310" t="s">
        <v>282</v>
      </c>
      <c r="H93" s="448" t="str">
        <f t="shared" si="12"/>
        <v>Schwarz</v>
      </c>
      <c r="I93" s="454"/>
      <c r="J93" s="272" t="str">
        <f>H93</f>
        <v>Schwarz</v>
      </c>
      <c r="L93" s="532">
        <v>7</v>
      </c>
      <c r="M93" s="310" t="str">
        <f t="shared" si="11"/>
        <v>Kalenderwoche 7</v>
      </c>
      <c r="N93" s="533"/>
    </row>
    <row r="94" spans="1:22" x14ac:dyDescent="0.2">
      <c r="B94" s="273"/>
      <c r="C94" s="310"/>
      <c r="D94" s="273" t="s">
        <v>348</v>
      </c>
      <c r="E94" s="309" t="s">
        <v>552</v>
      </c>
      <c r="F94" s="309" t="s">
        <v>346</v>
      </c>
      <c r="G94" s="310" t="s">
        <v>349</v>
      </c>
      <c r="H94" s="448" t="str">
        <f t="shared" si="12"/>
        <v>Druckausgleichsventile :</v>
      </c>
      <c r="I94" s="454"/>
      <c r="L94" s="532">
        <v>8</v>
      </c>
      <c r="M94" s="310" t="str">
        <f t="shared" si="11"/>
        <v>Kalenderwoche 8</v>
      </c>
    </row>
    <row r="95" spans="1:22" ht="13.5" thickBot="1" x14ac:dyDescent="0.25">
      <c r="B95" s="218" t="s">
        <v>615</v>
      </c>
      <c r="C95" s="219">
        <f>SUM(C88:C93)</f>
        <v>6</v>
      </c>
      <c r="D95" s="273" t="s">
        <v>167</v>
      </c>
      <c r="E95" s="309" t="s">
        <v>172</v>
      </c>
      <c r="F95" s="309" t="s">
        <v>292</v>
      </c>
      <c r="G95" s="310" t="s">
        <v>283</v>
      </c>
      <c r="H95" s="448" t="str">
        <f t="shared" si="12"/>
        <v>Ja</v>
      </c>
      <c r="I95" s="454"/>
      <c r="J95" s="272" t="str">
        <f>H95</f>
        <v>Ja</v>
      </c>
      <c r="L95" s="532">
        <v>9</v>
      </c>
      <c r="M95" s="310" t="str">
        <f t="shared" si="11"/>
        <v>Kalenderwoche 9</v>
      </c>
    </row>
    <row r="96" spans="1:22" x14ac:dyDescent="0.2">
      <c r="D96" s="273" t="s">
        <v>168</v>
      </c>
      <c r="E96" s="309" t="s">
        <v>173</v>
      </c>
      <c r="F96" s="309" t="s">
        <v>822</v>
      </c>
      <c r="G96" s="310" t="s">
        <v>173</v>
      </c>
      <c r="H96" s="448" t="str">
        <f t="shared" si="12"/>
        <v>Nein</v>
      </c>
      <c r="I96" s="454"/>
      <c r="J96" s="272" t="str">
        <f>H96</f>
        <v>Nein</v>
      </c>
      <c r="L96" s="532">
        <v>10</v>
      </c>
      <c r="M96" s="310" t="str">
        <f t="shared" si="11"/>
        <v>Kalenderwoche 10</v>
      </c>
    </row>
    <row r="97" spans="4:14" x14ac:dyDescent="0.2">
      <c r="D97" s="273" t="s">
        <v>169</v>
      </c>
      <c r="E97" s="309" t="s">
        <v>174</v>
      </c>
      <c r="F97" s="309" t="s">
        <v>293</v>
      </c>
      <c r="G97" s="310" t="s">
        <v>284</v>
      </c>
      <c r="H97" s="448" t="str">
        <f t="shared" si="12"/>
        <v>Digitale Unterschrift:</v>
      </c>
      <c r="I97" s="454"/>
      <c r="L97" s="532">
        <v>11</v>
      </c>
      <c r="M97" s="310" t="str">
        <f t="shared" si="11"/>
        <v>Kalenderwoche 11</v>
      </c>
    </row>
    <row r="98" spans="4:14" x14ac:dyDescent="0.2">
      <c r="D98" s="273" t="s">
        <v>171</v>
      </c>
      <c r="E98" s="309" t="s">
        <v>254</v>
      </c>
      <c r="F98" s="309" t="s">
        <v>294</v>
      </c>
      <c r="G98" s="310" t="s">
        <v>338</v>
      </c>
      <c r="H98" s="448" t="str">
        <f t="shared" si="12"/>
        <v>Bestellung an:</v>
      </c>
      <c r="I98" s="454"/>
      <c r="L98" s="532">
        <v>12</v>
      </c>
      <c r="M98" s="310" t="str">
        <f t="shared" si="11"/>
        <v>Kalenderwoche 12</v>
      </c>
    </row>
    <row r="99" spans="4:14" x14ac:dyDescent="0.2">
      <c r="D99" s="273" t="s">
        <v>170</v>
      </c>
      <c r="E99" s="309" t="s">
        <v>170</v>
      </c>
      <c r="F99" s="309" t="s">
        <v>170</v>
      </c>
      <c r="G99" s="310" t="s">
        <v>170</v>
      </c>
      <c r="H99" s="448" t="str">
        <f t="shared" si="12"/>
        <v>orders@sky-frame.ch</v>
      </c>
      <c r="I99" s="454"/>
      <c r="L99" s="532">
        <v>13</v>
      </c>
      <c r="M99" s="310" t="str">
        <f t="shared" si="11"/>
        <v>Kalenderwoche 13</v>
      </c>
    </row>
    <row r="100" spans="4:14" x14ac:dyDescent="0.2">
      <c r="D100" s="273"/>
      <c r="E100" s="309"/>
      <c r="F100" s="309"/>
      <c r="G100" s="310"/>
      <c r="H100" s="448">
        <f t="shared" si="12"/>
        <v>0</v>
      </c>
      <c r="I100" s="454"/>
      <c r="L100" s="532">
        <v>14</v>
      </c>
      <c r="M100" s="310" t="str">
        <f t="shared" si="11"/>
        <v>Kalenderwoche 14</v>
      </c>
    </row>
    <row r="101" spans="4:14" x14ac:dyDescent="0.2">
      <c r="D101" s="273"/>
      <c r="E101" s="309"/>
      <c r="F101" s="309"/>
      <c r="G101" s="310"/>
      <c r="H101" s="448">
        <f t="shared" si="12"/>
        <v>0</v>
      </c>
      <c r="I101" s="454"/>
      <c r="L101" s="532">
        <v>15</v>
      </c>
      <c r="M101" s="310" t="str">
        <f t="shared" si="11"/>
        <v>Kalenderwoche 15</v>
      </c>
    </row>
    <row r="102" spans="4:14" ht="51" x14ac:dyDescent="0.2">
      <c r="D102" s="336" t="s">
        <v>470</v>
      </c>
      <c r="E102" s="497" t="s">
        <v>255</v>
      </c>
      <c r="F102" s="497" t="s">
        <v>674</v>
      </c>
      <c r="G102" s="498" t="s">
        <v>395</v>
      </c>
      <c r="H102" s="534" t="str">
        <f t="shared" si="12"/>
        <v>Diese Bestellung ist verbindlich und muss komplett ausgefüllt werden. Änderungen werden als Mehraufwand verrechnet.</v>
      </c>
      <c r="I102" s="454"/>
      <c r="L102" s="532">
        <v>16</v>
      </c>
      <c r="M102" s="310" t="str">
        <f t="shared" si="11"/>
        <v>Kalenderwoche 16</v>
      </c>
    </row>
    <row r="103" spans="4:14" ht="12.75" customHeight="1" x14ac:dyDescent="0.2">
      <c r="D103" s="336"/>
      <c r="E103" s="309"/>
      <c r="F103" s="309"/>
      <c r="G103" s="310"/>
      <c r="H103" s="448"/>
      <c r="I103" s="454"/>
      <c r="L103" s="532">
        <v>17</v>
      </c>
      <c r="M103" s="310" t="str">
        <f t="shared" si="11"/>
        <v>Kalenderwoche 17</v>
      </c>
      <c r="N103" s="533"/>
    </row>
    <row r="104" spans="4:14" ht="12.75" customHeight="1" x14ac:dyDescent="0.2">
      <c r="D104" s="273" t="s">
        <v>209</v>
      </c>
      <c r="E104" s="309" t="s">
        <v>681</v>
      </c>
      <c r="F104" s="309" t="s">
        <v>295</v>
      </c>
      <c r="G104" s="310" t="s">
        <v>339</v>
      </c>
      <c r="H104" s="448" t="str">
        <f t="shared" si="12"/>
        <v>A-Ecke 90°</v>
      </c>
      <c r="I104" s="454"/>
      <c r="L104" s="532">
        <v>18</v>
      </c>
      <c r="M104" s="310" t="str">
        <f t="shared" si="11"/>
        <v>Kalenderwoche 18</v>
      </c>
    </row>
    <row r="105" spans="4:14" ht="12.75" customHeight="1" x14ac:dyDescent="0.2">
      <c r="D105" s="273" t="s">
        <v>210</v>
      </c>
      <c r="E105" s="309" t="s">
        <v>680</v>
      </c>
      <c r="F105" s="309" t="s">
        <v>423</v>
      </c>
      <c r="G105" s="310" t="s">
        <v>340</v>
      </c>
      <c r="H105" s="448" t="str">
        <f t="shared" si="12"/>
        <v>I-Ecke 90°</v>
      </c>
      <c r="I105" s="454"/>
      <c r="L105" s="532">
        <v>19</v>
      </c>
      <c r="M105" s="310" t="str">
        <f t="shared" si="11"/>
        <v>Kalenderwoche 19</v>
      </c>
    </row>
    <row r="106" spans="4:14" ht="12.75" customHeight="1" x14ac:dyDescent="0.2">
      <c r="D106" s="273" t="s">
        <v>212</v>
      </c>
      <c r="E106" s="309" t="s">
        <v>679</v>
      </c>
      <c r="F106" s="309" t="s">
        <v>296</v>
      </c>
      <c r="G106" s="310" t="s">
        <v>341</v>
      </c>
      <c r="H106" s="448" t="str">
        <f t="shared" si="12"/>
        <v>A-Ecke≠90°</v>
      </c>
      <c r="I106" s="454"/>
      <c r="L106" s="532">
        <v>20</v>
      </c>
      <c r="M106" s="310" t="str">
        <f t="shared" si="11"/>
        <v>Kalenderwoche 20</v>
      </c>
    </row>
    <row r="107" spans="4:14" ht="12.75" customHeight="1" x14ac:dyDescent="0.2">
      <c r="D107" s="273" t="s">
        <v>213</v>
      </c>
      <c r="E107" s="309" t="s">
        <v>678</v>
      </c>
      <c r="F107" s="309" t="s">
        <v>424</v>
      </c>
      <c r="G107" s="310" t="s">
        <v>342</v>
      </c>
      <c r="H107" s="448" t="str">
        <f t="shared" si="12"/>
        <v>I-Ecke≠90°</v>
      </c>
      <c r="I107" s="454"/>
      <c r="L107" s="532">
        <v>21</v>
      </c>
      <c r="M107" s="310" t="str">
        <f t="shared" si="11"/>
        <v>Kalenderwoche 21</v>
      </c>
    </row>
    <row r="108" spans="4:14" ht="12.75" customHeight="1" x14ac:dyDescent="0.2">
      <c r="D108" s="273" t="s">
        <v>410</v>
      </c>
      <c r="E108" s="309" t="s">
        <v>411</v>
      </c>
      <c r="F108" s="309" t="s">
        <v>412</v>
      </c>
      <c r="G108" s="310" t="s">
        <v>413</v>
      </c>
      <c r="H108" s="448" t="str">
        <f t="shared" si="12"/>
        <v>Wert:</v>
      </c>
      <c r="I108" s="454"/>
      <c r="L108" s="532">
        <v>22</v>
      </c>
      <c r="M108" s="310" t="str">
        <f t="shared" si="11"/>
        <v>Kalenderwoche 22</v>
      </c>
    </row>
    <row r="109" spans="4:14" ht="12.75" customHeight="1" x14ac:dyDescent="0.2">
      <c r="D109" s="273" t="s">
        <v>257</v>
      </c>
      <c r="E109" s="309" t="s">
        <v>256</v>
      </c>
      <c r="F109" s="309" t="s">
        <v>297</v>
      </c>
      <c r="G109" s="309" t="s">
        <v>343</v>
      </c>
      <c r="H109" s="448" t="str">
        <f t="shared" si="12"/>
        <v>Bitte auswählen:</v>
      </c>
      <c r="I109" s="454"/>
      <c r="L109" s="532">
        <v>23</v>
      </c>
      <c r="M109" s="310" t="str">
        <f t="shared" si="11"/>
        <v>Kalenderwoche 23</v>
      </c>
    </row>
    <row r="110" spans="4:14" ht="12.75" customHeight="1" x14ac:dyDescent="0.2">
      <c r="D110" s="273" t="s">
        <v>317</v>
      </c>
      <c r="E110" s="309" t="s">
        <v>317</v>
      </c>
      <c r="F110" s="309" t="s">
        <v>317</v>
      </c>
      <c r="G110" s="309" t="s">
        <v>317</v>
      </c>
      <c r="H110" s="448" t="str">
        <f t="shared" si="12"/>
        <v>KABA (22)</v>
      </c>
      <c r="I110" s="454" t="b">
        <v>0</v>
      </c>
      <c r="L110" s="532">
        <v>24</v>
      </c>
      <c r="M110" s="310" t="str">
        <f t="shared" si="11"/>
        <v>Kalenderwoche 24</v>
      </c>
    </row>
    <row r="111" spans="4:14" ht="12.75" customHeight="1" x14ac:dyDescent="0.2">
      <c r="D111" s="273" t="s">
        <v>318</v>
      </c>
      <c r="E111" s="309" t="s">
        <v>318</v>
      </c>
      <c r="F111" s="309" t="s">
        <v>318</v>
      </c>
      <c r="G111" s="310" t="s">
        <v>318</v>
      </c>
      <c r="H111" s="448" t="str">
        <f t="shared" si="12"/>
        <v>PZ / Euro (17)</v>
      </c>
      <c r="I111" s="454" t="b">
        <v>0</v>
      </c>
      <c r="L111" s="532">
        <v>25</v>
      </c>
      <c r="M111" s="310" t="str">
        <f t="shared" si="11"/>
        <v>Kalenderwoche 25</v>
      </c>
    </row>
    <row r="112" spans="4:14" x14ac:dyDescent="0.2">
      <c r="D112" s="273" t="s">
        <v>357</v>
      </c>
      <c r="E112" s="309" t="s">
        <v>358</v>
      </c>
      <c r="F112" s="309" t="s">
        <v>359</v>
      </c>
      <c r="G112" s="310" t="s">
        <v>360</v>
      </c>
      <c r="H112" s="448" t="str">
        <f>IF($B$3=$A$3,D112,IF($B$3=$A$4,E112,IF($B$3=$A$5,F112,IF($B$3=$A$6,G112,""))))</f>
        <v>mit CFK</v>
      </c>
      <c r="I112" s="454"/>
      <c r="L112" s="532">
        <v>26</v>
      </c>
      <c r="M112" s="310" t="str">
        <f t="shared" si="11"/>
        <v>Kalenderwoche 26</v>
      </c>
    </row>
    <row r="113" spans="4:14" x14ac:dyDescent="0.2">
      <c r="D113" s="273" t="s">
        <v>361</v>
      </c>
      <c r="E113" s="309" t="s">
        <v>362</v>
      </c>
      <c r="F113" s="309" t="s">
        <v>363</v>
      </c>
      <c r="G113" s="310" t="s">
        <v>364</v>
      </c>
      <c r="H113" s="448" t="str">
        <f>IF($B$3=$A$3,D113,IF($B$3=$A$4,E113,IF($B$3=$A$5,F113,IF($B$3=$A$6,G113,""))))</f>
        <v>ohne CFK</v>
      </c>
      <c r="I113" s="454"/>
      <c r="L113" s="532">
        <v>27</v>
      </c>
      <c r="M113" s="310" t="str">
        <f t="shared" si="11"/>
        <v>Kalenderwoche 27</v>
      </c>
      <c r="N113" s="533"/>
    </row>
    <row r="114" spans="4:14" x14ac:dyDescent="0.2">
      <c r="D114" s="273" t="s">
        <v>365</v>
      </c>
      <c r="E114" s="309" t="s">
        <v>367</v>
      </c>
      <c r="F114" s="309" t="s">
        <v>369</v>
      </c>
      <c r="G114" s="310" t="s">
        <v>403</v>
      </c>
      <c r="H114" s="448" t="str">
        <f>IF($B$3=$A$3,D114,IF($B$3=$A$4,E114,IF($B$3=$A$5,F114,IF($B$3=$A$6,G114,""))))</f>
        <v>mit Stahl</v>
      </c>
      <c r="I114" s="454"/>
      <c r="L114" s="532">
        <v>28</v>
      </c>
      <c r="M114" s="310" t="str">
        <f t="shared" si="11"/>
        <v>Kalenderwoche 28</v>
      </c>
    </row>
    <row r="115" spans="4:14" x14ac:dyDescent="0.2">
      <c r="D115" s="273" t="s">
        <v>366</v>
      </c>
      <c r="E115" s="309" t="s">
        <v>368</v>
      </c>
      <c r="F115" s="309" t="s">
        <v>370</v>
      </c>
      <c r="G115" s="310" t="s">
        <v>404</v>
      </c>
      <c r="H115" s="448" t="str">
        <f>IF($B$3=$A$3,D115,IF($B$3=$A$4,E115,IF($B$3=$A$5,F115,IF($B$3=$A$6,G115,""))))</f>
        <v>ohne Stahl</v>
      </c>
      <c r="I115" s="454"/>
      <c r="L115" s="532">
        <v>29</v>
      </c>
      <c r="M115" s="310" t="str">
        <f t="shared" si="11"/>
        <v>Kalenderwoche 29</v>
      </c>
    </row>
    <row r="116" spans="4:14" x14ac:dyDescent="0.2">
      <c r="D116" s="273" t="s">
        <v>371</v>
      </c>
      <c r="E116" s="309" t="s">
        <v>374</v>
      </c>
      <c r="F116" s="309" t="s">
        <v>376</v>
      </c>
      <c r="G116" s="310" t="s">
        <v>379</v>
      </c>
      <c r="H116" s="448" t="str">
        <f>IF($B$3=$A$3,D116,IF($B$3=$A$4,E116,IF($B$3=$A$5,F116,IF($B$3=$A$6,G116,""))))</f>
        <v>Ganzglas-Ecke</v>
      </c>
      <c r="I116" s="454"/>
      <c r="L116" s="532">
        <v>30</v>
      </c>
      <c r="M116" s="310" t="str">
        <f t="shared" si="11"/>
        <v>Kalenderwoche 30</v>
      </c>
    </row>
    <row r="117" spans="4:14" x14ac:dyDescent="0.2">
      <c r="D117" s="273" t="s">
        <v>372</v>
      </c>
      <c r="E117" s="309" t="s">
        <v>677</v>
      </c>
      <c r="F117" s="309" t="s">
        <v>377</v>
      </c>
      <c r="G117" s="310" t="s">
        <v>380</v>
      </c>
      <c r="H117" s="448" t="str">
        <f t="shared" ref="H117:H180" si="13">IF($B$3=$A$3,D117,IF($B$3=$A$4,E117,IF($B$3=$A$5,F117,IF($B$3=$A$6,G117,""))))</f>
        <v>Ecke RC2 (WK2)</v>
      </c>
      <c r="I117" s="454"/>
      <c r="L117" s="532">
        <v>31</v>
      </c>
      <c r="M117" s="310" t="str">
        <f t="shared" si="11"/>
        <v>Kalenderwoche 31</v>
      </c>
    </row>
    <row r="118" spans="4:14" x14ac:dyDescent="0.2">
      <c r="D118" s="273" t="s">
        <v>373</v>
      </c>
      <c r="E118" s="309" t="s">
        <v>375</v>
      </c>
      <c r="F118" s="309" t="s">
        <v>378</v>
      </c>
      <c r="G118" s="310" t="s">
        <v>381</v>
      </c>
      <c r="H118" s="448" t="str">
        <f t="shared" si="13"/>
        <v>Standard (RC2 in Anlehnung)</v>
      </c>
      <c r="I118" s="454"/>
      <c r="L118" s="532">
        <v>32</v>
      </c>
      <c r="M118" s="310" t="str">
        <f t="shared" si="11"/>
        <v>Kalenderwoche 32</v>
      </c>
    </row>
    <row r="119" spans="4:14" x14ac:dyDescent="0.2">
      <c r="D119" s="273" t="s">
        <v>994</v>
      </c>
      <c r="E119" s="309" t="s">
        <v>995</v>
      </c>
      <c r="F119" s="309" t="s">
        <v>996</v>
      </c>
      <c r="G119" s="310" t="s">
        <v>997</v>
      </c>
      <c r="H119" s="448" t="str">
        <f t="shared" si="13"/>
        <v>RC2 mit Blech</v>
      </c>
      <c r="I119" s="454"/>
      <c r="L119" s="532">
        <v>33</v>
      </c>
      <c r="M119" s="310" t="str">
        <f t="shared" si="11"/>
        <v>Kalenderwoche 33</v>
      </c>
    </row>
    <row r="120" spans="4:14" x14ac:dyDescent="0.2">
      <c r="D120" s="273" t="s">
        <v>382</v>
      </c>
      <c r="E120" s="309" t="s">
        <v>387</v>
      </c>
      <c r="F120" s="309" t="s">
        <v>388</v>
      </c>
      <c r="G120" s="310" t="s">
        <v>391</v>
      </c>
      <c r="H120" s="448" t="str">
        <f t="shared" si="13"/>
        <v>mit AL.</v>
      </c>
      <c r="I120" s="454"/>
      <c r="L120" s="532">
        <v>34</v>
      </c>
      <c r="M120" s="310" t="str">
        <f t="shared" si="11"/>
        <v>Kalenderwoche 34</v>
      </c>
    </row>
    <row r="121" spans="4:14" x14ac:dyDescent="0.2">
      <c r="D121" s="273" t="s">
        <v>383</v>
      </c>
      <c r="E121" s="309" t="s">
        <v>386</v>
      </c>
      <c r="F121" s="309" t="s">
        <v>389</v>
      </c>
      <c r="G121" s="310" t="s">
        <v>392</v>
      </c>
      <c r="H121" s="448" t="str">
        <f t="shared" si="13"/>
        <v>ohne AL.</v>
      </c>
      <c r="I121" s="454"/>
      <c r="L121" s="532">
        <v>35</v>
      </c>
      <c r="M121" s="310" t="str">
        <f t="shared" si="11"/>
        <v>Kalenderwoche 35</v>
      </c>
    </row>
    <row r="122" spans="4:14" x14ac:dyDescent="0.2">
      <c r="D122" s="273" t="s">
        <v>384</v>
      </c>
      <c r="E122" s="309" t="s">
        <v>385</v>
      </c>
      <c r="F122" s="309" t="s">
        <v>390</v>
      </c>
      <c r="G122" s="310" t="s">
        <v>393</v>
      </c>
      <c r="H122" s="448" t="str">
        <f t="shared" si="13"/>
        <v>mit AL. (&gt;2.5m)</v>
      </c>
      <c r="I122" s="454"/>
      <c r="L122" s="532">
        <v>36</v>
      </c>
      <c r="M122" s="310" t="str">
        <f t="shared" si="11"/>
        <v>Kalenderwoche 36</v>
      </c>
    </row>
    <row r="123" spans="4:14" x14ac:dyDescent="0.2">
      <c r="D123" s="273" t="s">
        <v>651</v>
      </c>
      <c r="E123" s="309" t="s">
        <v>652</v>
      </c>
      <c r="F123" s="309" t="s">
        <v>653</v>
      </c>
      <c r="G123" s="310" t="s">
        <v>669</v>
      </c>
      <c r="H123" s="448" t="str">
        <f t="shared" si="13"/>
        <v>ohne AL. (&lt;2.5m)</v>
      </c>
      <c r="I123" s="454"/>
      <c r="L123" s="532">
        <v>37</v>
      </c>
      <c r="M123" s="310" t="str">
        <f t="shared" si="11"/>
        <v>Kalenderwoche 37</v>
      </c>
    </row>
    <row r="124" spans="4:14" x14ac:dyDescent="0.2">
      <c r="D124" s="273" t="s">
        <v>396</v>
      </c>
      <c r="E124" s="309" t="s">
        <v>676</v>
      </c>
      <c r="F124" s="309" t="s">
        <v>397</v>
      </c>
      <c r="G124" s="310" t="s">
        <v>398</v>
      </c>
      <c r="H124" s="448" t="str">
        <f t="shared" si="13"/>
        <v>Ecke:</v>
      </c>
      <c r="I124" s="454"/>
      <c r="L124" s="532">
        <v>38</v>
      </c>
      <c r="M124" s="310" t="str">
        <f t="shared" si="11"/>
        <v>Kalenderwoche 38</v>
      </c>
    </row>
    <row r="125" spans="4:14" x14ac:dyDescent="0.2">
      <c r="D125" s="273" t="s">
        <v>418</v>
      </c>
      <c r="E125" s="309" t="s">
        <v>418</v>
      </c>
      <c r="F125" s="309" t="s">
        <v>418</v>
      </c>
      <c r="G125" s="310" t="s">
        <v>418</v>
      </c>
      <c r="H125" s="448" t="str">
        <f t="shared" si="13"/>
        <v>NFRC (USA)</v>
      </c>
      <c r="I125" s="454" t="b">
        <v>0</v>
      </c>
      <c r="L125" s="532">
        <v>39</v>
      </c>
      <c r="M125" s="310" t="str">
        <f t="shared" si="11"/>
        <v>Kalenderwoche 39</v>
      </c>
    </row>
    <row r="126" spans="4:14" x14ac:dyDescent="0.2">
      <c r="D126" s="273" t="s">
        <v>429</v>
      </c>
      <c r="E126" s="309" t="s">
        <v>461</v>
      </c>
      <c r="F126" s="309" t="s">
        <v>464</v>
      </c>
      <c r="G126" s="310" t="s">
        <v>450</v>
      </c>
      <c r="H126" s="448" t="str">
        <f t="shared" si="13"/>
        <v>Bestellung vollständig ausfüllen.</v>
      </c>
      <c r="I126" s="454"/>
      <c r="L126" s="532">
        <v>40</v>
      </c>
      <c r="M126" s="310" t="str">
        <f t="shared" si="11"/>
        <v>Kalenderwoche 40</v>
      </c>
    </row>
    <row r="127" spans="4:14" x14ac:dyDescent="0.2">
      <c r="D127" s="273" t="s">
        <v>444</v>
      </c>
      <c r="E127" s="309" t="s">
        <v>462</v>
      </c>
      <c r="F127" s="309" t="s">
        <v>466</v>
      </c>
      <c r="G127" s="310" t="s">
        <v>451</v>
      </c>
      <c r="H127" s="448" t="str">
        <f t="shared" si="13"/>
        <v>Überprüfen ob keine roten Rahmen aufleuchten.</v>
      </c>
      <c r="I127" s="454"/>
      <c r="L127" s="532">
        <v>41</v>
      </c>
      <c r="M127" s="310" t="str">
        <f t="shared" si="11"/>
        <v>Kalenderwoche 41</v>
      </c>
    </row>
    <row r="128" spans="4:14" x14ac:dyDescent="0.2">
      <c r="D128" s="273" t="s">
        <v>445</v>
      </c>
      <c r="E128" s="309" t="s">
        <v>463</v>
      </c>
      <c r="F128" s="309" t="s">
        <v>465</v>
      </c>
      <c r="G128" s="310" t="s">
        <v>452</v>
      </c>
      <c r="H128" s="448" t="str">
        <f t="shared" si="13"/>
        <v>Bestellung senden an:</v>
      </c>
      <c r="I128" s="454"/>
      <c r="L128" s="532">
        <v>42</v>
      </c>
      <c r="M128" s="310" t="str">
        <f t="shared" si="11"/>
        <v>Kalenderwoche 42</v>
      </c>
    </row>
    <row r="129" spans="4:13" x14ac:dyDescent="0.2">
      <c r="D129" s="273" t="s">
        <v>443</v>
      </c>
      <c r="E129" s="309" t="s">
        <v>460</v>
      </c>
      <c r="F129" s="309" t="s">
        <v>460</v>
      </c>
      <c r="G129" s="310" t="s">
        <v>449</v>
      </c>
      <c r="H129" s="448" t="str">
        <f t="shared" si="13"/>
        <v>Anleitung:</v>
      </c>
      <c r="I129" s="454"/>
      <c r="L129" s="532">
        <v>43</v>
      </c>
      <c r="M129" s="310" t="str">
        <f t="shared" si="11"/>
        <v>Kalenderwoche 43</v>
      </c>
    </row>
    <row r="130" spans="4:13" x14ac:dyDescent="0.2">
      <c r="D130" s="273" t="s">
        <v>472</v>
      </c>
      <c r="E130" s="309" t="s">
        <v>471</v>
      </c>
      <c r="F130" s="309" t="s">
        <v>477</v>
      </c>
      <c r="G130" s="310" t="s">
        <v>621</v>
      </c>
      <c r="H130" s="448" t="str">
        <f t="shared" si="13"/>
        <v>Vertriebspartner:</v>
      </c>
      <c r="I130" s="454"/>
      <c r="L130" s="532">
        <v>44</v>
      </c>
      <c r="M130" s="310" t="str">
        <f t="shared" si="11"/>
        <v>Kalenderwoche 44</v>
      </c>
    </row>
    <row r="131" spans="4:13" x14ac:dyDescent="0.2">
      <c r="D131" s="273" t="s">
        <v>469</v>
      </c>
      <c r="E131" s="309" t="s">
        <v>479</v>
      </c>
      <c r="F131" s="309" t="s">
        <v>478</v>
      </c>
      <c r="G131" s="310" t="s">
        <v>481</v>
      </c>
      <c r="H131" s="448" t="str">
        <f t="shared" si="13"/>
        <v>Bemerkungen:</v>
      </c>
      <c r="I131" s="454"/>
      <c r="L131" s="532">
        <v>45</v>
      </c>
      <c r="M131" s="310" t="str">
        <f t="shared" si="11"/>
        <v>Kalenderwoche 45</v>
      </c>
    </row>
    <row r="132" spans="4:13" x14ac:dyDescent="0.2">
      <c r="D132" s="273" t="s">
        <v>485</v>
      </c>
      <c r="E132" s="309" t="s">
        <v>489</v>
      </c>
      <c r="F132" s="309" t="s">
        <v>490</v>
      </c>
      <c r="G132" s="310" t="s">
        <v>491</v>
      </c>
      <c r="H132" s="448" t="str">
        <f>IF($B$3=$A$3,D132,IF($B$3=$A$4,E132,IF($B$3=$A$5,F132,IF($B$3=$A$6,G132,""))))</f>
        <v>Öffnung angeben →</v>
      </c>
      <c r="I132" s="454"/>
      <c r="L132" s="532">
        <v>46</v>
      </c>
      <c r="M132" s="310" t="str">
        <f t="shared" si="11"/>
        <v>Kalenderwoche 46</v>
      </c>
    </row>
    <row r="133" spans="4:13" x14ac:dyDescent="0.2">
      <c r="D133" s="273" t="s">
        <v>541</v>
      </c>
      <c r="E133" s="309" t="s">
        <v>542</v>
      </c>
      <c r="F133" s="309" t="s">
        <v>544</v>
      </c>
      <c r="G133" s="310" t="s">
        <v>543</v>
      </c>
      <c r="H133" s="448" t="str">
        <f t="shared" si="13"/>
        <v>5-gleisig</v>
      </c>
      <c r="I133" s="454" t="b">
        <f>IF(AND(I12=TRUE,'Pos. 4'!AT5=1),TRUE,FALSE)</f>
        <v>0</v>
      </c>
      <c r="L133" s="532">
        <v>47</v>
      </c>
      <c r="M133" s="310" t="str">
        <f t="shared" si="11"/>
        <v>Kalenderwoche 47</v>
      </c>
    </row>
    <row r="134" spans="4:13" x14ac:dyDescent="0.2">
      <c r="D134" s="535" t="s">
        <v>546</v>
      </c>
      <c r="E134" s="309" t="s">
        <v>546</v>
      </c>
      <c r="F134" s="309" t="s">
        <v>546</v>
      </c>
      <c r="G134" s="310" t="s">
        <v>546</v>
      </c>
      <c r="H134" s="448" t="str">
        <f t="shared" si="13"/>
        <v>Features</v>
      </c>
      <c r="I134" s="454"/>
      <c r="J134" s="272" t="str">
        <f>H159</f>
        <v>Keine</v>
      </c>
      <c r="L134" s="532">
        <v>48</v>
      </c>
      <c r="M134" s="310" t="str">
        <f t="shared" si="11"/>
        <v>Kalenderwoche 48</v>
      </c>
    </row>
    <row r="135" spans="4:13" x14ac:dyDescent="0.2">
      <c r="D135" s="273" t="s">
        <v>560</v>
      </c>
      <c r="E135" s="309" t="s">
        <v>562</v>
      </c>
      <c r="F135" s="309" t="s">
        <v>563</v>
      </c>
      <c r="G135" s="310" t="s">
        <v>564</v>
      </c>
      <c r="H135" s="448" t="str">
        <f t="shared" si="13"/>
        <v>Oben Links</v>
      </c>
      <c r="I135" s="454"/>
      <c r="J135" s="272" t="str">
        <f>H135</f>
        <v>Oben Links</v>
      </c>
      <c r="L135" s="532">
        <v>49</v>
      </c>
      <c r="M135" s="310" t="str">
        <f t="shared" si="11"/>
        <v>Kalenderwoche 49</v>
      </c>
    </row>
    <row r="136" spans="4:13" x14ac:dyDescent="0.2">
      <c r="D136" s="273" t="s">
        <v>561</v>
      </c>
      <c r="E136" s="309" t="s">
        <v>565</v>
      </c>
      <c r="F136" s="309" t="s">
        <v>566</v>
      </c>
      <c r="G136" s="310" t="s">
        <v>567</v>
      </c>
      <c r="H136" s="448" t="str">
        <f t="shared" si="13"/>
        <v>Oben Rechts</v>
      </c>
      <c r="I136" s="454"/>
      <c r="J136" s="272" t="str">
        <f>H136</f>
        <v>Oben Rechts</v>
      </c>
      <c r="L136" s="532">
        <v>50</v>
      </c>
      <c r="M136" s="310" t="str">
        <f t="shared" si="11"/>
        <v>Kalenderwoche 50</v>
      </c>
    </row>
    <row r="137" spans="4:13" x14ac:dyDescent="0.2">
      <c r="D137" s="273" t="s">
        <v>568</v>
      </c>
      <c r="E137" s="309" t="s">
        <v>569</v>
      </c>
      <c r="F137" s="309" t="s">
        <v>570</v>
      </c>
      <c r="G137" s="310" t="s">
        <v>571</v>
      </c>
      <c r="H137" s="448" t="str">
        <f t="shared" si="13"/>
        <v>Lage Glasspinne (Ansicht von Aussen)</v>
      </c>
      <c r="I137" s="454"/>
      <c r="L137" s="532">
        <v>51</v>
      </c>
      <c r="M137" s="310" t="str">
        <f t="shared" si="11"/>
        <v>Kalenderwoche 51</v>
      </c>
    </row>
    <row r="138" spans="4:13" ht="13.5" thickBot="1" x14ac:dyDescent="0.25">
      <c r="D138" s="273" t="s">
        <v>572</v>
      </c>
      <c r="E138" s="309" t="s">
        <v>654</v>
      </c>
      <c r="F138" s="309" t="s">
        <v>624</v>
      </c>
      <c r="G138" s="310" t="s">
        <v>633</v>
      </c>
      <c r="H138" s="448" t="str">
        <f t="shared" si="13"/>
        <v>Rinnenbestellung</v>
      </c>
      <c r="I138" s="454"/>
      <c r="L138" s="536">
        <v>52</v>
      </c>
      <c r="M138" s="380" t="str">
        <f t="shared" si="11"/>
        <v>Kalenderwoche 52</v>
      </c>
    </row>
    <row r="139" spans="4:13" x14ac:dyDescent="0.2">
      <c r="D139" s="273" t="s">
        <v>606</v>
      </c>
      <c r="E139" s="309" t="s">
        <v>655</v>
      </c>
      <c r="F139" s="309" t="s">
        <v>645</v>
      </c>
      <c r="G139" s="310" t="s">
        <v>634</v>
      </c>
      <c r="H139" s="448" t="str">
        <f t="shared" si="13"/>
        <v>Wahl des Rinnensystems:</v>
      </c>
      <c r="I139" s="454"/>
    </row>
    <row r="140" spans="4:13" x14ac:dyDescent="0.2">
      <c r="D140" s="273" t="s">
        <v>605</v>
      </c>
      <c r="E140" s="309" t="s">
        <v>656</v>
      </c>
      <c r="F140" s="309" t="s">
        <v>646</v>
      </c>
      <c r="G140" s="310" t="s">
        <v>842</v>
      </c>
      <c r="H140" s="448" t="str">
        <f t="shared" si="13"/>
        <v>Einzug an der linken Anlagenseite:</v>
      </c>
      <c r="I140" s="454"/>
    </row>
    <row r="141" spans="4:13" x14ac:dyDescent="0.2">
      <c r="D141" s="273" t="s">
        <v>604</v>
      </c>
      <c r="E141" s="309" t="s">
        <v>657</v>
      </c>
      <c r="F141" s="309" t="s">
        <v>647</v>
      </c>
      <c r="G141" s="310" t="s">
        <v>843</v>
      </c>
      <c r="H141" s="448" t="str">
        <f t="shared" si="13"/>
        <v>Einzug an der rechten Anlagenseite:</v>
      </c>
      <c r="I141" s="454"/>
    </row>
    <row r="142" spans="4:13" x14ac:dyDescent="0.2">
      <c r="D142" s="273" t="s">
        <v>603</v>
      </c>
      <c r="E142" s="309" t="s">
        <v>658</v>
      </c>
      <c r="F142" s="309" t="s">
        <v>648</v>
      </c>
      <c r="G142" s="310" t="s">
        <v>635</v>
      </c>
      <c r="H142" s="448" t="str">
        <f t="shared" si="13"/>
        <v>Anschlussstutzen:</v>
      </c>
      <c r="I142" s="454"/>
    </row>
    <row r="143" spans="4:13" x14ac:dyDescent="0.2">
      <c r="D143" s="273" t="s">
        <v>573</v>
      </c>
      <c r="E143" s="309" t="s">
        <v>659</v>
      </c>
      <c r="F143" s="309" t="s">
        <v>625</v>
      </c>
      <c r="G143" s="310" t="s">
        <v>636</v>
      </c>
      <c r="H143" s="448" t="str">
        <f t="shared" si="13"/>
        <v>lose mitliefern</v>
      </c>
      <c r="I143" s="454"/>
      <c r="J143" s="272" t="str">
        <f>H143</f>
        <v>lose mitliefern</v>
      </c>
    </row>
    <row r="144" spans="4:13" x14ac:dyDescent="0.2">
      <c r="D144" s="273" t="s">
        <v>574</v>
      </c>
      <c r="E144" s="309" t="s">
        <v>660</v>
      </c>
      <c r="F144" s="309" t="s">
        <v>626</v>
      </c>
      <c r="G144" s="310" t="s">
        <v>637</v>
      </c>
      <c r="H144" s="448" t="str">
        <f t="shared" si="13"/>
        <v>vordefiniert</v>
      </c>
      <c r="I144" s="454"/>
      <c r="J144" s="272" t="str">
        <f>H144</f>
        <v>vordefiniert</v>
      </c>
    </row>
    <row r="145" spans="4:10" x14ac:dyDescent="0.2">
      <c r="D145" s="273" t="s">
        <v>607</v>
      </c>
      <c r="E145" s="309" t="s">
        <v>661</v>
      </c>
      <c r="F145" s="309" t="s">
        <v>649</v>
      </c>
      <c r="G145" s="310" t="s">
        <v>638</v>
      </c>
      <c r="H145" s="448" t="str">
        <f t="shared" si="13"/>
        <v>Anzahl Anschlussstutzen:</v>
      </c>
      <c r="I145" s="454"/>
    </row>
    <row r="146" spans="4:10" x14ac:dyDescent="0.2">
      <c r="D146" s="273" t="s">
        <v>575</v>
      </c>
      <c r="E146" s="309" t="s">
        <v>627</v>
      </c>
      <c r="F146" s="309" t="s">
        <v>627</v>
      </c>
      <c r="G146" s="310" t="s">
        <v>639</v>
      </c>
      <c r="H146" s="448" t="str">
        <f t="shared" si="13"/>
        <v>Typ A</v>
      </c>
      <c r="I146" s="454"/>
      <c r="J146" s="272" t="str">
        <f>H146</f>
        <v>Typ A</v>
      </c>
    </row>
    <row r="147" spans="4:10" x14ac:dyDescent="0.2">
      <c r="D147" s="273" t="s">
        <v>576</v>
      </c>
      <c r="E147" s="309" t="s">
        <v>628</v>
      </c>
      <c r="F147" s="309" t="s">
        <v>628</v>
      </c>
      <c r="G147" s="310" t="s">
        <v>640</v>
      </c>
      <c r="H147" s="448" t="str">
        <f t="shared" si="13"/>
        <v>Typ B</v>
      </c>
      <c r="I147" s="454"/>
      <c r="J147" s="272" t="str">
        <f>H147</f>
        <v>Typ B</v>
      </c>
    </row>
    <row r="148" spans="4:10" x14ac:dyDescent="0.2">
      <c r="D148" s="273" t="s">
        <v>911</v>
      </c>
      <c r="E148" s="309" t="s">
        <v>912</v>
      </c>
      <c r="F148" s="309" t="s">
        <v>913</v>
      </c>
      <c r="G148" s="310" t="s">
        <v>914</v>
      </c>
      <c r="H148" s="448" t="str">
        <f t="shared" si="13"/>
        <v>Abstände Ablaufstutzen (E):</v>
      </c>
      <c r="I148" s="454"/>
    </row>
    <row r="149" spans="4:10" x14ac:dyDescent="0.2">
      <c r="D149" s="273" t="s">
        <v>577</v>
      </c>
      <c r="E149" s="309" t="s">
        <v>662</v>
      </c>
      <c r="F149" s="309" t="s">
        <v>675</v>
      </c>
      <c r="G149" s="310" t="s">
        <v>641</v>
      </c>
      <c r="H149" s="448" t="str">
        <f t="shared" si="13"/>
        <v>Rinnenanschluss:</v>
      </c>
      <c r="I149" s="454"/>
    </row>
    <row r="150" spans="4:10" x14ac:dyDescent="0.2">
      <c r="D150" s="273" t="s">
        <v>616</v>
      </c>
      <c r="E150" s="309" t="s">
        <v>663</v>
      </c>
      <c r="F150" s="309" t="s">
        <v>650</v>
      </c>
      <c r="G150" s="310" t="s">
        <v>642</v>
      </c>
      <c r="H150" s="448" t="str">
        <f t="shared" si="13"/>
        <v>Farbe Panele:</v>
      </c>
      <c r="I150" s="454"/>
    </row>
    <row r="151" spans="4:10" x14ac:dyDescent="0.2">
      <c r="D151" s="273" t="s">
        <v>16</v>
      </c>
      <c r="E151" s="309" t="s">
        <v>16</v>
      </c>
      <c r="F151" s="309" t="s">
        <v>16</v>
      </c>
      <c r="G151" s="310" t="s">
        <v>16</v>
      </c>
      <c r="H151" s="448" t="str">
        <f t="shared" si="13"/>
        <v>Standard</v>
      </c>
      <c r="I151" s="454"/>
      <c r="J151" s="272" t="str">
        <f>H151</f>
        <v>Standard</v>
      </c>
    </row>
    <row r="152" spans="4:10" x14ac:dyDescent="0.2">
      <c r="D152" s="273" t="s">
        <v>617</v>
      </c>
      <c r="E152" s="309" t="s">
        <v>664</v>
      </c>
      <c r="F152" s="309" t="s">
        <v>629</v>
      </c>
      <c r="G152" s="310" t="s">
        <v>643</v>
      </c>
      <c r="H152" s="448" t="str">
        <f t="shared" si="13"/>
        <v>Rahmenfarbe</v>
      </c>
      <c r="I152" s="454"/>
      <c r="J152" s="272" t="str">
        <f>H152</f>
        <v>Rahmenfarbe</v>
      </c>
    </row>
    <row r="153" spans="4:10" x14ac:dyDescent="0.2">
      <c r="D153" s="273" t="s">
        <v>618</v>
      </c>
      <c r="E153" s="309" t="s">
        <v>665</v>
      </c>
      <c r="F153" s="309" t="s">
        <v>630</v>
      </c>
      <c r="G153" s="310" t="s">
        <v>644</v>
      </c>
      <c r="H153" s="448" t="str">
        <f t="shared" si="13"/>
        <v>Glas Satinato</v>
      </c>
      <c r="I153" s="454"/>
      <c r="J153" s="272" t="str">
        <f>H153</f>
        <v>Glas Satinato</v>
      </c>
    </row>
    <row r="154" spans="4:10" x14ac:dyDescent="0.2">
      <c r="D154" s="273" t="s">
        <v>631</v>
      </c>
      <c r="E154" s="309" t="s">
        <v>666</v>
      </c>
      <c r="F154" s="309" t="s">
        <v>667</v>
      </c>
      <c r="G154" s="310" t="s">
        <v>668</v>
      </c>
      <c r="H154" s="448" t="str">
        <f t="shared" si="13"/>
        <v>Kalenderwoche</v>
      </c>
      <c r="I154" s="454"/>
    </row>
    <row r="155" spans="4:10" x14ac:dyDescent="0.2">
      <c r="D155" s="273" t="s">
        <v>691</v>
      </c>
      <c r="E155" s="309" t="s">
        <v>699</v>
      </c>
      <c r="F155" s="309" t="s">
        <v>702</v>
      </c>
      <c r="G155" s="310" t="s">
        <v>814</v>
      </c>
      <c r="H155" s="448" t="str">
        <f>IF($B$3=$A$3,D155,IF($B$3=$A$4,E155,IF($B$3=$A$5,F155,IF($B$3=$A$6,G155,""))))</f>
        <v>Bestellformular unvollständig!</v>
      </c>
      <c r="I155" s="454"/>
    </row>
    <row r="156" spans="4:10" x14ac:dyDescent="0.2">
      <c r="D156" s="273" t="s">
        <v>701</v>
      </c>
      <c r="E156" s="309" t="s">
        <v>700</v>
      </c>
      <c r="F156" s="309" t="s">
        <v>703</v>
      </c>
      <c r="G156" s="310" t="s">
        <v>815</v>
      </c>
      <c r="H156" s="448" t="str">
        <f t="shared" si="13"/>
        <v>Bestellformular vollständig.</v>
      </c>
      <c r="I156" s="454"/>
    </row>
    <row r="157" spans="4:10" x14ac:dyDescent="0.2">
      <c r="D157" s="273" t="s">
        <v>696</v>
      </c>
      <c r="E157" s="309" t="s">
        <v>695</v>
      </c>
      <c r="F157" s="309" t="s">
        <v>694</v>
      </c>
      <c r="G157" s="310" t="s">
        <v>697</v>
      </c>
      <c r="H157" s="448" t="str">
        <f t="shared" si="13"/>
        <v>B2B-Login Projektnr:</v>
      </c>
      <c r="I157" s="454"/>
    </row>
    <row r="158" spans="4:10" ht="12.75" customHeight="1" x14ac:dyDescent="0.2">
      <c r="D158" s="323" t="s">
        <v>748</v>
      </c>
      <c r="E158" s="309" t="s">
        <v>749</v>
      </c>
      <c r="F158" s="309" t="s">
        <v>750</v>
      </c>
      <c r="G158" s="310" t="s">
        <v>751</v>
      </c>
      <c r="H158" s="448" t="str">
        <f t="shared" si="13"/>
        <v>OHNE Glas</v>
      </c>
      <c r="I158" s="454"/>
    </row>
    <row r="159" spans="4:10" ht="12.75" customHeight="1" x14ac:dyDescent="0.2">
      <c r="D159" s="273" t="s">
        <v>752</v>
      </c>
      <c r="E159" s="309" t="s">
        <v>753</v>
      </c>
      <c r="F159" s="309" t="s">
        <v>264</v>
      </c>
      <c r="G159" s="310" t="s">
        <v>277</v>
      </c>
      <c r="H159" s="448" t="str">
        <f t="shared" si="13"/>
        <v>Keine</v>
      </c>
      <c r="I159" s="454"/>
    </row>
    <row r="160" spans="4:10" ht="12.75" customHeight="1" x14ac:dyDescent="0.2">
      <c r="D160" s="273" t="s">
        <v>813</v>
      </c>
      <c r="E160" s="309" t="s">
        <v>812</v>
      </c>
      <c r="F160" s="309" t="s">
        <v>811</v>
      </c>
      <c r="G160" s="310" t="s">
        <v>810</v>
      </c>
      <c r="H160" s="448" t="str">
        <f t="shared" si="13"/>
        <v>Nur nach Rücksprache mit Sky-Frame!</v>
      </c>
      <c r="I160" s="454"/>
    </row>
    <row r="161" spans="4:10" x14ac:dyDescent="0.2">
      <c r="D161" s="273" t="s">
        <v>818</v>
      </c>
      <c r="E161" s="309" t="s">
        <v>819</v>
      </c>
      <c r="F161" s="309" t="s">
        <v>820</v>
      </c>
      <c r="G161" s="310" t="s">
        <v>821</v>
      </c>
      <c r="H161" s="448" t="str">
        <f t="shared" si="13"/>
        <v>ohne Verschlussraster (Zylinder)</v>
      </c>
      <c r="I161" s="454"/>
    </row>
    <row r="162" spans="4:10" x14ac:dyDescent="0.2">
      <c r="D162" s="273"/>
      <c r="E162" s="309"/>
      <c r="F162" s="309"/>
      <c r="G162" s="310"/>
      <c r="H162" s="448">
        <f t="shared" si="13"/>
        <v>0</v>
      </c>
      <c r="I162" s="454"/>
    </row>
    <row r="163" spans="4:10" x14ac:dyDescent="0.2">
      <c r="D163" s="273"/>
      <c r="E163" s="309"/>
      <c r="F163" s="309"/>
      <c r="G163" s="310"/>
      <c r="H163" s="448">
        <f t="shared" si="13"/>
        <v>0</v>
      </c>
      <c r="I163" s="454"/>
    </row>
    <row r="164" spans="4:10" x14ac:dyDescent="0.2">
      <c r="D164" s="273"/>
      <c r="E164" s="309"/>
      <c r="F164" s="309"/>
      <c r="G164" s="310"/>
      <c r="H164" s="448">
        <f t="shared" si="13"/>
        <v>0</v>
      </c>
      <c r="I164" s="454"/>
    </row>
    <row r="165" spans="4:10" x14ac:dyDescent="0.2">
      <c r="D165" s="273" t="s">
        <v>954</v>
      </c>
      <c r="E165" s="359" t="s">
        <v>955</v>
      </c>
      <c r="F165" s="359" t="s">
        <v>478</v>
      </c>
      <c r="G165" s="359" t="s">
        <v>956</v>
      </c>
      <c r="H165" s="448" t="str">
        <f t="shared" si="13"/>
        <v>Hinweise:</v>
      </c>
      <c r="I165" s="454"/>
    </row>
    <row r="166" spans="4:10" x14ac:dyDescent="0.2">
      <c r="D166" s="273" t="s">
        <v>832</v>
      </c>
      <c r="E166" s="360" t="s">
        <v>844</v>
      </c>
      <c r="F166" s="359" t="s">
        <v>852</v>
      </c>
      <c r="G166" s="360" t="s">
        <v>860</v>
      </c>
      <c r="H166" s="448" t="str">
        <f t="shared" si="13"/>
        <v>Angabe erstöffnender Flügel</v>
      </c>
      <c r="I166" s="454"/>
    </row>
    <row r="167" spans="4:10" ht="102" x14ac:dyDescent="0.2">
      <c r="D167" s="336" t="s">
        <v>840</v>
      </c>
      <c r="E167" s="361" t="s">
        <v>845</v>
      </c>
      <c r="F167" s="361" t="s">
        <v>853</v>
      </c>
      <c r="G167" s="361" t="s">
        <v>861</v>
      </c>
      <c r="H167" s="534" t="str">
        <f t="shared" si="13"/>
        <v>Wird eine Mittelöffnung oder Ecköffnung eingegeben muss zwingend angegeben werden, welcher Flügel zuerst geöffnet werden soll. Diese Abfrage erscheint sobald eine dieser Öffnungen eingegeben wird. Die Zahl "1." gilt als Erstöffnender Flügel, die Zahl "2." für den Zweitöffnenden.</v>
      </c>
      <c r="I167" s="454"/>
    </row>
    <row r="168" spans="4:10" x14ac:dyDescent="0.2">
      <c r="D168" s="336" t="s">
        <v>841</v>
      </c>
      <c r="E168" s="360" t="s">
        <v>846</v>
      </c>
      <c r="F168" s="360" t="s">
        <v>854</v>
      </c>
      <c r="G168" s="361" t="s">
        <v>862</v>
      </c>
      <c r="H168" s="534" t="str">
        <f t="shared" si="13"/>
        <v>Eingabe Ecke ≠ 90° (von 60° - 160°)</v>
      </c>
      <c r="I168" s="454"/>
    </row>
    <row r="169" spans="4:10" ht="63.75" x14ac:dyDescent="0.2">
      <c r="D169" s="336" t="s">
        <v>833</v>
      </c>
      <c r="E169" s="361" t="s">
        <v>847</v>
      </c>
      <c r="F169" s="361" t="s">
        <v>855</v>
      </c>
      <c r="G169" s="361" t="s">
        <v>863</v>
      </c>
      <c r="H169" s="534" t="str">
        <f t="shared" si="13"/>
        <v xml:space="preserve">Um eine Ecke auszuwählen, welche grösser oder kleiner wie 90° ist, muss das dementsprechende Feld ausgewählt werden. Danach muss der gewünschte Wert angegeben werden. </v>
      </c>
      <c r="I169" s="454"/>
    </row>
    <row r="170" spans="4:10" ht="25.5" x14ac:dyDescent="0.2">
      <c r="D170" s="336" t="s">
        <v>835</v>
      </c>
      <c r="E170" s="360" t="s">
        <v>848</v>
      </c>
      <c r="F170" s="360" t="s">
        <v>856</v>
      </c>
      <c r="G170" s="361" t="s">
        <v>864</v>
      </c>
      <c r="H170" s="534" t="str">
        <f t="shared" si="13"/>
        <v>Breitenangabe bei Eckanlagen</v>
      </c>
      <c r="I170" s="454"/>
    </row>
    <row r="171" spans="4:10" ht="102" x14ac:dyDescent="0.2">
      <c r="D171" s="336" t="s">
        <v>836</v>
      </c>
      <c r="E171" s="361" t="s">
        <v>849</v>
      </c>
      <c r="F171" s="361" t="s">
        <v>857</v>
      </c>
      <c r="G171" s="361" t="s">
        <v>865</v>
      </c>
      <c r="H171" s="534" t="str">
        <f t="shared" si="13"/>
        <v>Wird eine Eckanlage eingegeben, erscheint bei der Angabe "Breite" automatisch ein neues Eingabefeld. Die Länge der einzelnen Fronten muss hier separat angegeben werden (Rahmenaussenmass). Die verschiedenen Fronten sind von links nach rechts anzugeben:</v>
      </c>
      <c r="I171" s="454"/>
    </row>
    <row r="172" spans="4:10" x14ac:dyDescent="0.2">
      <c r="D172" s="336" t="s">
        <v>838</v>
      </c>
      <c r="E172" s="360" t="s">
        <v>850</v>
      </c>
      <c r="F172" s="360" t="s">
        <v>858</v>
      </c>
      <c r="G172" s="361" t="s">
        <v>866</v>
      </c>
      <c r="H172" s="534" t="str">
        <f t="shared" si="13"/>
        <v>Rinnenlänge angeben</v>
      </c>
      <c r="I172" s="454"/>
    </row>
    <row r="173" spans="4:10" ht="140.25" x14ac:dyDescent="0.2">
      <c r="D173" s="336" t="s">
        <v>839</v>
      </c>
      <c r="E173" s="362" t="s">
        <v>851</v>
      </c>
      <c r="F173" s="361" t="s">
        <v>859</v>
      </c>
      <c r="G173" s="361" t="s">
        <v>867</v>
      </c>
      <c r="H173" s="534" t="str">
        <f t="shared" si="13"/>
        <v xml:space="preserve">Sky-Frame rechnet bei einer Rinne immer mit einer Länge über die gesamte Rahmenlänge. Soll die Rinne kürzer bzw. länger als der Rahmen gemacht werden, ist dies mit dem Einzug anzugeben. 
Soll die Rinne auf das Lichtmass zugeschnitten werden, so ist der Einzug auf der linken, sowie auf der rechten Seite mit "+45" (SF2) anzugeben. </v>
      </c>
      <c r="I173" s="454"/>
    </row>
    <row r="174" spans="4:10" x14ac:dyDescent="0.2">
      <c r="D174" s="336" t="s">
        <v>16</v>
      </c>
      <c r="E174" s="309" t="s">
        <v>16</v>
      </c>
      <c r="F174" s="309" t="s">
        <v>16</v>
      </c>
      <c r="G174" s="310" t="s">
        <v>16</v>
      </c>
      <c r="H174" s="534" t="str">
        <f t="shared" si="13"/>
        <v>Standard</v>
      </c>
      <c r="I174" s="454"/>
      <c r="J174" s="272" t="str">
        <f>H174</f>
        <v>Standard</v>
      </c>
    </row>
    <row r="175" spans="4:10" x14ac:dyDescent="0.2">
      <c r="D175" s="336" t="s">
        <v>871</v>
      </c>
      <c r="E175" s="309" t="s">
        <v>872</v>
      </c>
      <c r="F175" s="309" t="s">
        <v>873</v>
      </c>
      <c r="G175" s="310" t="s">
        <v>874</v>
      </c>
      <c r="H175" s="534" t="str">
        <f t="shared" si="13"/>
        <v>Seaside (Pool/Meer)</v>
      </c>
      <c r="I175" s="454"/>
      <c r="J175" s="272" t="str">
        <f>H175</f>
        <v>Seaside (Pool/Meer)</v>
      </c>
    </row>
    <row r="176" spans="4:10" x14ac:dyDescent="0.2">
      <c r="D176" s="273" t="s">
        <v>875</v>
      </c>
      <c r="E176" s="309" t="s">
        <v>876</v>
      </c>
      <c r="F176" s="309" t="s">
        <v>877</v>
      </c>
      <c r="G176" s="310" t="s">
        <v>878</v>
      </c>
      <c r="H176" s="534" t="str">
        <f t="shared" si="13"/>
        <v>Pulverlack Klasse:</v>
      </c>
      <c r="I176" s="454"/>
    </row>
    <row r="177" spans="4:10" x14ac:dyDescent="0.2">
      <c r="D177" s="273" t="s">
        <v>879</v>
      </c>
      <c r="E177" s="309" t="s">
        <v>879</v>
      </c>
      <c r="F177" s="309" t="s">
        <v>879</v>
      </c>
      <c r="G177" s="310" t="s">
        <v>879</v>
      </c>
      <c r="H177" s="534" t="str">
        <f t="shared" si="13"/>
        <v>Qualicoat 1</v>
      </c>
      <c r="I177" s="454"/>
      <c r="J177" s="272" t="str">
        <f>H177</f>
        <v>Qualicoat 1</v>
      </c>
    </row>
    <row r="178" spans="4:10" x14ac:dyDescent="0.2">
      <c r="D178" s="273" t="s">
        <v>880</v>
      </c>
      <c r="E178" s="309" t="s">
        <v>880</v>
      </c>
      <c r="F178" s="309" t="s">
        <v>880</v>
      </c>
      <c r="G178" s="310" t="s">
        <v>880</v>
      </c>
      <c r="H178" s="534" t="str">
        <f t="shared" si="13"/>
        <v>Qualicoat 2</v>
      </c>
      <c r="I178" s="454"/>
      <c r="J178" s="272" t="str">
        <f>H178</f>
        <v>Qualicoat 2</v>
      </c>
    </row>
    <row r="179" spans="4:10" x14ac:dyDescent="0.2">
      <c r="D179" s="273" t="s">
        <v>904</v>
      </c>
      <c r="E179" s="309" t="s">
        <v>905</v>
      </c>
      <c r="F179" s="309" t="s">
        <v>906</v>
      </c>
      <c r="G179" s="310" t="s">
        <v>915</v>
      </c>
      <c r="H179" s="534" t="str">
        <f t="shared" si="13"/>
        <v>Übersicht:</v>
      </c>
      <c r="I179" s="454"/>
    </row>
    <row r="180" spans="4:10" x14ac:dyDescent="0.2">
      <c r="D180" s="273" t="s">
        <v>895</v>
      </c>
      <c r="E180" s="309" t="s">
        <v>896</v>
      </c>
      <c r="F180" s="309" t="s">
        <v>897</v>
      </c>
      <c r="G180" s="310" t="s">
        <v>898</v>
      </c>
      <c r="H180" s="534" t="str">
        <f t="shared" si="13"/>
        <v>VE</v>
      </c>
      <c r="I180" s="454"/>
    </row>
    <row r="181" spans="4:10" x14ac:dyDescent="0.2">
      <c r="D181" s="273" t="s">
        <v>916</v>
      </c>
      <c r="E181" s="309" t="s">
        <v>958</v>
      </c>
      <c r="F181" s="309" t="s">
        <v>959</v>
      </c>
      <c r="G181" s="310" t="s">
        <v>960</v>
      </c>
      <c r="H181" s="534" t="str">
        <f t="shared" ref="H181:H209" si="14">IF($B$3=$A$3,D181,IF($B$3=$A$4,E181,IF($B$3=$A$5,F181,IF($B$3=$A$6,G181,""))))</f>
        <v>Sky-Frame Beratung vorhanden:</v>
      </c>
      <c r="I181" s="454"/>
    </row>
    <row r="182" spans="4:10" x14ac:dyDescent="0.2">
      <c r="D182" s="273" t="s">
        <v>917</v>
      </c>
      <c r="E182" s="309" t="s">
        <v>961</v>
      </c>
      <c r="F182" s="309" t="s">
        <v>962</v>
      </c>
      <c r="G182" s="310" t="s">
        <v>963</v>
      </c>
      <c r="H182" s="534" t="str">
        <f t="shared" si="14"/>
        <v>Beratungsnummer: (z.B. P123456)</v>
      </c>
      <c r="I182" s="454"/>
    </row>
    <row r="183" spans="4:10" x14ac:dyDescent="0.2">
      <c r="D183" s="273" t="s">
        <v>918</v>
      </c>
      <c r="E183" s="309" t="s">
        <v>919</v>
      </c>
      <c r="F183" s="309" t="s">
        <v>964</v>
      </c>
      <c r="G183" s="310" t="s">
        <v>965</v>
      </c>
      <c r="H183" s="534" t="str">
        <f t="shared" si="14"/>
        <v>Inch-Rechner</v>
      </c>
      <c r="I183" s="454"/>
    </row>
    <row r="184" spans="4:10" x14ac:dyDescent="0.2">
      <c r="D184" s="273" t="s">
        <v>920</v>
      </c>
      <c r="E184" s="309" t="s">
        <v>921</v>
      </c>
      <c r="F184" s="309" t="s">
        <v>966</v>
      </c>
      <c r="G184" s="310" t="s">
        <v>967</v>
      </c>
      <c r="H184" s="534" t="str">
        <f t="shared" si="14"/>
        <v>Fuss:</v>
      </c>
      <c r="I184" s="454"/>
    </row>
    <row r="185" spans="4:10" x14ac:dyDescent="0.2">
      <c r="D185" s="273" t="s">
        <v>922</v>
      </c>
      <c r="E185" s="309" t="s">
        <v>923</v>
      </c>
      <c r="F185" s="309" t="s">
        <v>968</v>
      </c>
      <c r="G185" s="310" t="s">
        <v>969</v>
      </c>
      <c r="H185" s="534" t="str">
        <f t="shared" si="14"/>
        <v>Zoll:</v>
      </c>
      <c r="I185" s="454"/>
    </row>
    <row r="186" spans="4:10" x14ac:dyDescent="0.2">
      <c r="D186" s="273" t="s">
        <v>924</v>
      </c>
      <c r="E186" s="309" t="s">
        <v>970</v>
      </c>
      <c r="F186" s="309" t="s">
        <v>971</v>
      </c>
      <c r="G186" s="310" t="s">
        <v>972</v>
      </c>
      <c r="H186" s="534" t="str">
        <f t="shared" si="14"/>
        <v>Bemassung Bahnhof</v>
      </c>
      <c r="I186" s="454"/>
    </row>
    <row r="187" spans="4:10" ht="102" x14ac:dyDescent="0.2">
      <c r="D187" s="446" t="s">
        <v>925</v>
      </c>
      <c r="E187" s="362" t="s">
        <v>973</v>
      </c>
      <c r="F187" s="362" t="s">
        <v>974</v>
      </c>
      <c r="G187" s="447" t="s">
        <v>937</v>
      </c>
      <c r="H187" s="534" t="str">
        <f t="shared" si="14"/>
        <v>Die Vermassung von Bahnhofanlagen funktioniert gleich wie bei normalen Rahmen. Bitte geben Sie uns als Rahmenmass das komplette Mass von Aussenkant Rahmen an. Für die Vermassung der Labyrinthposition geben Sie bitte das Mass bis Achse Labyrinth an.</v>
      </c>
      <c r="I187" s="454"/>
    </row>
    <row r="188" spans="4:10" x14ac:dyDescent="0.2">
      <c r="D188" s="273" t="s">
        <v>926</v>
      </c>
      <c r="E188" s="309" t="s">
        <v>975</v>
      </c>
      <c r="F188" s="309" t="s">
        <v>976</v>
      </c>
      <c r="G188" s="310" t="s">
        <v>977</v>
      </c>
      <c r="H188" s="534" t="str">
        <f t="shared" si="14"/>
        <v>Bahnhof Typ 1:</v>
      </c>
      <c r="I188" s="454"/>
    </row>
    <row r="189" spans="4:10" x14ac:dyDescent="0.2">
      <c r="D189" s="273" t="s">
        <v>927</v>
      </c>
      <c r="E189" s="309" t="s">
        <v>978</v>
      </c>
      <c r="F189" s="309" t="s">
        <v>979</v>
      </c>
      <c r="G189" s="310" t="s">
        <v>980</v>
      </c>
      <c r="H189" s="534" t="str">
        <f t="shared" si="14"/>
        <v>Bahnhof Typ 2:</v>
      </c>
      <c r="I189" s="454"/>
    </row>
    <row r="190" spans="4:10" x14ac:dyDescent="0.2">
      <c r="D190" s="273" t="s">
        <v>928</v>
      </c>
      <c r="E190" s="309" t="s">
        <v>253</v>
      </c>
      <c r="F190" s="309" t="s">
        <v>271</v>
      </c>
      <c r="G190" s="310" t="s">
        <v>282</v>
      </c>
      <c r="H190" s="534" t="str">
        <f t="shared" si="14"/>
        <v>schwarz</v>
      </c>
      <c r="I190" s="454"/>
    </row>
    <row r="191" spans="4:10" x14ac:dyDescent="0.2">
      <c r="D191" s="273" t="s">
        <v>617</v>
      </c>
      <c r="E191" s="309" t="s">
        <v>929</v>
      </c>
      <c r="F191" s="309" t="s">
        <v>930</v>
      </c>
      <c r="G191" s="310" t="s">
        <v>931</v>
      </c>
      <c r="H191" s="534" t="str">
        <f t="shared" si="14"/>
        <v>Rahmenfarbe</v>
      </c>
      <c r="I191" s="454"/>
    </row>
    <row r="192" spans="4:10" x14ac:dyDescent="0.2">
      <c r="D192" s="273" t="s">
        <v>928</v>
      </c>
      <c r="E192" s="309" t="s">
        <v>253</v>
      </c>
      <c r="F192" s="309" t="s">
        <v>271</v>
      </c>
      <c r="G192" s="310" t="s">
        <v>282</v>
      </c>
      <c r="H192" s="534" t="str">
        <f t="shared" si="14"/>
        <v>schwarz</v>
      </c>
      <c r="I192" s="454"/>
    </row>
    <row r="193" spans="4:9" x14ac:dyDescent="0.2">
      <c r="D193" s="273" t="s">
        <v>938</v>
      </c>
      <c r="E193" s="309" t="s">
        <v>939</v>
      </c>
      <c r="F193" s="309" t="s">
        <v>981</v>
      </c>
      <c r="G193" s="310" t="s">
        <v>982</v>
      </c>
      <c r="H193" s="534" t="str">
        <f t="shared" si="14"/>
        <v>Sonstiges:</v>
      </c>
      <c r="I193" s="454"/>
    </row>
    <row r="194" spans="4:9" x14ac:dyDescent="0.2">
      <c r="D194" s="273" t="s">
        <v>957</v>
      </c>
      <c r="E194" s="309" t="s">
        <v>940</v>
      </c>
      <c r="F194" s="309" t="s">
        <v>983</v>
      </c>
      <c r="G194" s="310" t="s">
        <v>984</v>
      </c>
      <c r="H194" s="534" t="str">
        <f t="shared" si="14"/>
        <v>Sichtbare Rahmenprofile (aussen):</v>
      </c>
      <c r="I194" s="454"/>
    </row>
    <row r="195" spans="4:9" x14ac:dyDescent="0.2">
      <c r="D195" s="273" t="s">
        <v>941</v>
      </c>
      <c r="E195" s="309" t="s">
        <v>942</v>
      </c>
      <c r="F195" s="309" t="s">
        <v>985</v>
      </c>
      <c r="G195" s="310" t="s">
        <v>986</v>
      </c>
      <c r="H195" s="534" t="str">
        <f t="shared" si="14"/>
        <v>Lieferung Glas und Rahmen:</v>
      </c>
      <c r="I195" s="454"/>
    </row>
    <row r="196" spans="4:9" x14ac:dyDescent="0.2">
      <c r="D196" s="273" t="s">
        <v>943</v>
      </c>
      <c r="E196" s="309" t="s">
        <v>944</v>
      </c>
      <c r="F196" s="309" t="s">
        <v>987</v>
      </c>
      <c r="G196" s="310" t="s">
        <v>988</v>
      </c>
      <c r="H196" s="534" t="str">
        <f t="shared" si="14"/>
        <v>zusammen</v>
      </c>
      <c r="I196" s="454"/>
    </row>
    <row r="197" spans="4:9" x14ac:dyDescent="0.2">
      <c r="D197" s="273" t="s">
        <v>945</v>
      </c>
      <c r="E197" s="309" t="s">
        <v>946</v>
      </c>
      <c r="F197" s="309" t="s">
        <v>989</v>
      </c>
      <c r="G197" s="310" t="s">
        <v>990</v>
      </c>
      <c r="H197" s="534" t="str">
        <f t="shared" si="14"/>
        <v>getrennt</v>
      </c>
      <c r="I197" s="454"/>
    </row>
    <row r="198" spans="4:9" x14ac:dyDescent="0.2">
      <c r="D198" s="273" t="s">
        <v>947</v>
      </c>
      <c r="E198" s="309" t="s">
        <v>948</v>
      </c>
      <c r="F198" s="309" t="s">
        <v>948</v>
      </c>
      <c r="G198" s="310" t="s">
        <v>991</v>
      </c>
      <c r="H198" s="534" t="str">
        <f t="shared" si="14"/>
        <v>sichtbar</v>
      </c>
      <c r="I198" s="454"/>
    </row>
    <row r="199" spans="4:9" x14ac:dyDescent="0.2">
      <c r="D199" s="273" t="s">
        <v>949</v>
      </c>
      <c r="E199" s="309" t="s">
        <v>950</v>
      </c>
      <c r="F199" s="309" t="s">
        <v>992</v>
      </c>
      <c r="G199" s="310" t="s">
        <v>993</v>
      </c>
      <c r="H199" s="534" t="str">
        <f t="shared" si="14"/>
        <v>nicht sichtbar</v>
      </c>
      <c r="I199" s="454"/>
    </row>
    <row r="200" spans="4:9" x14ac:dyDescent="0.2">
      <c r="D200" s="336"/>
      <c r="E200" s="309"/>
      <c r="F200" s="309"/>
      <c r="G200" s="310"/>
      <c r="H200" s="534">
        <f t="shared" si="14"/>
        <v>0</v>
      </c>
      <c r="I200" s="454"/>
    </row>
    <row r="201" spans="4:9" x14ac:dyDescent="0.2">
      <c r="D201" s="336"/>
      <c r="E201" s="309"/>
      <c r="F201" s="309"/>
      <c r="G201" s="310"/>
      <c r="H201" s="534">
        <f t="shared" si="14"/>
        <v>0</v>
      </c>
      <c r="I201" s="454"/>
    </row>
    <row r="202" spans="4:9" x14ac:dyDescent="0.2">
      <c r="D202" s="336"/>
      <c r="E202" s="309"/>
      <c r="F202" s="309"/>
      <c r="G202" s="310"/>
      <c r="H202" s="534">
        <f t="shared" si="14"/>
        <v>0</v>
      </c>
      <c r="I202" s="454"/>
    </row>
    <row r="203" spans="4:9" x14ac:dyDescent="0.2">
      <c r="D203" s="336"/>
      <c r="E203" s="309"/>
      <c r="F203" s="309"/>
      <c r="G203" s="310"/>
      <c r="H203" s="534">
        <f t="shared" si="14"/>
        <v>0</v>
      </c>
      <c r="I203" s="454"/>
    </row>
    <row r="204" spans="4:9" x14ac:dyDescent="0.2">
      <c r="D204" s="336"/>
      <c r="E204" s="309"/>
      <c r="F204" s="309"/>
      <c r="G204" s="310"/>
      <c r="H204" s="534">
        <f t="shared" si="14"/>
        <v>0</v>
      </c>
      <c r="I204" s="454"/>
    </row>
    <row r="205" spans="4:9" x14ac:dyDescent="0.2">
      <c r="D205" s="336"/>
      <c r="E205" s="309"/>
      <c r="F205" s="309"/>
      <c r="G205" s="310"/>
      <c r="H205" s="534">
        <f t="shared" si="14"/>
        <v>0</v>
      </c>
      <c r="I205" s="454"/>
    </row>
    <row r="206" spans="4:9" x14ac:dyDescent="0.2">
      <c r="D206" s="336"/>
      <c r="E206" s="309"/>
      <c r="F206" s="309"/>
      <c r="G206" s="310"/>
      <c r="H206" s="534">
        <f t="shared" si="14"/>
        <v>0</v>
      </c>
      <c r="I206" s="454"/>
    </row>
    <row r="207" spans="4:9" x14ac:dyDescent="0.2">
      <c r="D207" s="336"/>
      <c r="E207" s="309"/>
      <c r="F207" s="309"/>
      <c r="G207" s="310"/>
      <c r="H207" s="534">
        <f t="shared" si="14"/>
        <v>0</v>
      </c>
      <c r="I207" s="454"/>
    </row>
    <row r="208" spans="4:9" x14ac:dyDescent="0.2">
      <c r="D208" s="336"/>
      <c r="E208" s="309"/>
      <c r="F208" s="309"/>
      <c r="G208" s="310"/>
      <c r="H208" s="534">
        <f t="shared" si="14"/>
        <v>0</v>
      </c>
      <c r="I208" s="454"/>
    </row>
    <row r="209" spans="4:9" x14ac:dyDescent="0.2">
      <c r="D209" s="336"/>
      <c r="E209" s="309"/>
      <c r="F209" s="309"/>
      <c r="G209" s="310"/>
      <c r="H209" s="534">
        <f t="shared" si="14"/>
        <v>0</v>
      </c>
      <c r="I209" s="454"/>
    </row>
  </sheetData>
  <mergeCells count="4">
    <mergeCell ref="N40:P40"/>
    <mergeCell ref="M60:M61"/>
    <mergeCell ref="L85:M85"/>
    <mergeCell ref="B87:C87"/>
  </mergeCells>
  <dataValidations count="1">
    <dataValidation type="list" allowBlank="1" showInputMessage="1" showErrorMessage="1" sqref="P38" xr:uid="{50FABC8A-89EF-4098-B05E-1C10F0EA3FC0}">
      <formula1>$O$45:$O$46</formula1>
    </dataValidation>
  </dataValidations>
  <pageMargins left="0.7" right="0.7" top="0.78740157499999996" bottom="0.78740157499999996"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02C0F1DF393D49A49997C7F3FF49ED" ma:contentTypeVersion="6" ma:contentTypeDescription="Create a new document." ma:contentTypeScope="" ma:versionID="245fe1a52091f69cfbbb9f39b2e6a4cf">
  <xsd:schema xmlns:xsd="http://www.w3.org/2001/XMLSchema" xmlns:xs="http://www.w3.org/2001/XMLSchema" xmlns:p="http://schemas.microsoft.com/office/2006/metadata/properties" xmlns:ns2="efac78f3-c8ba-4178-9ea7-4b8ba0705f15" targetNamespace="http://schemas.microsoft.com/office/2006/metadata/properties" ma:root="true" ma:fieldsID="0660b116fc745cd2c3395df3f9073a34" ns2:_="">
    <xsd:import namespace="efac78f3-c8ba-4178-9ea7-4b8ba0705f1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ac78f3-c8ba-4178-9ea7-4b8ba0705f1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E97F1B-A66B-4ABF-89AD-BF17C0B8CDF4}"/>
</file>

<file path=customXml/itemProps2.xml><?xml version="1.0" encoding="utf-8"?>
<ds:datastoreItem xmlns:ds="http://schemas.openxmlformats.org/officeDocument/2006/customXml" ds:itemID="{BC7A46AA-7CB0-4475-83BF-D19F0C3A1A42}"/>
</file>

<file path=customXml/itemProps3.xml><?xml version="1.0" encoding="utf-8"?>
<ds:datastoreItem xmlns:ds="http://schemas.openxmlformats.org/officeDocument/2006/customXml" ds:itemID="{E1A3A3CE-66B4-49F1-929C-15E18B4A8664}"/>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7</vt:i4>
      </vt:variant>
    </vt:vector>
  </HeadingPairs>
  <TitlesOfParts>
    <vt:vector size="20" baseType="lpstr">
      <vt:lpstr>INDEX</vt:lpstr>
      <vt:lpstr>NOTES</vt:lpstr>
      <vt:lpstr>Sprachen &amp; Rückgabewerte</vt:lpstr>
      <vt:lpstr>Pos. 1</vt:lpstr>
      <vt:lpstr>Sprachen &amp; Rückgabewerte(2)</vt:lpstr>
      <vt:lpstr>Pos. 2</vt:lpstr>
      <vt:lpstr>Sprachen &amp; Rückgabewerte(3)</vt:lpstr>
      <vt:lpstr>Pos. 3</vt:lpstr>
      <vt:lpstr>Sprachen &amp; Rückgabewerte(4)</vt:lpstr>
      <vt:lpstr>Pos. 4</vt:lpstr>
      <vt:lpstr>Sprachen &amp; Rückgabewerte(5)</vt:lpstr>
      <vt:lpstr>Pos. 5</vt:lpstr>
      <vt:lpstr>INFO</vt:lpstr>
      <vt:lpstr>INFO!Druckbereich</vt:lpstr>
      <vt:lpstr>NOTES!Druckbereich</vt:lpstr>
      <vt:lpstr>'Pos. 1'!Druckbereich</vt:lpstr>
      <vt:lpstr>'Pos. 2'!Druckbereich</vt:lpstr>
      <vt:lpstr>'Pos. 3'!Druckbereich</vt:lpstr>
      <vt:lpstr>'Pos. 4'!Druckbereich</vt:lpstr>
      <vt:lpstr>'Pos. 5'!Druckbereich</vt:lpstr>
    </vt:vector>
  </TitlesOfParts>
  <Company>Sky-Frame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Maurin Müller</dc:creator>
  <cp:lastModifiedBy>Maurin Müller</cp:lastModifiedBy>
  <cp:lastPrinted>2016-10-07T12:56:22Z</cp:lastPrinted>
  <dcterms:created xsi:type="dcterms:W3CDTF">2015-11-10T13:23:10Z</dcterms:created>
  <dcterms:modified xsi:type="dcterms:W3CDTF">2018-08-15T08:17:32Z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0x0101009D02C0F1DF393D49A49997C7F3FF49ED</vt:lpwstr>
  </property>
</Properties>
</file>