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tif" ContentType="image/tiff"/>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trlProps/ctrlProp42.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4.xml" ContentType="application/vnd.ms-excel.controlproperties+xml"/>
  <Override PartName="/xl/comments9.xml" ContentType="application/vnd.openxmlformats-officedocument.spreadsheetml.comments+xml"/>
  <Override PartName="/xl/ctrlProps/ctrlProp15.xml" ContentType="application/vnd.ms-excel.controlproperties+xml"/>
  <Override PartName="/xl/ctrlProps/ctrlProp213.xml" ContentType="application/vnd.ms-excel.controlproperties+xml"/>
  <Override PartName="/xl/comments8.xml" ContentType="application/vnd.openxmlformats-officedocument.spreadsheetml.comments+xml"/>
  <Override PartName="/xl/ctrlProps/ctrlProp210.xml" ContentType="application/vnd.ms-excel.controlproperties+xml"/>
  <Override PartName="/xl/ctrlProps/ctrlProp211.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2.xml" ContentType="application/vnd.ms-excel.controlproperties+xml"/>
  <Override PartName="/xl/ctrlProps/ctrlProp217.xml" ContentType="application/vnd.ms-excel.controlproperties+xml"/>
  <Override PartName="/xl/ctrlProps/ctrlProp13.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25.xml" ContentType="application/vnd.ms-excel.controlproperties+xml"/>
  <Override PartName="/xl/ctrlProps/ctrlProp224.xml" ContentType="application/vnd.ms-excel.controlproperties+xml"/>
  <Override PartName="/xl/ctrlProps/ctrlProp223.xml" ContentType="application/vnd.ms-excel.controlproperties+xml"/>
  <Override PartName="/xl/ctrlProps/ctrlProp204.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14.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5.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32.xml" ContentType="application/vnd.ms-excel.controlproperties+xml"/>
  <Override PartName="/xl/ctrlProps/ctrlProp195.xml" ContentType="application/vnd.ms-excel.controlproperties+xml"/>
  <Override PartName="/xl/ctrlProps/ctrlProp194.xml" ContentType="application/vnd.ms-excel.controlproperties+xml"/>
  <Override PartName="/xl/ctrlProps/ctrlProp193.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203.xml" ContentType="application/vnd.ms-excel.controlproperties+xml"/>
  <Override PartName="/xl/ctrlProps/ctrlProp236.xml" ContentType="application/vnd.ms-excel.controlproperties+xml"/>
  <Override PartName="/xl/ctrlProps/ctrlProp234.xml" ContentType="application/vnd.ms-excel.controlproperties+xml"/>
  <Override PartName="/xl/ctrlProps/ctrlProp5.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0.xml" ContentType="application/vnd.openxmlformats-officedocument.spreadsheetml.comments+xml"/>
  <Override PartName="/xl/ctrlProps/ctrlProp12.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docProps/app.xml" ContentType="application/vnd.openxmlformats-officedocument.extended-properties+xml"/>
  <Override PartName="/xl/ctrlProps/ctrlProp44.xml" ContentType="application/vnd.ms-excel.controlproperties+xml"/>
  <Override PartName="/xl/ctrlProps/ctrlProp4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2.xml" ContentType="application/vnd.openxmlformats-officedocument.spreadsheetml.comments+xml"/>
  <Override PartName="/xl/ctrlProps/ctrlProp49.xml" ContentType="application/vnd.ms-excel.controlproperties+xml"/>
  <Override PartName="/xl/comments1.xml" ContentType="application/vnd.openxmlformats-officedocument.spreadsheetml.comment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270.xml" ContentType="application/vnd.ms-excel.controlproperties+xml"/>
  <Override PartName="/xl/ctrlProps/ctrlProp269.xml" ContentType="application/vnd.ms-excel.controlproperties+xml"/>
  <Override PartName="/xl/ctrlProps/ctrlProp268.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43.xml" ContentType="application/vnd.ms-excel.controlproperties+xml"/>
  <Override PartName="/xl/ctrlProps/ctrlProp242.xml" ContentType="application/vnd.ms-excel.controlproperties+xml"/>
  <Override PartName="/xl/ctrlProps/ctrlProp241.xml" ContentType="application/vnd.ms-excel.controlproperties+xml"/>
  <Override PartName="/xl/ctrlProps/ctrlProp235.xml" ContentType="application/vnd.ms-excel.controlproperties+xml"/>
  <Override PartName="/xl/ctrlProps/ctrlProp168.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1.xml" ContentType="application/vnd.ms-excel.controlproperties+xml"/>
  <Override PartName="/xl/ctrlProps/ctrlProp260.xml" ContentType="application/vnd.ms-excel.controlproperties+xml"/>
  <Override PartName="/xl/ctrlProps/ctrlProp259.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33.xml" ContentType="application/vnd.ms-excel.controlproperties+xml"/>
  <Override PartName="/xl/ctrlProps/ctrlProp167.xml" ContentType="application/vnd.ms-excel.controlproperties+xml"/>
  <Override PartName="/xl/ctrlProps/ctrlProp166.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78.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97.xml" ContentType="application/vnd.ms-excel.controlproperties+xml"/>
  <Override PartName="/xl/ctrlProps/ctrlProp96.xml" ContentType="application/vnd.ms-excel.controlproperties+xml"/>
  <Override PartName="/xl/ctrlProps/ctrlProp95.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7.xml" ContentType="application/vnd.ms-excel.controlproperties+xml"/>
  <Override PartName="/xl/ctrlProps/ctrlProp32.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41.xml" ContentType="application/vnd.ms-excel.controlproperties+xml"/>
  <Override PartName="/xl/ctrlProps/ctrlProp40.xml" ContentType="application/vnd.ms-excel.controlproperties+xml"/>
  <Override PartName="/xl/ctrlProps/ctrlProp39.xml" ContentType="application/vnd.ms-excel.controlproperties+xml"/>
  <Override PartName="/xl/ctrlProps/ctrlProp38.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5.xml" ContentType="application/vnd.ms-excel.controlproperties+xml"/>
  <Override PartName="/xl/ctrlProps/ctrlProp24.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59.xml" ContentType="application/vnd.ms-excel.controlproperties+xml"/>
  <Override PartName="/xl/ctrlProps/ctrlProp58.xml" ContentType="application/vnd.ms-excel.controlproperties+xml"/>
  <Override PartName="/xl/ctrlProps/ctrlProp57.xml" ContentType="application/vnd.ms-excel.controlproperties+xml"/>
  <Override PartName="/xl/comments3.xml" ContentType="application/vnd.openxmlformats-officedocument.spreadsheetml.comments+xml"/>
  <Override PartName="/xl/ctrlProps/ctrlProp23.xml" ContentType="application/vnd.ms-excel.controlproperties+xml"/>
  <Override PartName="/xl/ctrlProps/ctrlProp22.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44.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omments7.xml" ContentType="application/vnd.openxmlformats-officedocument.spreadsheetml.comments+xml"/>
  <Override PartName="/xl/ctrlProps/ctrlProp17.xml" ContentType="application/vnd.ms-excel.controlproperties+xml"/>
  <Override PartName="/xl/ctrlProps/ctrlProp16.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8.xml" ContentType="application/vnd.ms-excel.controlproperties+xml"/>
  <Override PartName="/xl/comments6.xml" ContentType="application/vnd.openxmlformats-officedocument.spreadsheetml.comment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37.xml" ContentType="application/vnd.ms-excel.controlproperties+xml"/>
  <Override PartName="/xl/ctrlProps/ctrlProp136.xml" ContentType="application/vnd.ms-excel.controlproperties+xml"/>
  <Override PartName="/xl/ctrlProps/ctrlProp135.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09.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108.xml" ContentType="application/vnd.ms-excel.controlproperties+xml"/>
  <Override PartName="/xl/comments4.xml" ContentType="application/vnd.openxmlformats-officedocument.spreadsheetml.comments+xml"/>
  <Override PartName="/xl/ctrlProps/ctrlProp21.xml" ContentType="application/vnd.ms-excel.controlproperties+xml"/>
  <Override PartName="/xl/comments5.xml" ContentType="application/vnd.openxmlformats-officedocument.spreadsheetml.comment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28.xml" ContentType="application/vnd.ms-excel.controlproperties+xml"/>
  <Override PartName="/xl/ctrlProps/ctrlProp127.xml" ContentType="application/vnd.ms-excel.controlproperties+xml"/>
  <Override PartName="/xl/ctrlProps/ctrlProp126.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43.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DieseArbeitsmappe"/>
  <mc:AlternateContent xmlns:mc="http://schemas.openxmlformats.org/markup-compatibility/2006">
    <mc:Choice Requires="x15">
      <x15ac:absPath xmlns:x15ac="http://schemas.microsoft.com/office/spreadsheetml/2010/11/ac" url="C:\Users\425\OneDrive - Sky-Frame AG\06 Listen\02 In Arbeit\01 Sky-Lean Bestellformular\SKY-FRAME 2\03 Excel-Formulare ORDER\"/>
    </mc:Choice>
  </mc:AlternateContent>
  <xr:revisionPtr revIDLastSave="96" documentId="8_{341EA82F-41F5-4098-9283-16B89757FF5F}" xr6:coauthVersionLast="34" xr6:coauthVersionMax="34" xr10:uidLastSave="{C34890D8-613F-4823-B466-39E3EE6CE5FD}"/>
  <workbookProtection workbookAlgorithmName="SHA-512" workbookHashValue="xcO0Kxqjj3VzqloIxbbUsxFcfTt4P8yw10g2Tx1tA+/LRgI84t14h97omnF8f1RHBOxN2FKPIUVnp2vlRXeTjw==" workbookSaltValue="dOagOv02oF/Yql57NDIzIQ==" workbookSpinCount="100000" lockStructure="1"/>
  <bookViews>
    <workbookView xWindow="0" yWindow="0" windowWidth="19950" windowHeight="11685" firstSheet="1" activeTab="1" xr2:uid="{00000000-000D-0000-FFFF-FFFF00000000}"/>
  </bookViews>
  <sheets>
    <sheet name="INDEX" sheetId="3" state="hidden" r:id="rId1"/>
    <sheet name="NOTES" sheetId="5" r:id="rId2"/>
    <sheet name="Sprachen &amp; Rückgabewerte" sheetId="1" state="hidden" r:id="rId3"/>
    <sheet name="Pos. 1" sheetId="2" r:id="rId4"/>
    <sheet name="Sprachen &amp; Rückgabewerte(2)" sheetId="6" state="hidden" r:id="rId5"/>
    <sheet name="Pos. 2" sheetId="7" r:id="rId6"/>
    <sheet name="Sprachen &amp; Rückgabewerte(3)" sheetId="8" state="hidden" r:id="rId7"/>
    <sheet name="Pos. 3" sheetId="9" r:id="rId8"/>
    <sheet name="Sprachen &amp; Rückgabewerte(4)" sheetId="10" state="hidden" r:id="rId9"/>
    <sheet name="Pos. 4" sheetId="11" r:id="rId10"/>
    <sheet name="Sprachen &amp; Rückgabewerte(5)" sheetId="12" state="hidden" r:id="rId11"/>
    <sheet name="Pos. 5" sheetId="13" r:id="rId12"/>
    <sheet name="INFO" sheetId="4" r:id="rId13"/>
  </sheets>
  <definedNames>
    <definedName name="_xlnm.Print_Area" localSheetId="12">INFO!$B$2:$I$40</definedName>
    <definedName name="_xlnm.Print_Area" localSheetId="1">NOTES!$B$2:$N$87</definedName>
    <definedName name="_xlnm.Print_Area" localSheetId="3">'Pos. 1'!$B$2:$AU$136</definedName>
    <definedName name="_xlnm.Print_Area" localSheetId="5">'Pos. 2'!$B$2:$AU$136</definedName>
    <definedName name="_xlnm.Print_Area" localSheetId="7">'Pos. 3'!$B$2:$AU$136</definedName>
    <definedName name="_xlnm.Print_Area" localSheetId="9">'Pos. 4'!$B$2:$AU$136</definedName>
    <definedName name="_xlnm.Print_Area" localSheetId="11">'Pos. 5'!$B$2:$AU$136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6" i="5" l="1"/>
  <c r="K85" i="5"/>
  <c r="K84" i="5"/>
  <c r="K83" i="5"/>
  <c r="K82" i="5"/>
  <c r="K81" i="5"/>
  <c r="K80" i="5"/>
  <c r="K79" i="5"/>
  <c r="K78" i="5"/>
  <c r="K77" i="5"/>
  <c r="K76" i="5"/>
  <c r="K75" i="5"/>
  <c r="E78" i="5"/>
  <c r="E76" i="5"/>
  <c r="E74" i="5"/>
  <c r="C78" i="5"/>
  <c r="K70" i="5"/>
  <c r="K69" i="5"/>
  <c r="K68" i="5"/>
  <c r="K67" i="5"/>
  <c r="K66" i="5"/>
  <c r="K65" i="5"/>
  <c r="K64" i="5"/>
  <c r="K63" i="5"/>
  <c r="K62" i="5"/>
  <c r="K61" i="5"/>
  <c r="K60" i="5"/>
  <c r="K59" i="5"/>
  <c r="E62" i="5"/>
  <c r="E60" i="5"/>
  <c r="E58" i="5"/>
  <c r="C60" i="5"/>
  <c r="K54" i="5"/>
  <c r="K53" i="5"/>
  <c r="K52" i="5"/>
  <c r="K51" i="5"/>
  <c r="K50" i="5"/>
  <c r="K49" i="5"/>
  <c r="K48" i="5"/>
  <c r="K47" i="5"/>
  <c r="K46" i="5"/>
  <c r="K45" i="5"/>
  <c r="K43" i="5"/>
  <c r="K44" i="5"/>
  <c r="E46" i="5"/>
  <c r="E44" i="5"/>
  <c r="E42" i="5"/>
  <c r="C46" i="5"/>
  <c r="K38" i="5"/>
  <c r="K37" i="5"/>
  <c r="K36" i="5"/>
  <c r="K35" i="5"/>
  <c r="K34" i="5"/>
  <c r="K33" i="5"/>
  <c r="K32" i="5"/>
  <c r="K31" i="5"/>
  <c r="K30" i="5"/>
  <c r="K29" i="5"/>
  <c r="K28" i="5"/>
  <c r="K27" i="5"/>
  <c r="E26" i="5"/>
  <c r="E30" i="5"/>
  <c r="E28" i="5"/>
  <c r="E116" i="13"/>
  <c r="E102" i="13"/>
  <c r="O95" i="13"/>
  <c r="H95" i="13"/>
  <c r="AS86" i="13"/>
  <c r="AO86" i="13"/>
  <c r="O84" i="13"/>
  <c r="H84" i="13"/>
  <c r="AF74" i="13"/>
  <c r="R71" i="13"/>
  <c r="L71" i="13"/>
  <c r="F71" i="13"/>
  <c r="F60" i="13"/>
  <c r="AX43" i="13"/>
  <c r="AF43" i="13"/>
  <c r="AW42" i="13"/>
  <c r="AW41" i="13"/>
  <c r="AW40" i="13"/>
  <c r="AW39" i="13"/>
  <c r="AW38" i="13"/>
  <c r="AM38" i="13"/>
  <c r="M79" i="5" s="1"/>
  <c r="AF38" i="13"/>
  <c r="AW37" i="13"/>
  <c r="O46" i="12" s="1"/>
  <c r="AW36" i="13"/>
  <c r="AW35" i="13"/>
  <c r="O44" i="12" s="1"/>
  <c r="AW34" i="13"/>
  <c r="AW33" i="13"/>
  <c r="AP33" i="13"/>
  <c r="AW30" i="13"/>
  <c r="A28" i="13"/>
  <c r="AP14" i="13"/>
  <c r="AL14" i="13"/>
  <c r="AH14" i="13"/>
  <c r="AD14" i="13"/>
  <c r="Z14" i="13"/>
  <c r="V14" i="13"/>
  <c r="R14" i="13"/>
  <c r="N14" i="13"/>
  <c r="J14" i="13"/>
  <c r="F14" i="13"/>
  <c r="AR13" i="13"/>
  <c r="AN13" i="13"/>
  <c r="AJ13" i="13"/>
  <c r="AF13" i="13"/>
  <c r="AB13" i="13"/>
  <c r="X13" i="13"/>
  <c r="T13" i="13"/>
  <c r="P13" i="13"/>
  <c r="L13" i="13"/>
  <c r="H13" i="13"/>
  <c r="E13" i="13"/>
  <c r="AR12" i="13"/>
  <c r="AN12" i="13"/>
  <c r="AJ12" i="13"/>
  <c r="AF12" i="13"/>
  <c r="AB12" i="13"/>
  <c r="X12" i="13"/>
  <c r="T12" i="13"/>
  <c r="P12" i="13"/>
  <c r="L12" i="13"/>
  <c r="H12" i="13"/>
  <c r="C11" i="13"/>
  <c r="AX7" i="13"/>
  <c r="AN7" i="13"/>
  <c r="BL5" i="13"/>
  <c r="BK5" i="13"/>
  <c r="BJ5" i="13"/>
  <c r="BF5" i="13"/>
  <c r="BB3" i="13"/>
  <c r="AX3" i="13"/>
  <c r="BB2" i="13"/>
  <c r="N72" i="5" s="1"/>
  <c r="H205" i="12"/>
  <c r="H204" i="12"/>
  <c r="H203" i="12"/>
  <c r="H202" i="12"/>
  <c r="H201" i="12"/>
  <c r="H200" i="12"/>
  <c r="H199" i="12"/>
  <c r="H198" i="12"/>
  <c r="H197" i="12"/>
  <c r="H196" i="12"/>
  <c r="H195" i="12"/>
  <c r="AX10" i="13" s="1"/>
  <c r="H194" i="12"/>
  <c r="AX9" i="13" s="1"/>
  <c r="H193" i="12"/>
  <c r="H192" i="12"/>
  <c r="H191" i="12"/>
  <c r="H190" i="12"/>
  <c r="H189" i="12"/>
  <c r="H188" i="12"/>
  <c r="H187" i="12"/>
  <c r="H186" i="12"/>
  <c r="H185" i="12"/>
  <c r="BG4" i="13" s="1"/>
  <c r="H184" i="12"/>
  <c r="BE4" i="13" s="1"/>
  <c r="H183" i="12"/>
  <c r="BE3" i="13" s="1"/>
  <c r="H182" i="12"/>
  <c r="H181" i="12"/>
  <c r="AE96" i="13" s="1"/>
  <c r="H180" i="12"/>
  <c r="AQ76" i="13" s="1"/>
  <c r="H179" i="12"/>
  <c r="J178" i="12"/>
  <c r="H178" i="12"/>
  <c r="H177" i="12"/>
  <c r="J177" i="12" s="1"/>
  <c r="H176" i="12"/>
  <c r="AF47" i="13" s="1"/>
  <c r="H175" i="12"/>
  <c r="J175" i="12" s="1"/>
  <c r="H174" i="12"/>
  <c r="J174" i="12" s="1"/>
  <c r="H173" i="12"/>
  <c r="H172" i="12"/>
  <c r="H171" i="12"/>
  <c r="H170" i="12"/>
  <c r="H169" i="12"/>
  <c r="H168" i="12"/>
  <c r="H167" i="12"/>
  <c r="H166" i="12"/>
  <c r="H165" i="12"/>
  <c r="H164" i="12"/>
  <c r="H163" i="12"/>
  <c r="H162" i="12"/>
  <c r="H161" i="12"/>
  <c r="H160" i="12"/>
  <c r="H159" i="12"/>
  <c r="J134" i="12" s="1"/>
  <c r="H158" i="12"/>
  <c r="H157" i="12"/>
  <c r="AX22" i="13" s="1"/>
  <c r="H156" i="12"/>
  <c r="H155" i="12"/>
  <c r="H154" i="12"/>
  <c r="H153" i="12"/>
  <c r="J153" i="12" s="1"/>
  <c r="J152" i="12"/>
  <c r="H152" i="12"/>
  <c r="H151" i="12"/>
  <c r="J151" i="12" s="1"/>
  <c r="H150" i="12"/>
  <c r="AW46" i="13" s="1"/>
  <c r="H149" i="12"/>
  <c r="R114" i="13" s="1"/>
  <c r="H148" i="12"/>
  <c r="H147" i="12"/>
  <c r="J147" i="12" s="1"/>
  <c r="J146" i="12"/>
  <c r="H146" i="12"/>
  <c r="H145" i="12"/>
  <c r="H144" i="12"/>
  <c r="J144" i="12" s="1"/>
  <c r="H143" i="12"/>
  <c r="J143" i="12" s="1"/>
  <c r="R112" i="13" s="1"/>
  <c r="H142" i="12"/>
  <c r="E110" i="13" s="1"/>
  <c r="H141" i="12"/>
  <c r="E108" i="13" s="1"/>
  <c r="H140" i="12"/>
  <c r="E106" i="13" s="1"/>
  <c r="H139" i="12"/>
  <c r="E104" i="13" s="1"/>
  <c r="H138" i="12"/>
  <c r="H137" i="12"/>
  <c r="H136" i="12"/>
  <c r="J136" i="12" s="1"/>
  <c r="M135" i="12"/>
  <c r="J135" i="12"/>
  <c r="H135" i="12"/>
  <c r="H134" i="12"/>
  <c r="M133" i="12"/>
  <c r="I133" i="12"/>
  <c r="H133" i="12"/>
  <c r="M132" i="12"/>
  <c r="H132" i="12"/>
  <c r="H131" i="12"/>
  <c r="AX14" i="13" s="1"/>
  <c r="M130" i="12"/>
  <c r="H130" i="12"/>
  <c r="S5" i="13" s="1"/>
  <c r="H129" i="12"/>
  <c r="H128" i="12"/>
  <c r="H127" i="12"/>
  <c r="M126" i="12"/>
  <c r="H126" i="12"/>
  <c r="H125" i="12"/>
  <c r="AP34" i="13" s="1"/>
  <c r="M124" i="12"/>
  <c r="H124" i="12"/>
  <c r="F20" i="13" s="1"/>
  <c r="H123" i="12"/>
  <c r="M122" i="12"/>
  <c r="H122" i="12"/>
  <c r="B77" i="12" s="1"/>
  <c r="H121" i="12"/>
  <c r="H120" i="12"/>
  <c r="H119" i="12"/>
  <c r="Z91" i="13" s="1"/>
  <c r="M118" i="12"/>
  <c r="H118" i="12"/>
  <c r="Z87" i="13" s="1"/>
  <c r="H117" i="12"/>
  <c r="V95" i="13" s="1"/>
  <c r="M116" i="12"/>
  <c r="H116" i="12"/>
  <c r="V90" i="13" s="1"/>
  <c r="H115" i="12"/>
  <c r="M114" i="12"/>
  <c r="H114" i="12"/>
  <c r="B71" i="12" s="1"/>
  <c r="H113" i="12"/>
  <c r="H112" i="12"/>
  <c r="H111" i="12"/>
  <c r="L60" i="13" s="1"/>
  <c r="M110" i="12"/>
  <c r="H110" i="12"/>
  <c r="H109" i="12"/>
  <c r="M108" i="12"/>
  <c r="H108" i="12"/>
  <c r="H107" i="12"/>
  <c r="M106" i="12"/>
  <c r="H106" i="12"/>
  <c r="F21" i="13" s="1"/>
  <c r="H105" i="12"/>
  <c r="H104" i="12"/>
  <c r="H102" i="12"/>
  <c r="AE90" i="13" s="1"/>
  <c r="M101" i="12"/>
  <c r="H101" i="12"/>
  <c r="H100" i="12"/>
  <c r="M99" i="12"/>
  <c r="H99" i="12"/>
  <c r="H98" i="12"/>
  <c r="M97" i="12"/>
  <c r="H97" i="12"/>
  <c r="J96" i="12"/>
  <c r="H96" i="12"/>
  <c r="AW95" i="13" s="1"/>
  <c r="H95" i="12"/>
  <c r="U69" i="12" s="1"/>
  <c r="V69" i="12" s="1"/>
  <c r="M94" i="12"/>
  <c r="H94" i="12"/>
  <c r="AE55" i="13" s="1"/>
  <c r="H93" i="12"/>
  <c r="J93" i="12" s="1"/>
  <c r="C93" i="12"/>
  <c r="M92" i="12"/>
  <c r="H92" i="12"/>
  <c r="J92" i="12" s="1"/>
  <c r="C92" i="12"/>
  <c r="M91" i="12"/>
  <c r="H91" i="12"/>
  <c r="AF48" i="13" s="1"/>
  <c r="C91" i="12"/>
  <c r="H90" i="12"/>
  <c r="AE88" i="13" s="1"/>
  <c r="C90" i="12"/>
  <c r="H89" i="12"/>
  <c r="J89" i="12" s="1"/>
  <c r="C89" i="12"/>
  <c r="H88" i="12"/>
  <c r="J88" i="12" s="1"/>
  <c r="C88" i="12"/>
  <c r="M87" i="12"/>
  <c r="H87" i="12"/>
  <c r="AE83" i="13" s="1"/>
  <c r="J86" i="12"/>
  <c r="H86" i="12"/>
  <c r="H85" i="12"/>
  <c r="J85" i="12" s="1"/>
  <c r="H84" i="12"/>
  <c r="AE80" i="13" s="1"/>
  <c r="H83" i="12"/>
  <c r="C83" i="12"/>
  <c r="K82" i="12"/>
  <c r="H82" i="12"/>
  <c r="J82" i="12" s="1"/>
  <c r="H81" i="12"/>
  <c r="J81" i="12" s="1"/>
  <c r="B81" i="12"/>
  <c r="J80" i="12"/>
  <c r="H80" i="12"/>
  <c r="U79" i="12"/>
  <c r="V79" i="12" s="1"/>
  <c r="H79" i="12"/>
  <c r="J79" i="12" s="1"/>
  <c r="U78" i="12"/>
  <c r="V78" i="12" s="1"/>
  <c r="H78" i="12"/>
  <c r="J78" i="12" s="1"/>
  <c r="B78" i="12"/>
  <c r="L77" i="12"/>
  <c r="U77" i="12" s="1"/>
  <c r="V77" i="12" s="1"/>
  <c r="J77" i="12"/>
  <c r="H77" i="12"/>
  <c r="AE78" i="13" s="1"/>
  <c r="L76" i="12"/>
  <c r="U76" i="12" s="1"/>
  <c r="V76" i="12" s="1"/>
  <c r="H76" i="12"/>
  <c r="AE77" i="13" s="1"/>
  <c r="L75" i="12"/>
  <c r="U75" i="12" s="1"/>
  <c r="V75" i="12" s="1"/>
  <c r="H75" i="12"/>
  <c r="AG75" i="13" s="1"/>
  <c r="B75" i="12"/>
  <c r="L74" i="12"/>
  <c r="U74" i="12" s="1"/>
  <c r="V74" i="12" s="1"/>
  <c r="H74" i="12"/>
  <c r="B74" i="12"/>
  <c r="H73" i="12"/>
  <c r="J73" i="12" s="1"/>
  <c r="H72" i="12"/>
  <c r="AM74" i="13" s="1"/>
  <c r="B72" i="12"/>
  <c r="M71" i="12"/>
  <c r="U71" i="12" s="1"/>
  <c r="V71" i="12" s="1"/>
  <c r="L71" i="12"/>
  <c r="H71" i="12"/>
  <c r="H70" i="12"/>
  <c r="AE73" i="13" s="1"/>
  <c r="R69" i="12"/>
  <c r="L69" i="12"/>
  <c r="H69" i="12"/>
  <c r="J69" i="12" s="1"/>
  <c r="B69" i="12"/>
  <c r="U68" i="12"/>
  <c r="V68" i="12" s="1"/>
  <c r="W68" i="12" s="1"/>
  <c r="P68" i="12"/>
  <c r="R68" i="12" s="1"/>
  <c r="L68" i="12"/>
  <c r="H68" i="12"/>
  <c r="J68" i="12" s="1"/>
  <c r="B68" i="12"/>
  <c r="V67" i="12"/>
  <c r="U67" i="12"/>
  <c r="Q67" i="12"/>
  <c r="P67" i="12"/>
  <c r="R67" i="12" s="1"/>
  <c r="L67" i="12"/>
  <c r="H67" i="12"/>
  <c r="K80" i="12" s="1"/>
  <c r="N80" i="12" s="1"/>
  <c r="P66" i="12"/>
  <c r="R66" i="12" s="1"/>
  <c r="L66" i="12"/>
  <c r="M66" i="12" s="1"/>
  <c r="U66" i="12" s="1"/>
  <c r="V66" i="12" s="1"/>
  <c r="H66" i="12"/>
  <c r="K81" i="12" s="1"/>
  <c r="U65" i="12"/>
  <c r="V65" i="12" s="1"/>
  <c r="P65" i="12"/>
  <c r="R65" i="12" s="1"/>
  <c r="L65" i="12"/>
  <c r="H65" i="12"/>
  <c r="K79" i="12" s="1"/>
  <c r="N79" i="12" s="1"/>
  <c r="U64" i="12"/>
  <c r="V64" i="12" s="1"/>
  <c r="P64" i="12"/>
  <c r="R64" i="12" s="1"/>
  <c r="L64" i="12"/>
  <c r="H64" i="12"/>
  <c r="AE60" i="13" s="1"/>
  <c r="C64" i="12"/>
  <c r="U63" i="12"/>
  <c r="V63" i="12" s="1"/>
  <c r="P63" i="12"/>
  <c r="R63" i="12" s="1"/>
  <c r="L63" i="12"/>
  <c r="H63" i="12"/>
  <c r="R62" i="12"/>
  <c r="Q62" i="12"/>
  <c r="P62" i="12"/>
  <c r="L62" i="12"/>
  <c r="U58" i="12" s="1"/>
  <c r="V58" i="12" s="1"/>
  <c r="H62" i="12"/>
  <c r="P61" i="12"/>
  <c r="R61" i="12" s="1"/>
  <c r="L61" i="12"/>
  <c r="H61" i="12"/>
  <c r="P60" i="12"/>
  <c r="R60" i="12" s="1"/>
  <c r="M60" i="12"/>
  <c r="U60" i="12" s="1"/>
  <c r="V60" i="12" s="1"/>
  <c r="L60" i="12"/>
  <c r="H60" i="12"/>
  <c r="P59" i="12"/>
  <c r="R59" i="12" s="1"/>
  <c r="L59" i="12"/>
  <c r="H59" i="12"/>
  <c r="L58" i="12"/>
  <c r="M59" i="12" s="1"/>
  <c r="U59" i="12" s="1"/>
  <c r="V59" i="12" s="1"/>
  <c r="H58" i="12"/>
  <c r="L57" i="12"/>
  <c r="H57" i="12"/>
  <c r="AH7" i="13" s="1"/>
  <c r="L56" i="12"/>
  <c r="M56" i="12" s="1"/>
  <c r="U56" i="12" s="1"/>
  <c r="V56" i="12" s="1"/>
  <c r="H56" i="12"/>
  <c r="AH6" i="13" s="1"/>
  <c r="C76" i="5" s="1"/>
  <c r="L55" i="12"/>
  <c r="U55" i="12" s="1"/>
  <c r="V55" i="12" s="1"/>
  <c r="H55" i="12"/>
  <c r="AH5" i="13" s="1"/>
  <c r="C74" i="5" s="1"/>
  <c r="M54" i="12"/>
  <c r="L54" i="12" s="1"/>
  <c r="U54" i="12" s="1"/>
  <c r="V54" i="12" s="1"/>
  <c r="H54" i="12"/>
  <c r="O35" i="12" s="1"/>
  <c r="Z35" i="12" s="1"/>
  <c r="L53" i="12"/>
  <c r="U53" i="12" s="1"/>
  <c r="V53" i="12" s="1"/>
  <c r="H53" i="12"/>
  <c r="O52" i="12"/>
  <c r="L52" i="12"/>
  <c r="U52" i="12" s="1"/>
  <c r="V52" i="12" s="1"/>
  <c r="H52" i="12"/>
  <c r="AE79" i="13" s="1"/>
  <c r="L51" i="12"/>
  <c r="U51" i="12" s="1"/>
  <c r="V51" i="12" s="1"/>
  <c r="H51" i="12"/>
  <c r="AO85" i="13" s="1"/>
  <c r="U50" i="12"/>
  <c r="V50" i="12" s="1"/>
  <c r="O50" i="12"/>
  <c r="N50" i="12"/>
  <c r="L50" i="12"/>
  <c r="H50" i="12"/>
  <c r="AO84" i="13" s="1"/>
  <c r="N49" i="12"/>
  <c r="H49" i="12"/>
  <c r="AN83" i="13" s="1"/>
  <c r="A49" i="12"/>
  <c r="O48" i="12"/>
  <c r="N48" i="12"/>
  <c r="L48" i="12"/>
  <c r="L49" i="12" s="1"/>
  <c r="H48" i="12"/>
  <c r="A48" i="12"/>
  <c r="O47" i="12"/>
  <c r="N47" i="12"/>
  <c r="L47" i="12"/>
  <c r="U47" i="12" s="1"/>
  <c r="V47" i="12" s="1"/>
  <c r="H47" i="12"/>
  <c r="AE87" i="13" s="1"/>
  <c r="B47" i="12"/>
  <c r="V84" i="13" s="1"/>
  <c r="A47" i="12"/>
  <c r="N46" i="12"/>
  <c r="L46" i="12"/>
  <c r="U46" i="12" s="1"/>
  <c r="V46" i="12" s="1"/>
  <c r="H46" i="12"/>
  <c r="A46" i="12"/>
  <c r="O45" i="12"/>
  <c r="N45" i="12"/>
  <c r="L45" i="12"/>
  <c r="U45" i="12" s="1"/>
  <c r="V45" i="12" s="1"/>
  <c r="H45" i="12"/>
  <c r="AF57" i="13" s="1"/>
  <c r="A45" i="12"/>
  <c r="U44" i="12"/>
  <c r="V44" i="12" s="1"/>
  <c r="N44" i="12"/>
  <c r="L44" i="12"/>
  <c r="U49" i="12" s="1"/>
  <c r="V49" i="12" s="1"/>
  <c r="H44" i="12"/>
  <c r="AN56" i="13" s="1"/>
  <c r="B44" i="12"/>
  <c r="X71" i="13" s="1"/>
  <c r="A44" i="12"/>
  <c r="U43" i="12"/>
  <c r="V43" i="12" s="1"/>
  <c r="O43" i="12"/>
  <c r="N43" i="12"/>
  <c r="L43" i="12"/>
  <c r="H43" i="12"/>
  <c r="AF56" i="13" s="1"/>
  <c r="A43" i="12"/>
  <c r="O42" i="12"/>
  <c r="N42" i="12"/>
  <c r="L42" i="12"/>
  <c r="U42" i="12" s="1"/>
  <c r="V42" i="12" s="1"/>
  <c r="H42" i="12"/>
  <c r="AE52" i="13" s="1"/>
  <c r="A42" i="12"/>
  <c r="S41" i="12"/>
  <c r="O41" i="12"/>
  <c r="N41" i="12"/>
  <c r="L41" i="12"/>
  <c r="U41" i="12" s="1"/>
  <c r="V41" i="12" s="1"/>
  <c r="H41" i="12"/>
  <c r="A41" i="12"/>
  <c r="H40" i="12"/>
  <c r="AF46" i="13" s="1"/>
  <c r="H39" i="12"/>
  <c r="AF45" i="13" s="1"/>
  <c r="H38" i="12"/>
  <c r="H37" i="12"/>
  <c r="H36" i="12"/>
  <c r="Y35" i="12"/>
  <c r="X35" i="12"/>
  <c r="W35" i="12"/>
  <c r="V35" i="12"/>
  <c r="H35" i="12"/>
  <c r="AE42" i="13" s="1"/>
  <c r="Y34" i="12"/>
  <c r="X34" i="12"/>
  <c r="W34" i="12"/>
  <c r="V34" i="12"/>
  <c r="U34" i="12"/>
  <c r="O34" i="12"/>
  <c r="Z34" i="12" s="1"/>
  <c r="H34" i="12"/>
  <c r="Z46" i="13" s="1"/>
  <c r="Z33" i="12"/>
  <c r="Y33" i="12"/>
  <c r="X33" i="12"/>
  <c r="W33" i="12"/>
  <c r="V33" i="12"/>
  <c r="O33" i="12"/>
  <c r="H33" i="12"/>
  <c r="P44" i="13" s="1"/>
  <c r="Y32" i="12"/>
  <c r="X32" i="12"/>
  <c r="W32" i="12"/>
  <c r="V32" i="12"/>
  <c r="O32" i="12"/>
  <c r="Z32" i="12" s="1"/>
  <c r="H32" i="12"/>
  <c r="H49" i="13" s="1"/>
  <c r="Y31" i="12"/>
  <c r="X31" i="12"/>
  <c r="W31" i="12"/>
  <c r="V31" i="12"/>
  <c r="O31" i="12"/>
  <c r="Z31" i="12" s="1"/>
  <c r="H31" i="12"/>
  <c r="N40" i="13" s="1"/>
  <c r="Y30" i="12"/>
  <c r="X30" i="12"/>
  <c r="W30" i="12"/>
  <c r="V30" i="12"/>
  <c r="U30" i="12"/>
  <c r="O30" i="12"/>
  <c r="Z30" i="12" s="1"/>
  <c r="H30" i="12"/>
  <c r="F40" i="13" s="1"/>
  <c r="C30" i="12"/>
  <c r="Y29" i="12"/>
  <c r="X29" i="12"/>
  <c r="W29" i="12"/>
  <c r="V29" i="12"/>
  <c r="O29" i="12"/>
  <c r="Z29" i="12" s="1"/>
  <c r="H29" i="12"/>
  <c r="C29" i="12"/>
  <c r="Y28" i="12"/>
  <c r="X28" i="12"/>
  <c r="W28" i="12"/>
  <c r="V28" i="12"/>
  <c r="H28" i="12"/>
  <c r="C28" i="12"/>
  <c r="Y27" i="12"/>
  <c r="X27" i="12"/>
  <c r="W27" i="12"/>
  <c r="V27" i="12"/>
  <c r="O27" i="12"/>
  <c r="Z27" i="12" s="1"/>
  <c r="H27" i="12"/>
  <c r="Y26" i="12"/>
  <c r="X26" i="12"/>
  <c r="W26" i="12"/>
  <c r="V26" i="12"/>
  <c r="O26" i="12"/>
  <c r="Z26" i="12" s="1"/>
  <c r="H26" i="12"/>
  <c r="Z25" i="12"/>
  <c r="Y25" i="12"/>
  <c r="X25" i="12"/>
  <c r="W25" i="12"/>
  <c r="V25" i="12"/>
  <c r="H25" i="12"/>
  <c r="C25" i="12"/>
  <c r="Z24" i="12"/>
  <c r="Y24" i="12"/>
  <c r="X24" i="12"/>
  <c r="W24" i="12"/>
  <c r="V24" i="12"/>
  <c r="H24" i="12"/>
  <c r="C24" i="12"/>
  <c r="Z23" i="12"/>
  <c r="Y23" i="12"/>
  <c r="X23" i="12"/>
  <c r="W23" i="12"/>
  <c r="V23" i="12"/>
  <c r="U23" i="12"/>
  <c r="H23" i="12"/>
  <c r="C23" i="12"/>
  <c r="Z22" i="12"/>
  <c r="Y22" i="12"/>
  <c r="X22" i="12"/>
  <c r="W22" i="12"/>
  <c r="V22" i="12"/>
  <c r="H22" i="12"/>
  <c r="AF39" i="13" s="1"/>
  <c r="C22" i="12"/>
  <c r="Z21" i="12"/>
  <c r="Y21" i="12"/>
  <c r="X21" i="12"/>
  <c r="W21" i="12"/>
  <c r="V21" i="12"/>
  <c r="H21" i="12"/>
  <c r="AO38" i="13" s="1"/>
  <c r="C21" i="12"/>
  <c r="Z20" i="12"/>
  <c r="Y20" i="12"/>
  <c r="X20" i="12"/>
  <c r="W20" i="12"/>
  <c r="V20" i="12"/>
  <c r="H20" i="12"/>
  <c r="C20" i="12"/>
  <c r="Z19" i="12"/>
  <c r="Y19" i="12"/>
  <c r="X19" i="12"/>
  <c r="W19" i="12"/>
  <c r="V19" i="12"/>
  <c r="H19" i="12"/>
  <c r="AF37" i="13" s="1"/>
  <c r="C19" i="12"/>
  <c r="Y18" i="12"/>
  <c r="X18" i="12"/>
  <c r="W18" i="12"/>
  <c r="V18" i="12"/>
  <c r="O18" i="12"/>
  <c r="Z18" i="12" s="1"/>
  <c r="H18" i="12"/>
  <c r="AF36" i="13" s="1"/>
  <c r="C18" i="12"/>
  <c r="Z17" i="12"/>
  <c r="Y17" i="12"/>
  <c r="X17" i="12"/>
  <c r="W17" i="12"/>
  <c r="V17" i="12"/>
  <c r="H17" i="12"/>
  <c r="AF35" i="13" s="1"/>
  <c r="C17" i="12"/>
  <c r="Z16" i="12"/>
  <c r="Y16" i="12"/>
  <c r="X16" i="12"/>
  <c r="W16" i="12"/>
  <c r="V16" i="12"/>
  <c r="H16" i="12"/>
  <c r="AF34" i="13" s="1"/>
  <c r="C16" i="12"/>
  <c r="Z15" i="12"/>
  <c r="Y15" i="12"/>
  <c r="X15" i="12"/>
  <c r="W15" i="12"/>
  <c r="V15" i="12"/>
  <c r="H15" i="12"/>
  <c r="AF33" i="13" s="1"/>
  <c r="Z14" i="12"/>
  <c r="Y14" i="12"/>
  <c r="X14" i="12"/>
  <c r="W14" i="12"/>
  <c r="V14" i="12"/>
  <c r="H14" i="12"/>
  <c r="F34" i="13" s="1"/>
  <c r="Z13" i="12"/>
  <c r="Y13" i="12"/>
  <c r="X13" i="12"/>
  <c r="W13" i="12"/>
  <c r="V13" i="12"/>
  <c r="H13" i="12"/>
  <c r="F33" i="13" s="1"/>
  <c r="Z12" i="12"/>
  <c r="Y12" i="12"/>
  <c r="X12" i="12"/>
  <c r="W12" i="12"/>
  <c r="V12" i="12"/>
  <c r="H12" i="12"/>
  <c r="Y11" i="12"/>
  <c r="X11" i="12"/>
  <c r="W11" i="12"/>
  <c r="V11" i="12"/>
  <c r="O11" i="12"/>
  <c r="Z11" i="12" s="1"/>
  <c r="H11" i="12"/>
  <c r="AN6" i="13" s="1"/>
  <c r="Z10" i="12"/>
  <c r="Y10" i="12"/>
  <c r="X10" i="12"/>
  <c r="W10" i="12"/>
  <c r="V10" i="12"/>
  <c r="H10" i="12"/>
  <c r="AN5" i="13" s="1"/>
  <c r="Z9" i="12"/>
  <c r="Y9" i="12"/>
  <c r="X9" i="12"/>
  <c r="W9" i="12"/>
  <c r="V9" i="12"/>
  <c r="H9" i="12"/>
  <c r="Z8" i="12"/>
  <c r="Y8" i="12"/>
  <c r="X8" i="12"/>
  <c r="W8" i="12"/>
  <c r="V8" i="12"/>
  <c r="H8" i="12"/>
  <c r="S7" i="13" s="1"/>
  <c r="Z7" i="12"/>
  <c r="Y7" i="12"/>
  <c r="X7" i="12"/>
  <c r="W7" i="12"/>
  <c r="V7" i="12"/>
  <c r="H7" i="12"/>
  <c r="S6" i="13" s="1"/>
  <c r="Z6" i="12"/>
  <c r="Y6" i="12"/>
  <c r="X6" i="12"/>
  <c r="W6" i="12"/>
  <c r="V6" i="12"/>
  <c r="H6" i="12"/>
  <c r="F7" i="13" s="1"/>
  <c r="Z5" i="12"/>
  <c r="Y5" i="12"/>
  <c r="X5" i="12"/>
  <c r="W5" i="12"/>
  <c r="V5" i="12"/>
  <c r="H5" i="12"/>
  <c r="F6" i="13" s="1"/>
  <c r="Z4" i="12"/>
  <c r="Y4" i="12"/>
  <c r="X4" i="12"/>
  <c r="W4" i="12"/>
  <c r="V4" i="12"/>
  <c r="H4" i="12"/>
  <c r="E5" i="13" s="1"/>
  <c r="Z3" i="12"/>
  <c r="Y3" i="12"/>
  <c r="X3" i="12"/>
  <c r="W3" i="12"/>
  <c r="V3" i="12"/>
  <c r="H3" i="12"/>
  <c r="H2" i="12"/>
  <c r="Y1" i="12"/>
  <c r="AO53" i="13" s="1"/>
  <c r="X1" i="12"/>
  <c r="AK53" i="13" s="1"/>
  <c r="W1" i="12"/>
  <c r="AH53" i="13" s="1"/>
  <c r="E116" i="11"/>
  <c r="O95" i="11"/>
  <c r="H95" i="11"/>
  <c r="V90" i="11"/>
  <c r="AS86" i="11"/>
  <c r="AO86" i="11"/>
  <c r="O84" i="11"/>
  <c r="H84" i="11"/>
  <c r="AE77" i="11"/>
  <c r="AF74" i="11"/>
  <c r="R71" i="11"/>
  <c r="L71" i="11"/>
  <c r="F71" i="11"/>
  <c r="F60" i="11"/>
  <c r="AE55" i="11"/>
  <c r="AX43" i="11"/>
  <c r="AW42" i="11"/>
  <c r="AW41" i="11"/>
  <c r="O50" i="10" s="1"/>
  <c r="AW40" i="11"/>
  <c r="O49" i="10" s="1"/>
  <c r="AW39" i="11"/>
  <c r="AW38" i="11"/>
  <c r="AM38" i="11"/>
  <c r="M63" i="5" s="1"/>
  <c r="AW37" i="11"/>
  <c r="AW36" i="11"/>
  <c r="O45" i="10" s="1"/>
  <c r="AF36" i="11"/>
  <c r="AW35" i="11"/>
  <c r="AW34" i="11"/>
  <c r="O43" i="10" s="1"/>
  <c r="AW33" i="11"/>
  <c r="AW43" i="11" s="1"/>
  <c r="AY43" i="11" s="1"/>
  <c r="AW30" i="11"/>
  <c r="A28" i="11"/>
  <c r="F20" i="11"/>
  <c r="AP14" i="11"/>
  <c r="AL14" i="11"/>
  <c r="AH14" i="11"/>
  <c r="AD14" i="11"/>
  <c r="Z14" i="11"/>
  <c r="V14" i="11"/>
  <c r="R14" i="11"/>
  <c r="N14" i="11"/>
  <c r="J14" i="11"/>
  <c r="F14" i="11"/>
  <c r="AR13" i="11"/>
  <c r="AN13" i="11"/>
  <c r="AJ13" i="11"/>
  <c r="AF13" i="11"/>
  <c r="AB13" i="11"/>
  <c r="X13" i="11"/>
  <c r="T13" i="11"/>
  <c r="P13" i="11"/>
  <c r="L13" i="11"/>
  <c r="H13" i="11"/>
  <c r="E13" i="11"/>
  <c r="AR12" i="11"/>
  <c r="AN12" i="11"/>
  <c r="AJ12" i="11"/>
  <c r="AF12" i="11"/>
  <c r="AB12" i="11"/>
  <c r="X12" i="11"/>
  <c r="T12" i="11"/>
  <c r="P12" i="11"/>
  <c r="L12" i="11"/>
  <c r="H12" i="11"/>
  <c r="C11" i="11"/>
  <c r="AX7" i="11"/>
  <c r="AN7" i="11"/>
  <c r="BL5" i="11"/>
  <c r="BK5" i="11"/>
  <c r="BJ5" i="11"/>
  <c r="BF5" i="11"/>
  <c r="AN5" i="11"/>
  <c r="BG4" i="11"/>
  <c r="BB3" i="11"/>
  <c r="BB2" i="11"/>
  <c r="N56" i="5" s="1"/>
  <c r="H205" i="10"/>
  <c r="H204" i="10"/>
  <c r="H203" i="10"/>
  <c r="H202" i="10"/>
  <c r="H201" i="10"/>
  <c r="H200" i="10"/>
  <c r="H199" i="10"/>
  <c r="H198" i="10"/>
  <c r="H197" i="10"/>
  <c r="H196" i="10"/>
  <c r="H195" i="10"/>
  <c r="AX10" i="11" s="1"/>
  <c r="H194" i="10"/>
  <c r="AX9" i="11" s="1"/>
  <c r="H193" i="10"/>
  <c r="H192" i="10"/>
  <c r="H191" i="10"/>
  <c r="H190" i="10"/>
  <c r="H189" i="10"/>
  <c r="H188" i="10"/>
  <c r="H187" i="10"/>
  <c r="H186" i="10"/>
  <c r="H185" i="10"/>
  <c r="H184" i="10"/>
  <c r="BE4" i="11" s="1"/>
  <c r="H183" i="10"/>
  <c r="BE3" i="11" s="1"/>
  <c r="H182" i="10"/>
  <c r="H181" i="10"/>
  <c r="AE96" i="11" s="1"/>
  <c r="H180" i="10"/>
  <c r="AQ76" i="11" s="1"/>
  <c r="H179" i="10"/>
  <c r="J178" i="10"/>
  <c r="H178" i="10"/>
  <c r="H177" i="10"/>
  <c r="J177" i="10" s="1"/>
  <c r="H176" i="10"/>
  <c r="AF47" i="11" s="1"/>
  <c r="H175" i="10"/>
  <c r="J175" i="10" s="1"/>
  <c r="H174" i="10"/>
  <c r="J174" i="10" s="1"/>
  <c r="H173" i="10"/>
  <c r="H172" i="10"/>
  <c r="H171" i="10"/>
  <c r="H170" i="10"/>
  <c r="H169" i="10"/>
  <c r="H168" i="10"/>
  <c r="H167" i="10"/>
  <c r="H166" i="10"/>
  <c r="H165" i="10"/>
  <c r="H164" i="10"/>
  <c r="H163" i="10"/>
  <c r="H162" i="10"/>
  <c r="H161" i="10"/>
  <c r="H160" i="10"/>
  <c r="K82" i="10" s="1"/>
  <c r="H159" i="10"/>
  <c r="J134" i="10" s="1"/>
  <c r="H158" i="10"/>
  <c r="H157" i="10"/>
  <c r="AX22" i="11" s="1"/>
  <c r="H156" i="10"/>
  <c r="H155" i="10"/>
  <c r="H154" i="10"/>
  <c r="H153" i="10"/>
  <c r="J153" i="10" s="1"/>
  <c r="J152" i="10"/>
  <c r="H152" i="10"/>
  <c r="H151" i="10"/>
  <c r="J151" i="10" s="1"/>
  <c r="H150" i="10"/>
  <c r="AW46" i="11" s="1"/>
  <c r="H149" i="10"/>
  <c r="R114" i="11" s="1"/>
  <c r="H148" i="10"/>
  <c r="H147" i="10"/>
  <c r="J147" i="10" s="1"/>
  <c r="H146" i="10"/>
  <c r="J146" i="10" s="1"/>
  <c r="C82" i="10" s="1"/>
  <c r="H145" i="10"/>
  <c r="J144" i="10"/>
  <c r="H144" i="10"/>
  <c r="H143" i="10"/>
  <c r="J143" i="10" s="1"/>
  <c r="R112" i="11" s="1"/>
  <c r="H142" i="10"/>
  <c r="E110" i="11" s="1"/>
  <c r="H141" i="10"/>
  <c r="E108" i="11" s="1"/>
  <c r="H140" i="10"/>
  <c r="E106" i="11" s="1"/>
  <c r="H139" i="10"/>
  <c r="E104" i="11" s="1"/>
  <c r="H138" i="10"/>
  <c r="E102" i="11" s="1"/>
  <c r="H137" i="10"/>
  <c r="M136" i="10"/>
  <c r="J136" i="10"/>
  <c r="H136" i="10"/>
  <c r="H135" i="10"/>
  <c r="J135" i="10" s="1"/>
  <c r="H134" i="10"/>
  <c r="I133" i="10"/>
  <c r="H133" i="10"/>
  <c r="M132" i="10"/>
  <c r="H132" i="10"/>
  <c r="H131" i="10"/>
  <c r="AX14" i="11" s="1"/>
  <c r="C62" i="5" s="1"/>
  <c r="M130" i="10"/>
  <c r="H130" i="10"/>
  <c r="S5" i="11" s="1"/>
  <c r="H129" i="10"/>
  <c r="H128" i="10"/>
  <c r="H127" i="10"/>
  <c r="H126" i="10"/>
  <c r="H125" i="10"/>
  <c r="AP34" i="11" s="1"/>
  <c r="M124" i="10"/>
  <c r="H124" i="10"/>
  <c r="H123" i="10"/>
  <c r="B78" i="10" s="1"/>
  <c r="M122" i="10"/>
  <c r="H122" i="10"/>
  <c r="H121" i="10"/>
  <c r="H120" i="10"/>
  <c r="H119" i="10"/>
  <c r="Z91" i="11" s="1"/>
  <c r="H118" i="10"/>
  <c r="Z87" i="11" s="1"/>
  <c r="H117" i="10"/>
  <c r="V95" i="11" s="1"/>
  <c r="M116" i="10"/>
  <c r="H116" i="10"/>
  <c r="H115" i="10"/>
  <c r="B72" i="10" s="1"/>
  <c r="M114" i="10"/>
  <c r="H114" i="10"/>
  <c r="H113" i="10"/>
  <c r="B69" i="10" s="1"/>
  <c r="H112" i="10"/>
  <c r="H111" i="10"/>
  <c r="L60" i="11" s="1"/>
  <c r="H110" i="10"/>
  <c r="H109" i="10"/>
  <c r="M108" i="10"/>
  <c r="H108" i="10"/>
  <c r="H107" i="10"/>
  <c r="F21" i="11" s="1"/>
  <c r="M106" i="10"/>
  <c r="H106" i="10"/>
  <c r="H105" i="10"/>
  <c r="H104" i="10"/>
  <c r="M102" i="10"/>
  <c r="H102" i="10"/>
  <c r="AE90" i="11" s="1"/>
  <c r="H101" i="10"/>
  <c r="H100" i="10"/>
  <c r="H99" i="10"/>
  <c r="H98" i="10"/>
  <c r="H97" i="10"/>
  <c r="M96" i="10"/>
  <c r="J96" i="10"/>
  <c r="H96" i="10"/>
  <c r="AW95" i="11" s="1"/>
  <c r="M95" i="10"/>
  <c r="H95" i="10"/>
  <c r="H94" i="10"/>
  <c r="M93" i="10"/>
  <c r="J93" i="10"/>
  <c r="H93" i="10"/>
  <c r="C93" i="10"/>
  <c r="M92" i="10"/>
  <c r="H92" i="10"/>
  <c r="J92" i="10" s="1"/>
  <c r="C92" i="10"/>
  <c r="H91" i="10"/>
  <c r="AF48" i="11" s="1"/>
  <c r="C91" i="10"/>
  <c r="M90" i="10"/>
  <c r="H90" i="10"/>
  <c r="AE88" i="11" s="1"/>
  <c r="C90" i="10"/>
  <c r="M89" i="10"/>
  <c r="H89" i="10"/>
  <c r="J89" i="10" s="1"/>
  <c r="C89" i="10"/>
  <c r="H88" i="10"/>
  <c r="C88" i="10"/>
  <c r="C95" i="10" s="1"/>
  <c r="L72" i="10" s="1"/>
  <c r="U72" i="10" s="1"/>
  <c r="V72" i="10" s="1"/>
  <c r="H87" i="10"/>
  <c r="AE83" i="11" s="1"/>
  <c r="H86" i="10"/>
  <c r="J86" i="10" s="1"/>
  <c r="H85" i="10"/>
  <c r="J85" i="10" s="1"/>
  <c r="H84" i="10"/>
  <c r="AE80" i="11" s="1"/>
  <c r="H83" i="10"/>
  <c r="H82" i="10"/>
  <c r="J82" i="10" s="1"/>
  <c r="H81" i="10"/>
  <c r="J81" i="10" s="1"/>
  <c r="B81" i="10"/>
  <c r="H80" i="10"/>
  <c r="J77" i="10" s="1"/>
  <c r="U79" i="10"/>
  <c r="V79" i="10" s="1"/>
  <c r="H79" i="10"/>
  <c r="J79" i="10" s="1"/>
  <c r="U78" i="10"/>
  <c r="V78" i="10" s="1"/>
  <c r="W78" i="10" s="1"/>
  <c r="H78" i="10"/>
  <c r="J78" i="10" s="1"/>
  <c r="H77" i="10"/>
  <c r="AE78" i="11" s="1"/>
  <c r="B77" i="10"/>
  <c r="L76" i="10"/>
  <c r="U76" i="10" s="1"/>
  <c r="V76" i="10" s="1"/>
  <c r="H76" i="10"/>
  <c r="L75" i="10"/>
  <c r="U75" i="10" s="1"/>
  <c r="V75" i="10" s="1"/>
  <c r="H75" i="10"/>
  <c r="AG75" i="11" s="1"/>
  <c r="B75" i="10"/>
  <c r="L74" i="10"/>
  <c r="U74" i="10" s="1"/>
  <c r="V74" i="10" s="1"/>
  <c r="J74" i="10"/>
  <c r="H74" i="10"/>
  <c r="AM76" i="11" s="1"/>
  <c r="B74" i="10"/>
  <c r="H73" i="10"/>
  <c r="H72" i="10"/>
  <c r="L71" i="10"/>
  <c r="M71" i="10" s="1"/>
  <c r="U71" i="10" s="1"/>
  <c r="V71" i="10" s="1"/>
  <c r="H71" i="10"/>
  <c r="B71" i="10"/>
  <c r="H70" i="10"/>
  <c r="AE73" i="11" s="1"/>
  <c r="R69" i="10"/>
  <c r="U67" i="10" s="1"/>
  <c r="V67" i="10" s="1"/>
  <c r="L69" i="10"/>
  <c r="J69" i="10"/>
  <c r="H69" i="10"/>
  <c r="V68" i="10"/>
  <c r="U68" i="10"/>
  <c r="P68" i="10"/>
  <c r="L68" i="10"/>
  <c r="H68" i="10"/>
  <c r="J68" i="10" s="1"/>
  <c r="B68" i="10"/>
  <c r="P67" i="10"/>
  <c r="R67" i="10" s="1"/>
  <c r="L67" i="10"/>
  <c r="H67" i="10"/>
  <c r="K80" i="10" s="1"/>
  <c r="N80" i="10" s="1"/>
  <c r="Q66" i="10"/>
  <c r="P66" i="10"/>
  <c r="R66" i="10" s="1"/>
  <c r="L66" i="10"/>
  <c r="H66" i="10"/>
  <c r="K81" i="10" s="1"/>
  <c r="V65" i="10"/>
  <c r="U65" i="10"/>
  <c r="P65" i="10"/>
  <c r="R65" i="10" s="1"/>
  <c r="L65" i="10"/>
  <c r="H65" i="10"/>
  <c r="K79" i="10" s="1"/>
  <c r="N79" i="10" s="1"/>
  <c r="U64" i="10"/>
  <c r="V64" i="10" s="1"/>
  <c r="P64" i="10"/>
  <c r="L64" i="10"/>
  <c r="H64" i="10"/>
  <c r="AE60" i="11" s="1"/>
  <c r="C64" i="10"/>
  <c r="U63" i="10"/>
  <c r="V63" i="10" s="1"/>
  <c r="P63" i="10"/>
  <c r="L63" i="10"/>
  <c r="H63" i="10"/>
  <c r="R62" i="10"/>
  <c r="Q62" i="10"/>
  <c r="P62" i="10"/>
  <c r="L62" i="10"/>
  <c r="A9" i="11" s="1"/>
  <c r="H62" i="10"/>
  <c r="Q61" i="10"/>
  <c r="P61" i="10"/>
  <c r="R61" i="10" s="1"/>
  <c r="L61" i="10"/>
  <c r="H61" i="10"/>
  <c r="P60" i="10"/>
  <c r="L60" i="10"/>
  <c r="H60" i="10"/>
  <c r="U59" i="10"/>
  <c r="V59" i="10" s="1"/>
  <c r="P59" i="10"/>
  <c r="L59" i="10"/>
  <c r="M59" i="10" s="1"/>
  <c r="H59" i="10"/>
  <c r="L58" i="10"/>
  <c r="H58" i="10"/>
  <c r="L57" i="10"/>
  <c r="H57" i="10"/>
  <c r="AH7" i="11" s="1"/>
  <c r="L56" i="10"/>
  <c r="H56" i="10"/>
  <c r="AH6" i="11" s="1"/>
  <c r="L55" i="10"/>
  <c r="U55" i="10" s="1"/>
  <c r="V55" i="10" s="1"/>
  <c r="H55" i="10"/>
  <c r="AH5" i="11" s="1"/>
  <c r="C58" i="5" s="1"/>
  <c r="M54" i="10"/>
  <c r="L54" i="10" s="1"/>
  <c r="U54" i="10" s="1"/>
  <c r="V54" i="10" s="1"/>
  <c r="H54" i="10"/>
  <c r="U53" i="10"/>
  <c r="V53" i="10" s="1"/>
  <c r="L53" i="10"/>
  <c r="H53" i="10"/>
  <c r="U52" i="10"/>
  <c r="V52" i="10" s="1"/>
  <c r="O52" i="10"/>
  <c r="L52" i="10"/>
  <c r="H52" i="10"/>
  <c r="AE79" i="11" s="1"/>
  <c r="L51" i="10"/>
  <c r="U51" i="10" s="1"/>
  <c r="V51" i="10" s="1"/>
  <c r="H51" i="10"/>
  <c r="AO85" i="11" s="1"/>
  <c r="U50" i="10"/>
  <c r="V50" i="10" s="1"/>
  <c r="N50" i="10"/>
  <c r="L50" i="10"/>
  <c r="H50" i="10"/>
  <c r="AO84" i="11" s="1"/>
  <c r="N49" i="10"/>
  <c r="H49" i="10"/>
  <c r="AN83" i="11" s="1"/>
  <c r="A49" i="10"/>
  <c r="O48" i="10"/>
  <c r="N48" i="10"/>
  <c r="L48" i="10"/>
  <c r="L49" i="10" s="1"/>
  <c r="H48" i="10"/>
  <c r="A48" i="10"/>
  <c r="O47" i="10"/>
  <c r="N47" i="10"/>
  <c r="L47" i="10"/>
  <c r="U47" i="10" s="1"/>
  <c r="V47" i="10" s="1"/>
  <c r="H47" i="10"/>
  <c r="AE87" i="11" s="1"/>
  <c r="B47" i="10"/>
  <c r="V84" i="11" s="1"/>
  <c r="A47" i="10"/>
  <c r="O46" i="10"/>
  <c r="N46" i="10"/>
  <c r="L46" i="10"/>
  <c r="U46" i="10" s="1"/>
  <c r="V46" i="10" s="1"/>
  <c r="H46" i="10"/>
  <c r="A46" i="10"/>
  <c r="N45" i="10"/>
  <c r="L45" i="10"/>
  <c r="U45" i="10" s="1"/>
  <c r="V45" i="10" s="1"/>
  <c r="H45" i="10"/>
  <c r="AF57" i="11" s="1"/>
  <c r="A45" i="10"/>
  <c r="O44" i="10"/>
  <c r="N44" i="10"/>
  <c r="L44" i="10"/>
  <c r="H44" i="10"/>
  <c r="AN56" i="11" s="1"/>
  <c r="B44" i="10"/>
  <c r="X71" i="11" s="1"/>
  <c r="A44" i="10"/>
  <c r="U43" i="10"/>
  <c r="V43" i="10" s="1"/>
  <c r="N43" i="10"/>
  <c r="L43" i="10"/>
  <c r="H43" i="10"/>
  <c r="AF56" i="11" s="1"/>
  <c r="A43" i="10"/>
  <c r="O42" i="10"/>
  <c r="N42" i="10"/>
  <c r="L42" i="10"/>
  <c r="U42" i="10" s="1"/>
  <c r="V42" i="10" s="1"/>
  <c r="H42" i="10"/>
  <c r="AE52" i="11" s="1"/>
  <c r="A42" i="10"/>
  <c r="S41" i="10"/>
  <c r="O41" i="10"/>
  <c r="N41" i="10"/>
  <c r="L41" i="10"/>
  <c r="U41" i="10" s="1"/>
  <c r="V41" i="10" s="1"/>
  <c r="H41" i="10"/>
  <c r="A41" i="10"/>
  <c r="H40" i="10"/>
  <c r="AF46" i="11" s="1"/>
  <c r="H39" i="10"/>
  <c r="AF45" i="11" s="1"/>
  <c r="H38" i="10"/>
  <c r="H37" i="10"/>
  <c r="H36" i="10"/>
  <c r="AF43" i="11" s="1"/>
  <c r="Y35" i="10"/>
  <c r="X35" i="10"/>
  <c r="W35" i="10"/>
  <c r="V35" i="10"/>
  <c r="O35" i="10"/>
  <c r="Z35" i="10" s="1"/>
  <c r="H35" i="10"/>
  <c r="AE42" i="11" s="1"/>
  <c r="Y34" i="10"/>
  <c r="X34" i="10"/>
  <c r="W34" i="10"/>
  <c r="V34" i="10"/>
  <c r="U34" i="10"/>
  <c r="O34" i="10"/>
  <c r="Z34" i="10" s="1"/>
  <c r="H34" i="10"/>
  <c r="Z46" i="11" s="1"/>
  <c r="Y33" i="10"/>
  <c r="X33" i="10"/>
  <c r="W33" i="10"/>
  <c r="V33" i="10"/>
  <c r="O33" i="10"/>
  <c r="Z33" i="10" s="1"/>
  <c r="H33" i="10"/>
  <c r="P44" i="11" s="1"/>
  <c r="Y32" i="10"/>
  <c r="X32" i="10"/>
  <c r="W32" i="10"/>
  <c r="V32" i="10"/>
  <c r="H32" i="10"/>
  <c r="H49" i="11" s="1"/>
  <c r="Y31" i="10"/>
  <c r="X31" i="10"/>
  <c r="W31" i="10"/>
  <c r="V31" i="10"/>
  <c r="O31" i="10"/>
  <c r="Z31" i="10" s="1"/>
  <c r="H31" i="10"/>
  <c r="N40" i="11" s="1"/>
  <c r="Y30" i="10"/>
  <c r="X30" i="10"/>
  <c r="W30" i="10"/>
  <c r="V30" i="10"/>
  <c r="O30" i="10"/>
  <c r="Z30" i="10" s="1"/>
  <c r="H30" i="10"/>
  <c r="F40" i="11" s="1"/>
  <c r="C30" i="10"/>
  <c r="Y29" i="10"/>
  <c r="X29" i="10"/>
  <c r="W29" i="10"/>
  <c r="V29" i="10"/>
  <c r="O29" i="10"/>
  <c r="Z29" i="10" s="1"/>
  <c r="H29" i="10"/>
  <c r="C29" i="10"/>
  <c r="Y28" i="10"/>
  <c r="X28" i="10"/>
  <c r="W28" i="10"/>
  <c r="V28" i="10"/>
  <c r="O28" i="10"/>
  <c r="Z28" i="10" s="1"/>
  <c r="H28" i="10"/>
  <c r="C28" i="10"/>
  <c r="Y27" i="10"/>
  <c r="X27" i="10"/>
  <c r="W27" i="10"/>
  <c r="V27" i="10"/>
  <c r="O27" i="10"/>
  <c r="Z27" i="10" s="1"/>
  <c r="H27" i="10"/>
  <c r="Y26" i="10"/>
  <c r="X26" i="10"/>
  <c r="W26" i="10"/>
  <c r="V26" i="10"/>
  <c r="O26" i="10"/>
  <c r="Z26" i="10" s="1"/>
  <c r="H26" i="10"/>
  <c r="Z25" i="10"/>
  <c r="Y25" i="10"/>
  <c r="X25" i="10"/>
  <c r="W25" i="10"/>
  <c r="V25" i="10"/>
  <c r="H25" i="10"/>
  <c r="AP33" i="11" s="1"/>
  <c r="C25" i="10"/>
  <c r="Z24" i="10"/>
  <c r="Y24" i="10"/>
  <c r="X24" i="10"/>
  <c r="W24" i="10"/>
  <c r="V24" i="10"/>
  <c r="H24" i="10"/>
  <c r="C24" i="10"/>
  <c r="Z23" i="10"/>
  <c r="Y23" i="10"/>
  <c r="X23" i="10"/>
  <c r="W23" i="10"/>
  <c r="V23" i="10"/>
  <c r="H23" i="10"/>
  <c r="C23" i="10"/>
  <c r="Z22" i="10"/>
  <c r="Y22" i="10"/>
  <c r="X22" i="10"/>
  <c r="W22" i="10"/>
  <c r="V22" i="10"/>
  <c r="H22" i="10"/>
  <c r="AF39" i="11" s="1"/>
  <c r="C22" i="10"/>
  <c r="Z21" i="10"/>
  <c r="Y21" i="10"/>
  <c r="X21" i="10"/>
  <c r="W21" i="10"/>
  <c r="V21" i="10"/>
  <c r="H21" i="10"/>
  <c r="AO38" i="11" s="1"/>
  <c r="C21" i="10"/>
  <c r="Z20" i="10"/>
  <c r="Y20" i="10"/>
  <c r="X20" i="10"/>
  <c r="W20" i="10"/>
  <c r="V20" i="10"/>
  <c r="H20" i="10"/>
  <c r="AF38" i="11" s="1"/>
  <c r="C20" i="10"/>
  <c r="Z19" i="10"/>
  <c r="Y19" i="10"/>
  <c r="X19" i="10"/>
  <c r="W19" i="10"/>
  <c r="V19" i="10"/>
  <c r="H19" i="10"/>
  <c r="AF37" i="11" s="1"/>
  <c r="C19" i="10"/>
  <c r="Y18" i="10"/>
  <c r="X18" i="10"/>
  <c r="W18" i="10"/>
  <c r="V18" i="10"/>
  <c r="O18" i="10"/>
  <c r="Z18" i="10" s="1"/>
  <c r="H18" i="10"/>
  <c r="C18" i="10"/>
  <c r="Z17" i="10"/>
  <c r="Y17" i="10"/>
  <c r="X17" i="10"/>
  <c r="W17" i="10"/>
  <c r="V17" i="10"/>
  <c r="H17" i="10"/>
  <c r="AF35" i="11" s="1"/>
  <c r="C17" i="10"/>
  <c r="Z16" i="10"/>
  <c r="Y16" i="10"/>
  <c r="X16" i="10"/>
  <c r="W16" i="10"/>
  <c r="V16" i="10"/>
  <c r="U16" i="10"/>
  <c r="H16" i="10"/>
  <c r="AF34" i="11" s="1"/>
  <c r="C16" i="10"/>
  <c r="Z15" i="10"/>
  <c r="Y15" i="10"/>
  <c r="X15" i="10"/>
  <c r="W15" i="10"/>
  <c r="V15" i="10"/>
  <c r="H15" i="10"/>
  <c r="AF33" i="11" s="1"/>
  <c r="Z14" i="10"/>
  <c r="Y14" i="10"/>
  <c r="X14" i="10"/>
  <c r="W14" i="10"/>
  <c r="V14" i="10"/>
  <c r="H14" i="10"/>
  <c r="F34" i="11" s="1"/>
  <c r="Z13" i="10"/>
  <c r="Y13" i="10"/>
  <c r="X13" i="10"/>
  <c r="W13" i="10"/>
  <c r="V13" i="10"/>
  <c r="H13" i="10"/>
  <c r="F33" i="11" s="1"/>
  <c r="Z12" i="10"/>
  <c r="Y12" i="10"/>
  <c r="X12" i="10"/>
  <c r="W12" i="10"/>
  <c r="V12" i="10"/>
  <c r="H12" i="10"/>
  <c r="Y11" i="10"/>
  <c r="X11" i="10"/>
  <c r="W11" i="10"/>
  <c r="V11" i="10"/>
  <c r="O11" i="10"/>
  <c r="Z11" i="10" s="1"/>
  <c r="H11" i="10"/>
  <c r="AN6" i="11" s="1"/>
  <c r="Z10" i="10"/>
  <c r="Y10" i="10"/>
  <c r="X10" i="10"/>
  <c r="W10" i="10"/>
  <c r="V10" i="10"/>
  <c r="H10" i="10"/>
  <c r="Z9" i="10"/>
  <c r="Y9" i="10"/>
  <c r="X9" i="10"/>
  <c r="W9" i="10"/>
  <c r="V9" i="10"/>
  <c r="U9" i="10"/>
  <c r="H9" i="10"/>
  <c r="Z8" i="10"/>
  <c r="Y8" i="10"/>
  <c r="X8" i="10"/>
  <c r="W8" i="10"/>
  <c r="V8" i="10"/>
  <c r="H8" i="10"/>
  <c r="S7" i="11" s="1"/>
  <c r="Z7" i="10"/>
  <c r="Y7" i="10"/>
  <c r="X7" i="10"/>
  <c r="W7" i="10"/>
  <c r="V7" i="10"/>
  <c r="H7" i="10"/>
  <c r="S6" i="11" s="1"/>
  <c r="Z6" i="10"/>
  <c r="Y6" i="10"/>
  <c r="X6" i="10"/>
  <c r="W6" i="10"/>
  <c r="V6" i="10"/>
  <c r="H6" i="10"/>
  <c r="F7" i="11" s="1"/>
  <c r="Z5" i="10"/>
  <c r="Y5" i="10"/>
  <c r="X5" i="10"/>
  <c r="W5" i="10"/>
  <c r="V5" i="10"/>
  <c r="H5" i="10"/>
  <c r="F6" i="11" s="1"/>
  <c r="Z4" i="10"/>
  <c r="Y4" i="10"/>
  <c r="X4" i="10"/>
  <c r="W4" i="10"/>
  <c r="V4" i="10"/>
  <c r="H4" i="10"/>
  <c r="E5" i="11" s="1"/>
  <c r="Z3" i="10"/>
  <c r="Y3" i="10"/>
  <c r="X3" i="10"/>
  <c r="W3" i="10"/>
  <c r="V3" i="10"/>
  <c r="H3" i="10"/>
  <c r="H2" i="10"/>
  <c r="AX3" i="11" s="1"/>
  <c r="Y1" i="10"/>
  <c r="AO53" i="11" s="1"/>
  <c r="X1" i="10"/>
  <c r="AK53" i="11" s="1"/>
  <c r="W1" i="10"/>
  <c r="AH53" i="11" s="1"/>
  <c r="E116" i="9"/>
  <c r="E102" i="9"/>
  <c r="O95" i="9"/>
  <c r="H95" i="9"/>
  <c r="AS86" i="9"/>
  <c r="AO86" i="9"/>
  <c r="V84" i="9"/>
  <c r="O84" i="9"/>
  <c r="H84" i="9"/>
  <c r="AE77" i="9"/>
  <c r="AF74" i="9"/>
  <c r="R71" i="9"/>
  <c r="L71" i="9"/>
  <c r="F71" i="9"/>
  <c r="F60" i="9"/>
  <c r="AE55" i="9"/>
  <c r="AX43" i="9"/>
  <c r="AW42" i="9"/>
  <c r="AW41" i="9"/>
  <c r="AW40" i="9"/>
  <c r="AW39" i="9"/>
  <c r="O48" i="8" s="1"/>
  <c r="AW38" i="9"/>
  <c r="O47" i="8" s="1"/>
  <c r="AM38" i="9"/>
  <c r="M47" i="5" s="1"/>
  <c r="AW37" i="9"/>
  <c r="AW36" i="9"/>
  <c r="O45" i="8" s="1"/>
  <c r="AW35" i="9"/>
  <c r="AW34" i="9"/>
  <c r="AP34" i="9"/>
  <c r="AW33" i="9"/>
  <c r="AW30" i="9"/>
  <c r="A28" i="9"/>
  <c r="AP14" i="9"/>
  <c r="AL14" i="9"/>
  <c r="AH14" i="9"/>
  <c r="AD14" i="9"/>
  <c r="Z14" i="9"/>
  <c r="V14" i="9"/>
  <c r="R14" i="9"/>
  <c r="N14" i="9"/>
  <c r="J14" i="9"/>
  <c r="F14" i="9"/>
  <c r="AR13" i="9"/>
  <c r="AN13" i="9"/>
  <c r="AJ13" i="9"/>
  <c r="AF13" i="9"/>
  <c r="AB13" i="9"/>
  <c r="X13" i="9"/>
  <c r="T13" i="9"/>
  <c r="P13" i="9"/>
  <c r="L13" i="9"/>
  <c r="H13" i="9"/>
  <c r="E13" i="9"/>
  <c r="AR12" i="9"/>
  <c r="AN12" i="9"/>
  <c r="AJ12" i="9"/>
  <c r="AF12" i="9"/>
  <c r="AB12" i="9"/>
  <c r="X12" i="9"/>
  <c r="T12" i="9"/>
  <c r="P12" i="9"/>
  <c r="L12" i="9"/>
  <c r="H12" i="9"/>
  <c r="C11" i="9"/>
  <c r="BL5" i="9"/>
  <c r="BK5" i="9"/>
  <c r="BJ5" i="9"/>
  <c r="BF5" i="9"/>
  <c r="BB3" i="9"/>
  <c r="AX3" i="9"/>
  <c r="BB2" i="9"/>
  <c r="N40" i="5" s="1"/>
  <c r="H205" i="8"/>
  <c r="H204" i="8"/>
  <c r="H203" i="8"/>
  <c r="H202" i="8"/>
  <c r="H201" i="8"/>
  <c r="H200" i="8"/>
  <c r="H199" i="8"/>
  <c r="H198" i="8"/>
  <c r="H197" i="8"/>
  <c r="H196" i="8"/>
  <c r="H195" i="8"/>
  <c r="AX10" i="9" s="1"/>
  <c r="H194" i="8"/>
  <c r="AX9" i="9" s="1"/>
  <c r="H193" i="8"/>
  <c r="AX7" i="9" s="1"/>
  <c r="H192" i="8"/>
  <c r="H191" i="8"/>
  <c r="H190" i="8"/>
  <c r="H189" i="8"/>
  <c r="H188" i="8"/>
  <c r="H187" i="8"/>
  <c r="H186" i="8"/>
  <c r="H185" i="8"/>
  <c r="BG4" i="9" s="1"/>
  <c r="H184" i="8"/>
  <c r="BE4" i="9" s="1"/>
  <c r="H183" i="8"/>
  <c r="BE3" i="9" s="1"/>
  <c r="H182" i="8"/>
  <c r="H181" i="8"/>
  <c r="AE96" i="9" s="1"/>
  <c r="H180" i="8"/>
  <c r="AQ76" i="9" s="1"/>
  <c r="H179" i="8"/>
  <c r="H178" i="8"/>
  <c r="J178" i="8" s="1"/>
  <c r="H177" i="8"/>
  <c r="J177" i="8" s="1"/>
  <c r="H176" i="8"/>
  <c r="AF47" i="9" s="1"/>
  <c r="H175" i="8"/>
  <c r="J175" i="8" s="1"/>
  <c r="H174" i="8"/>
  <c r="J174" i="8" s="1"/>
  <c r="H173" i="8"/>
  <c r="H172" i="8"/>
  <c r="H171" i="8"/>
  <c r="H170" i="8"/>
  <c r="H169" i="8"/>
  <c r="H168" i="8"/>
  <c r="H167" i="8"/>
  <c r="H166" i="8"/>
  <c r="H165" i="8"/>
  <c r="H164" i="8"/>
  <c r="H163" i="8"/>
  <c r="H162" i="8"/>
  <c r="H161" i="8"/>
  <c r="H160" i="8"/>
  <c r="H159" i="8"/>
  <c r="J134" i="8" s="1"/>
  <c r="H158" i="8"/>
  <c r="H157" i="8"/>
  <c r="AX22" i="9" s="1"/>
  <c r="H156" i="8"/>
  <c r="H155" i="8"/>
  <c r="H154" i="8"/>
  <c r="J153" i="8"/>
  <c r="H153" i="8"/>
  <c r="H152" i="8"/>
  <c r="J152" i="8" s="1"/>
  <c r="H151" i="8"/>
  <c r="J151" i="8" s="1"/>
  <c r="H150" i="8"/>
  <c r="AW46" i="9" s="1"/>
  <c r="H149" i="8"/>
  <c r="R114" i="9" s="1"/>
  <c r="H148" i="8"/>
  <c r="H147" i="8"/>
  <c r="J147" i="8" s="1"/>
  <c r="H146" i="8"/>
  <c r="J146" i="8" s="1"/>
  <c r="C84" i="8" s="1"/>
  <c r="H145" i="8"/>
  <c r="J144" i="8"/>
  <c r="H144" i="8"/>
  <c r="H143" i="8"/>
  <c r="J143" i="8" s="1"/>
  <c r="R112" i="9" s="1"/>
  <c r="H142" i="8"/>
  <c r="E110" i="9" s="1"/>
  <c r="H141" i="8"/>
  <c r="E108" i="9" s="1"/>
  <c r="H140" i="8"/>
  <c r="E106" i="9" s="1"/>
  <c r="H139" i="8"/>
  <c r="E104" i="9" s="1"/>
  <c r="H138" i="8"/>
  <c r="H137" i="8"/>
  <c r="M136" i="8"/>
  <c r="J136" i="8"/>
  <c r="H136" i="8"/>
  <c r="H135" i="8"/>
  <c r="J135" i="8" s="1"/>
  <c r="H134" i="8"/>
  <c r="I133" i="8"/>
  <c r="H133" i="8"/>
  <c r="M132" i="8"/>
  <c r="H132" i="8"/>
  <c r="H131" i="8"/>
  <c r="AX14" i="9" s="1"/>
  <c r="M130" i="8"/>
  <c r="H130" i="8"/>
  <c r="S5" i="9" s="1"/>
  <c r="H129" i="8"/>
  <c r="M128" i="8"/>
  <c r="H128" i="8"/>
  <c r="H127" i="8"/>
  <c r="M126" i="8"/>
  <c r="H126" i="8"/>
  <c r="H125" i="8"/>
  <c r="M124" i="8"/>
  <c r="H124" i="8"/>
  <c r="F20" i="9" s="1"/>
  <c r="H123" i="8"/>
  <c r="M122" i="8"/>
  <c r="H122" i="8"/>
  <c r="H121" i="8"/>
  <c r="M120" i="8"/>
  <c r="H120" i="8"/>
  <c r="H119" i="8"/>
  <c r="Z91" i="9" s="1"/>
  <c r="M118" i="8"/>
  <c r="H118" i="8"/>
  <c r="Z87" i="9" s="1"/>
  <c r="H117" i="8"/>
  <c r="V95" i="9" s="1"/>
  <c r="M116" i="8"/>
  <c r="H116" i="8"/>
  <c r="V90" i="9" s="1"/>
  <c r="H115" i="8"/>
  <c r="M114" i="8"/>
  <c r="H114" i="8"/>
  <c r="H113" i="8"/>
  <c r="M112" i="8"/>
  <c r="H112" i="8"/>
  <c r="H111" i="8"/>
  <c r="L60" i="9" s="1"/>
  <c r="M110" i="8"/>
  <c r="H110" i="8"/>
  <c r="H109" i="8"/>
  <c r="M108" i="8"/>
  <c r="H108" i="8"/>
  <c r="H107" i="8"/>
  <c r="M106" i="8"/>
  <c r="H106" i="8"/>
  <c r="H105" i="8"/>
  <c r="M104" i="8"/>
  <c r="H104" i="8"/>
  <c r="H102" i="8"/>
  <c r="AE90" i="9" s="1"/>
  <c r="H101" i="8"/>
  <c r="M100" i="8"/>
  <c r="H100" i="8"/>
  <c r="H99" i="8"/>
  <c r="M98" i="8"/>
  <c r="H98" i="8"/>
  <c r="H97" i="8"/>
  <c r="M96" i="8"/>
  <c r="J96" i="8"/>
  <c r="H96" i="8"/>
  <c r="AW95" i="9" s="1"/>
  <c r="H95" i="8"/>
  <c r="U69" i="8" s="1"/>
  <c r="V69" i="8" s="1"/>
  <c r="M94" i="8"/>
  <c r="H94" i="8"/>
  <c r="J93" i="8"/>
  <c r="H93" i="8"/>
  <c r="C93" i="8"/>
  <c r="H92" i="8"/>
  <c r="J92" i="8" s="1"/>
  <c r="C92" i="8"/>
  <c r="H91" i="8"/>
  <c r="AF48" i="9" s="1"/>
  <c r="C91" i="8"/>
  <c r="H90" i="8"/>
  <c r="AE88" i="9" s="1"/>
  <c r="C90" i="8"/>
  <c r="M89" i="8"/>
  <c r="H89" i="8"/>
  <c r="J89" i="8" s="1"/>
  <c r="C89" i="8"/>
  <c r="H88" i="8"/>
  <c r="C88" i="8"/>
  <c r="M87" i="8"/>
  <c r="H87" i="8"/>
  <c r="AE83" i="9" s="1"/>
  <c r="J86" i="8"/>
  <c r="H86" i="8"/>
  <c r="J85" i="8"/>
  <c r="H85" i="8"/>
  <c r="H84" i="8"/>
  <c r="AE80" i="9" s="1"/>
  <c r="H83" i="8"/>
  <c r="C83" i="8"/>
  <c r="K82" i="8"/>
  <c r="H82" i="8"/>
  <c r="J82" i="8" s="1"/>
  <c r="C82" i="8"/>
  <c r="H81" i="8"/>
  <c r="J81" i="8" s="1"/>
  <c r="B81" i="8"/>
  <c r="H80" i="8"/>
  <c r="J80" i="8" s="1"/>
  <c r="U79" i="8"/>
  <c r="V79" i="8" s="1"/>
  <c r="H79" i="8"/>
  <c r="J79" i="8" s="1"/>
  <c r="U78" i="8"/>
  <c r="V78" i="8" s="1"/>
  <c r="H78" i="8"/>
  <c r="J78" i="8" s="1"/>
  <c r="B78" i="8"/>
  <c r="J77" i="8"/>
  <c r="H77" i="8"/>
  <c r="AE78" i="9" s="1"/>
  <c r="B77" i="8"/>
  <c r="L76" i="8"/>
  <c r="U76" i="8" s="1"/>
  <c r="V76" i="8" s="1"/>
  <c r="H76" i="8"/>
  <c r="L75" i="8"/>
  <c r="U75" i="8" s="1"/>
  <c r="V75" i="8" s="1"/>
  <c r="H75" i="8"/>
  <c r="AG75" i="9" s="1"/>
  <c r="B75" i="8"/>
  <c r="L74" i="8"/>
  <c r="U74" i="8" s="1"/>
  <c r="V74" i="8" s="1"/>
  <c r="H74" i="8"/>
  <c r="B74" i="8"/>
  <c r="J73" i="8"/>
  <c r="H73" i="8"/>
  <c r="AM75" i="9" s="1"/>
  <c r="H72" i="8"/>
  <c r="AM74" i="9" s="1"/>
  <c r="B72" i="8"/>
  <c r="M71" i="8"/>
  <c r="U71" i="8" s="1"/>
  <c r="V71" i="8" s="1"/>
  <c r="L71" i="8"/>
  <c r="H71" i="8"/>
  <c r="B71" i="8"/>
  <c r="H70" i="8"/>
  <c r="AE73" i="9" s="1"/>
  <c r="R69" i="8"/>
  <c r="L69" i="8"/>
  <c r="H69" i="8"/>
  <c r="J69" i="8" s="1"/>
  <c r="B69" i="8"/>
  <c r="U68" i="8"/>
  <c r="V68" i="8" s="1"/>
  <c r="W68" i="8" s="1"/>
  <c r="P68" i="8"/>
  <c r="R68" i="8" s="1"/>
  <c r="L68" i="8"/>
  <c r="H68" i="8"/>
  <c r="J68" i="8" s="1"/>
  <c r="B68" i="8"/>
  <c r="U67" i="8"/>
  <c r="V67" i="8" s="1"/>
  <c r="P67" i="8"/>
  <c r="R67" i="8" s="1"/>
  <c r="L67" i="8"/>
  <c r="H67" i="8"/>
  <c r="K80" i="8" s="1"/>
  <c r="N80" i="8" s="1"/>
  <c r="P66" i="8"/>
  <c r="R66" i="8" s="1"/>
  <c r="M66" i="8"/>
  <c r="U66" i="8" s="1"/>
  <c r="V66" i="8" s="1"/>
  <c r="L66" i="8"/>
  <c r="H66" i="8"/>
  <c r="K81" i="8" s="1"/>
  <c r="U65" i="8"/>
  <c r="V65" i="8" s="1"/>
  <c r="P65" i="8"/>
  <c r="R65" i="8" s="1"/>
  <c r="L65" i="8"/>
  <c r="H65" i="8"/>
  <c r="K79" i="8" s="1"/>
  <c r="N79" i="8" s="1"/>
  <c r="U64" i="8"/>
  <c r="V64" i="8" s="1"/>
  <c r="P64" i="8"/>
  <c r="R64" i="8" s="1"/>
  <c r="L64" i="8"/>
  <c r="H64" i="8"/>
  <c r="AE60" i="9" s="1"/>
  <c r="C64" i="8"/>
  <c r="U63" i="8"/>
  <c r="V63" i="8" s="1"/>
  <c r="P63" i="8"/>
  <c r="Q63" i="8" s="1"/>
  <c r="L63" i="8"/>
  <c r="H63" i="8"/>
  <c r="P62" i="8"/>
  <c r="R62" i="8" s="1"/>
  <c r="L62" i="8"/>
  <c r="A9" i="9" s="1"/>
  <c r="H62" i="8"/>
  <c r="P61" i="8"/>
  <c r="R61" i="8" s="1"/>
  <c r="L61" i="8"/>
  <c r="H61" i="8"/>
  <c r="Q60" i="8"/>
  <c r="P60" i="8"/>
  <c r="R60" i="8" s="1"/>
  <c r="M60" i="8"/>
  <c r="U60" i="8" s="1"/>
  <c r="V60" i="8" s="1"/>
  <c r="L60" i="8"/>
  <c r="H60" i="8"/>
  <c r="R59" i="8"/>
  <c r="Q59" i="8"/>
  <c r="P59" i="8"/>
  <c r="M59" i="8"/>
  <c r="U59" i="8" s="1"/>
  <c r="V59" i="8" s="1"/>
  <c r="L59" i="8"/>
  <c r="H59" i="8"/>
  <c r="L58" i="8"/>
  <c r="H58" i="8"/>
  <c r="L57" i="8"/>
  <c r="H57" i="8"/>
  <c r="AH7" i="9" s="1"/>
  <c r="L56" i="8"/>
  <c r="H56" i="8"/>
  <c r="AH6" i="9" s="1"/>
  <c r="C44" i="5" s="1"/>
  <c r="L55" i="8"/>
  <c r="U55" i="8" s="1"/>
  <c r="V55" i="8" s="1"/>
  <c r="H55" i="8"/>
  <c r="AH5" i="9" s="1"/>
  <c r="C42" i="5" s="1"/>
  <c r="M54" i="8"/>
  <c r="L54" i="8" s="1"/>
  <c r="U54" i="8" s="1"/>
  <c r="V54" i="8" s="1"/>
  <c r="H54" i="8"/>
  <c r="O28" i="8" s="1"/>
  <c r="Z28" i="8" s="1"/>
  <c r="U53" i="8"/>
  <c r="V53" i="8" s="1"/>
  <c r="L53" i="8"/>
  <c r="H53" i="8"/>
  <c r="U52" i="8"/>
  <c r="V52" i="8" s="1"/>
  <c r="O52" i="8"/>
  <c r="L52" i="8"/>
  <c r="H52" i="8"/>
  <c r="AE79" i="9" s="1"/>
  <c r="L51" i="8"/>
  <c r="U51" i="8" s="1"/>
  <c r="V51" i="8" s="1"/>
  <c r="H51" i="8"/>
  <c r="AO85" i="9" s="1"/>
  <c r="O50" i="8"/>
  <c r="N50" i="8"/>
  <c r="L50" i="8"/>
  <c r="U50" i="8" s="1"/>
  <c r="V50" i="8" s="1"/>
  <c r="H50" i="8"/>
  <c r="AO84" i="9" s="1"/>
  <c r="N49" i="8"/>
  <c r="H49" i="8"/>
  <c r="AN83" i="9" s="1"/>
  <c r="A49" i="8"/>
  <c r="N48" i="8"/>
  <c r="L48" i="8"/>
  <c r="L49" i="8" s="1"/>
  <c r="H48" i="8"/>
  <c r="A48" i="8"/>
  <c r="N47" i="8"/>
  <c r="L47" i="8"/>
  <c r="U47" i="8" s="1"/>
  <c r="V47" i="8" s="1"/>
  <c r="H47" i="8"/>
  <c r="AE87" i="9" s="1"/>
  <c r="B47" i="8"/>
  <c r="A47" i="8"/>
  <c r="O46" i="8"/>
  <c r="N46" i="8"/>
  <c r="L46" i="8"/>
  <c r="U46" i="8" s="1"/>
  <c r="V46" i="8" s="1"/>
  <c r="H46" i="8"/>
  <c r="A46" i="8"/>
  <c r="N45" i="8"/>
  <c r="L45" i="8"/>
  <c r="U45" i="8" s="1"/>
  <c r="V45" i="8" s="1"/>
  <c r="H45" i="8"/>
  <c r="AF57" i="9" s="1"/>
  <c r="A45" i="8"/>
  <c r="U44" i="8"/>
  <c r="V44" i="8" s="1"/>
  <c r="O44" i="8"/>
  <c r="N44" i="8"/>
  <c r="L44" i="8"/>
  <c r="U49" i="8" s="1"/>
  <c r="V49" i="8" s="1"/>
  <c r="H44" i="8"/>
  <c r="AN56" i="9" s="1"/>
  <c r="B44" i="8"/>
  <c r="X71" i="9" s="1"/>
  <c r="A44" i="8"/>
  <c r="O43" i="8"/>
  <c r="N43" i="8"/>
  <c r="L43" i="8"/>
  <c r="U43" i="8" s="1"/>
  <c r="V43" i="8" s="1"/>
  <c r="H43" i="8"/>
  <c r="AF56" i="9" s="1"/>
  <c r="A43" i="8"/>
  <c r="O42" i="8"/>
  <c r="N42" i="8"/>
  <c r="L42" i="8"/>
  <c r="U42" i="8" s="1"/>
  <c r="V42" i="8" s="1"/>
  <c r="H42" i="8"/>
  <c r="AE52" i="9" s="1"/>
  <c r="A42" i="8"/>
  <c r="S41" i="8"/>
  <c r="O41" i="8"/>
  <c r="N41" i="8"/>
  <c r="L41" i="8"/>
  <c r="U41" i="8" s="1"/>
  <c r="V41" i="8" s="1"/>
  <c r="H41" i="8"/>
  <c r="A41" i="8"/>
  <c r="H40" i="8"/>
  <c r="AF46" i="9" s="1"/>
  <c r="H39" i="8"/>
  <c r="AF45" i="9" s="1"/>
  <c r="H38" i="8"/>
  <c r="H37" i="8"/>
  <c r="H36" i="8"/>
  <c r="AF43" i="9" s="1"/>
  <c r="Y35" i="8"/>
  <c r="X35" i="8"/>
  <c r="W35" i="8"/>
  <c r="V35" i="8"/>
  <c r="H35" i="8"/>
  <c r="AE42" i="9" s="1"/>
  <c r="Y34" i="8"/>
  <c r="X34" i="8"/>
  <c r="W34" i="8"/>
  <c r="V34" i="8"/>
  <c r="H34" i="8"/>
  <c r="Z46" i="9" s="1"/>
  <c r="Y33" i="8"/>
  <c r="X33" i="8"/>
  <c r="W33" i="8"/>
  <c r="V33" i="8"/>
  <c r="H33" i="8"/>
  <c r="P44" i="9" s="1"/>
  <c r="Y32" i="8"/>
  <c r="X32" i="8"/>
  <c r="W32" i="8"/>
  <c r="V32" i="8"/>
  <c r="H32" i="8"/>
  <c r="H49" i="9" s="1"/>
  <c r="Y31" i="8"/>
  <c r="X31" i="8"/>
  <c r="W31" i="8"/>
  <c r="V31" i="8"/>
  <c r="H31" i="8"/>
  <c r="N40" i="9" s="1"/>
  <c r="Y30" i="8"/>
  <c r="X30" i="8"/>
  <c r="W30" i="8"/>
  <c r="V30" i="8"/>
  <c r="O30" i="8"/>
  <c r="Z30" i="8" s="1"/>
  <c r="H30" i="8"/>
  <c r="F40" i="9" s="1"/>
  <c r="C30" i="8"/>
  <c r="Y29" i="8"/>
  <c r="X29" i="8"/>
  <c r="W29" i="8"/>
  <c r="V29" i="8"/>
  <c r="H29" i="8"/>
  <c r="C29" i="8"/>
  <c r="Y28" i="8"/>
  <c r="X28" i="8"/>
  <c r="W28" i="8"/>
  <c r="V28" i="8"/>
  <c r="H28" i="8"/>
  <c r="C28" i="8"/>
  <c r="Y27" i="8"/>
  <c r="X27" i="8"/>
  <c r="W27" i="8"/>
  <c r="V27" i="8"/>
  <c r="O27" i="8"/>
  <c r="Z27" i="8" s="1"/>
  <c r="H27" i="8"/>
  <c r="Y26" i="8"/>
  <c r="X26" i="8"/>
  <c r="W26" i="8"/>
  <c r="V26" i="8"/>
  <c r="H26" i="8"/>
  <c r="Z25" i="8"/>
  <c r="Y25" i="8"/>
  <c r="X25" i="8"/>
  <c r="W25" i="8"/>
  <c r="V25" i="8"/>
  <c r="H25" i="8"/>
  <c r="AP33" i="9" s="1"/>
  <c r="C25" i="8"/>
  <c r="Z24" i="8"/>
  <c r="Y24" i="8"/>
  <c r="X24" i="8"/>
  <c r="W24" i="8"/>
  <c r="V24" i="8"/>
  <c r="H24" i="8"/>
  <c r="C24" i="8"/>
  <c r="Z23" i="8"/>
  <c r="Y23" i="8"/>
  <c r="X23" i="8"/>
  <c r="W23" i="8"/>
  <c r="V23" i="8"/>
  <c r="U23" i="8"/>
  <c r="H23" i="8"/>
  <c r="C23" i="8"/>
  <c r="Z22" i="8"/>
  <c r="Y22" i="8"/>
  <c r="X22" i="8"/>
  <c r="W22" i="8"/>
  <c r="V22" i="8"/>
  <c r="H22" i="8"/>
  <c r="AF39" i="9" s="1"/>
  <c r="C22" i="8"/>
  <c r="Z21" i="8"/>
  <c r="Y21" i="8"/>
  <c r="X21" i="8"/>
  <c r="W21" i="8"/>
  <c r="V21" i="8"/>
  <c r="H21" i="8"/>
  <c r="AO38" i="9" s="1"/>
  <c r="C21" i="8"/>
  <c r="Z20" i="8"/>
  <c r="Y20" i="8"/>
  <c r="X20" i="8"/>
  <c r="W20" i="8"/>
  <c r="V20" i="8"/>
  <c r="H20" i="8"/>
  <c r="AF38" i="9" s="1"/>
  <c r="C20" i="8"/>
  <c r="Z19" i="8"/>
  <c r="Y19" i="8"/>
  <c r="X19" i="8"/>
  <c r="W19" i="8"/>
  <c r="V19" i="8"/>
  <c r="H19" i="8"/>
  <c r="AF37" i="9" s="1"/>
  <c r="C19" i="8"/>
  <c r="Y18" i="8"/>
  <c r="X18" i="8"/>
  <c r="W18" i="8"/>
  <c r="V18" i="8"/>
  <c r="H18" i="8"/>
  <c r="AF36" i="9" s="1"/>
  <c r="C18" i="8"/>
  <c r="Z17" i="8"/>
  <c r="Y17" i="8"/>
  <c r="X17" i="8"/>
  <c r="W17" i="8"/>
  <c r="V17" i="8"/>
  <c r="H17" i="8"/>
  <c r="AF35" i="9" s="1"/>
  <c r="C17" i="8"/>
  <c r="Z16" i="8"/>
  <c r="Y16" i="8"/>
  <c r="X16" i="8"/>
  <c r="W16" i="8"/>
  <c r="V16" i="8"/>
  <c r="H16" i="8"/>
  <c r="AF34" i="9" s="1"/>
  <c r="C16" i="8"/>
  <c r="Z15" i="8"/>
  <c r="Y15" i="8"/>
  <c r="X15" i="8"/>
  <c r="W15" i="8"/>
  <c r="V15" i="8"/>
  <c r="H15" i="8"/>
  <c r="AF33" i="9" s="1"/>
  <c r="Z14" i="8"/>
  <c r="Y14" i="8"/>
  <c r="X14" i="8"/>
  <c r="W14" i="8"/>
  <c r="V14" i="8"/>
  <c r="H14" i="8"/>
  <c r="F34" i="9" s="1"/>
  <c r="Z13" i="8"/>
  <c r="Y13" i="8"/>
  <c r="X13" i="8"/>
  <c r="W13" i="8"/>
  <c r="V13" i="8"/>
  <c r="H13" i="8"/>
  <c r="F33" i="9" s="1"/>
  <c r="Z12" i="8"/>
  <c r="Y12" i="8"/>
  <c r="X12" i="8"/>
  <c r="W12" i="8"/>
  <c r="V12" i="8"/>
  <c r="H12" i="8"/>
  <c r="AN7" i="9" s="1"/>
  <c r="Y11" i="8"/>
  <c r="X11" i="8"/>
  <c r="W11" i="8"/>
  <c r="V11" i="8"/>
  <c r="H11" i="8"/>
  <c r="AN6" i="9" s="1"/>
  <c r="Z10" i="8"/>
  <c r="Y10" i="8"/>
  <c r="X10" i="8"/>
  <c r="W10" i="8"/>
  <c r="V10" i="8"/>
  <c r="H10" i="8"/>
  <c r="AN5" i="9" s="1"/>
  <c r="Z9" i="8"/>
  <c r="Y9" i="8"/>
  <c r="X9" i="8"/>
  <c r="W9" i="8"/>
  <c r="V9" i="8"/>
  <c r="H9" i="8"/>
  <c r="Z8" i="8"/>
  <c r="Y8" i="8"/>
  <c r="X8" i="8"/>
  <c r="W8" i="8"/>
  <c r="V8" i="8"/>
  <c r="H8" i="8"/>
  <c r="S7" i="9" s="1"/>
  <c r="Z7" i="8"/>
  <c r="Y7" i="8"/>
  <c r="X7" i="8"/>
  <c r="W7" i="8"/>
  <c r="V7" i="8"/>
  <c r="H7" i="8"/>
  <c r="S6" i="9" s="1"/>
  <c r="Z6" i="8"/>
  <c r="Y6" i="8"/>
  <c r="X6" i="8"/>
  <c r="W6" i="8"/>
  <c r="V6" i="8"/>
  <c r="H6" i="8"/>
  <c r="F7" i="9" s="1"/>
  <c r="Z5" i="8"/>
  <c r="Y5" i="8"/>
  <c r="X5" i="8"/>
  <c r="W5" i="8"/>
  <c r="V5" i="8"/>
  <c r="H5" i="8"/>
  <c r="F6" i="9" s="1"/>
  <c r="Z4" i="8"/>
  <c r="Y4" i="8"/>
  <c r="X4" i="8"/>
  <c r="W4" i="8"/>
  <c r="V4" i="8"/>
  <c r="H4" i="8"/>
  <c r="E5" i="9" s="1"/>
  <c r="Z3" i="8"/>
  <c r="Y3" i="8"/>
  <c r="X3" i="8"/>
  <c r="W3" i="8"/>
  <c r="V3" i="8"/>
  <c r="H3" i="8"/>
  <c r="H2" i="8"/>
  <c r="Y1" i="8"/>
  <c r="AO53" i="9" s="1"/>
  <c r="X1" i="8"/>
  <c r="AK53" i="9" s="1"/>
  <c r="W1" i="8"/>
  <c r="AH53" i="9" s="1"/>
  <c r="AE32" i="13" l="1"/>
  <c r="K74" i="5"/>
  <c r="O18" i="8"/>
  <c r="Z18" i="8" s="1"/>
  <c r="O29" i="8"/>
  <c r="Z29" i="8" s="1"/>
  <c r="Q64" i="8"/>
  <c r="U49" i="10"/>
  <c r="V49" i="10" s="1"/>
  <c r="U44" i="10"/>
  <c r="V44" i="10" s="1"/>
  <c r="Q67" i="10"/>
  <c r="M137" i="10"/>
  <c r="M135" i="10"/>
  <c r="M133" i="10"/>
  <c r="M101" i="10"/>
  <c r="M99" i="10"/>
  <c r="M97" i="10"/>
  <c r="M91" i="10"/>
  <c r="M87" i="10"/>
  <c r="M131" i="10"/>
  <c r="M129" i="10"/>
  <c r="M127" i="10"/>
  <c r="M125" i="10"/>
  <c r="M123" i="10"/>
  <c r="M121" i="10"/>
  <c r="M119" i="10"/>
  <c r="M117" i="10"/>
  <c r="M115" i="10"/>
  <c r="M113" i="10"/>
  <c r="M111" i="10"/>
  <c r="M109" i="10"/>
  <c r="M107" i="10"/>
  <c r="M105" i="10"/>
  <c r="M103" i="10"/>
  <c r="M100" i="10"/>
  <c r="M88" i="10"/>
  <c r="AH54" i="13"/>
  <c r="U9" i="8"/>
  <c r="U16" i="8"/>
  <c r="O34" i="8"/>
  <c r="Z34" i="8" s="1"/>
  <c r="O35" i="8"/>
  <c r="Z35" i="8" s="1"/>
  <c r="M137" i="8"/>
  <c r="M133" i="8"/>
  <c r="M101" i="8"/>
  <c r="M99" i="8"/>
  <c r="M97" i="8"/>
  <c r="M90" i="8"/>
  <c r="M102" i="8"/>
  <c r="M95" i="8"/>
  <c r="M93" i="8"/>
  <c r="M92" i="8"/>
  <c r="M91" i="8"/>
  <c r="M88" i="8"/>
  <c r="A50" i="10"/>
  <c r="L73" i="10" s="1"/>
  <c r="U73" i="10" s="1"/>
  <c r="V73" i="10" s="1"/>
  <c r="J88" i="10"/>
  <c r="L77" i="10"/>
  <c r="U77" i="10" s="1"/>
  <c r="V77" i="10" s="1"/>
  <c r="M104" i="10"/>
  <c r="M112" i="10"/>
  <c r="M120" i="10"/>
  <c r="M128" i="10"/>
  <c r="P51" i="12"/>
  <c r="O51" i="12" s="1"/>
  <c r="AH54" i="9"/>
  <c r="AE32" i="9"/>
  <c r="K42" i="5"/>
  <c r="C83" i="10"/>
  <c r="C84" i="10"/>
  <c r="O26" i="8"/>
  <c r="Z26" i="8" s="1"/>
  <c r="U30" i="8"/>
  <c r="O32" i="8"/>
  <c r="Z32" i="8" s="1"/>
  <c r="O11" i="8"/>
  <c r="Z11" i="8" s="1"/>
  <c r="O31" i="8"/>
  <c r="Z31" i="8" s="1"/>
  <c r="O33" i="8"/>
  <c r="Z33" i="8" s="1"/>
  <c r="U34" i="8"/>
  <c r="Q62" i="8"/>
  <c r="R63" i="8"/>
  <c r="Q67" i="8"/>
  <c r="AM76" i="9"/>
  <c r="J74" i="8"/>
  <c r="W78" i="8"/>
  <c r="J88" i="8"/>
  <c r="L77" i="8"/>
  <c r="U77" i="8" s="1"/>
  <c r="V77" i="8" s="1"/>
  <c r="M103" i="8"/>
  <c r="M105" i="8"/>
  <c r="M107" i="8"/>
  <c r="M109" i="8"/>
  <c r="M111" i="8"/>
  <c r="M113" i="8"/>
  <c r="M115" i="8"/>
  <c r="M117" i="8"/>
  <c r="M119" i="8"/>
  <c r="M121" i="8"/>
  <c r="M123" i="8"/>
  <c r="M125" i="8"/>
  <c r="M127" i="8"/>
  <c r="M129" i="8"/>
  <c r="M131" i="8"/>
  <c r="M138" i="8"/>
  <c r="P51" i="8"/>
  <c r="O51" i="8" s="1"/>
  <c r="U70" i="8" s="1"/>
  <c r="V70" i="8" s="1"/>
  <c r="M66" i="10"/>
  <c r="U66" i="10" s="1"/>
  <c r="V66" i="10" s="1"/>
  <c r="J80" i="10"/>
  <c r="M94" i="10"/>
  <c r="M98" i="10"/>
  <c r="M110" i="10"/>
  <c r="M118" i="10"/>
  <c r="M126" i="10"/>
  <c r="AE32" i="11"/>
  <c r="K58" i="5"/>
  <c r="M138" i="10"/>
  <c r="C84" i="12"/>
  <c r="C82" i="12"/>
  <c r="M137" i="12"/>
  <c r="M136" i="12"/>
  <c r="M131" i="12"/>
  <c r="M129" i="12"/>
  <c r="M127" i="12"/>
  <c r="M125" i="12"/>
  <c r="M123" i="12"/>
  <c r="M121" i="12"/>
  <c r="M119" i="12"/>
  <c r="M117" i="12"/>
  <c r="M115" i="12"/>
  <c r="M113" i="12"/>
  <c r="M111" i="12"/>
  <c r="M109" i="12"/>
  <c r="M107" i="12"/>
  <c r="M105" i="12"/>
  <c r="M103" i="12"/>
  <c r="M95" i="12"/>
  <c r="M93" i="12"/>
  <c r="M89" i="12"/>
  <c r="M138" i="12"/>
  <c r="M102" i="12"/>
  <c r="M100" i="12"/>
  <c r="M98" i="12"/>
  <c r="M96" i="12"/>
  <c r="M90" i="12"/>
  <c r="A50" i="8"/>
  <c r="L73" i="8" s="1"/>
  <c r="U73" i="8" s="1"/>
  <c r="V73" i="8" s="1"/>
  <c r="M56" i="8"/>
  <c r="U56" i="8" s="1"/>
  <c r="V56" i="8" s="1"/>
  <c r="M62" i="8"/>
  <c r="U62" i="8" s="1"/>
  <c r="V62" i="8" s="1"/>
  <c r="BE9" i="9"/>
  <c r="O32" i="10"/>
  <c r="Z32" i="10" s="1"/>
  <c r="U30" i="10"/>
  <c r="U23" i="10"/>
  <c r="M60" i="10"/>
  <c r="U60" i="10" s="1"/>
  <c r="V60" i="10" s="1"/>
  <c r="J73" i="10"/>
  <c r="AM75" i="11"/>
  <c r="BE9" i="11"/>
  <c r="A50" i="12"/>
  <c r="L73" i="12" s="1"/>
  <c r="U73" i="12" s="1"/>
  <c r="V73" i="12" s="1"/>
  <c r="AM76" i="13"/>
  <c r="J74" i="12"/>
  <c r="M88" i="12"/>
  <c r="M104" i="12"/>
  <c r="M112" i="12"/>
  <c r="M120" i="12"/>
  <c r="M128" i="12"/>
  <c r="C95" i="8"/>
  <c r="L72" i="8" s="1"/>
  <c r="U72" i="8" s="1"/>
  <c r="V72" i="8" s="1"/>
  <c r="F21" i="9"/>
  <c r="AW43" i="9"/>
  <c r="AY43" i="9" s="1"/>
  <c r="AM53" i="11"/>
  <c r="M56" i="10"/>
  <c r="U56" i="10" s="1"/>
  <c r="V56" i="10" s="1"/>
  <c r="U9" i="12"/>
  <c r="U16" i="12"/>
  <c r="O28" i="12"/>
  <c r="Z28" i="12" s="1"/>
  <c r="C95" i="12"/>
  <c r="L72" i="12" s="1"/>
  <c r="U72" i="12" s="1"/>
  <c r="V72" i="12" s="1"/>
  <c r="AW43" i="13"/>
  <c r="AY43" i="13" s="1"/>
  <c r="AM75" i="13"/>
  <c r="W78" i="12"/>
  <c r="BE9" i="13"/>
  <c r="U70" i="12"/>
  <c r="V70" i="12" s="1"/>
  <c r="L70" i="12"/>
  <c r="M48" i="12"/>
  <c r="M49" i="12" s="1"/>
  <c r="U48" i="12" s="1"/>
  <c r="V48" i="12" s="1"/>
  <c r="V83" i="12" s="1"/>
  <c r="U83" i="12" s="1"/>
  <c r="AX19" i="13" s="1"/>
  <c r="E72" i="5" s="1"/>
  <c r="AM53" i="13"/>
  <c r="O49" i="12"/>
  <c r="Q61" i="12"/>
  <c r="M62" i="12"/>
  <c r="U62" i="12" s="1"/>
  <c r="V62" i="12" s="1"/>
  <c r="Q65" i="12"/>
  <c r="Q66" i="12"/>
  <c r="Q68" i="12"/>
  <c r="J72" i="12"/>
  <c r="J95" i="12"/>
  <c r="AQ75" i="13"/>
  <c r="Q59" i="12"/>
  <c r="Q60" i="12"/>
  <c r="Q63" i="12"/>
  <c r="Q64" i="12"/>
  <c r="M134" i="12"/>
  <c r="A9" i="13"/>
  <c r="AI53" i="13"/>
  <c r="AP53" i="13"/>
  <c r="AQ74" i="13"/>
  <c r="M48" i="10"/>
  <c r="M49" i="10" s="1"/>
  <c r="U48" i="10" s="1"/>
  <c r="V48" i="10" s="1"/>
  <c r="R64" i="10"/>
  <c r="Q64" i="10"/>
  <c r="Q68" i="10"/>
  <c r="R68" i="10"/>
  <c r="R60" i="10"/>
  <c r="Q60" i="10"/>
  <c r="AH54" i="11"/>
  <c r="AP53" i="11"/>
  <c r="AI53" i="11"/>
  <c r="R59" i="10"/>
  <c r="Q59" i="10"/>
  <c r="R63" i="10"/>
  <c r="Q63" i="10"/>
  <c r="Q65" i="10"/>
  <c r="J72" i="10"/>
  <c r="AM74" i="11"/>
  <c r="U58" i="10"/>
  <c r="V58" i="10" s="1"/>
  <c r="M62" i="10"/>
  <c r="U62" i="10" s="1"/>
  <c r="V62" i="10" s="1"/>
  <c r="U69" i="10"/>
  <c r="V69" i="10" s="1"/>
  <c r="W68" i="10" s="1"/>
  <c r="J95" i="10"/>
  <c r="AQ75" i="11"/>
  <c r="P51" i="10"/>
  <c r="O51" i="10" s="1"/>
  <c r="M134" i="10"/>
  <c r="AQ74" i="11"/>
  <c r="M48" i="8"/>
  <c r="M49" i="8" s="1"/>
  <c r="U48" i="8" s="1"/>
  <c r="V48" i="8" s="1"/>
  <c r="L70" i="8"/>
  <c r="U58" i="8"/>
  <c r="V58" i="8" s="1"/>
  <c r="O49" i="8"/>
  <c r="Q61" i="8"/>
  <c r="Q65" i="8"/>
  <c r="Q66" i="8"/>
  <c r="Q68" i="8"/>
  <c r="J72" i="8"/>
  <c r="J95" i="8"/>
  <c r="M135" i="8"/>
  <c r="AQ75" i="9"/>
  <c r="AM53" i="9"/>
  <c r="M134" i="8"/>
  <c r="AI53" i="9"/>
  <c r="AP53" i="9"/>
  <c r="AQ74" i="9"/>
  <c r="E116" i="7"/>
  <c r="O95" i="7"/>
  <c r="H95" i="7"/>
  <c r="AS86" i="7"/>
  <c r="AO86" i="7"/>
  <c r="O84" i="7"/>
  <c r="H84" i="7"/>
  <c r="R71" i="7"/>
  <c r="L71" i="7"/>
  <c r="F71" i="7"/>
  <c r="AX43" i="7"/>
  <c r="AW42" i="7"/>
  <c r="AW41" i="7"/>
  <c r="AW40" i="7"/>
  <c r="AW39" i="7"/>
  <c r="O48" i="6" s="1"/>
  <c r="AW38" i="7"/>
  <c r="O47" i="6" s="1"/>
  <c r="AM38" i="7"/>
  <c r="M31" i="5" s="1"/>
  <c r="AW37" i="7"/>
  <c r="AW36" i="7"/>
  <c r="O45" i="6" s="1"/>
  <c r="AW35" i="7"/>
  <c r="O44" i="6" s="1"/>
  <c r="AW34" i="7"/>
  <c r="O43" i="6" s="1"/>
  <c r="AW33" i="7"/>
  <c r="AW30" i="7"/>
  <c r="A28" i="7"/>
  <c r="AP14" i="7"/>
  <c r="AL14" i="7"/>
  <c r="AH14" i="7"/>
  <c r="AD14" i="7"/>
  <c r="Z14" i="7"/>
  <c r="V14" i="7"/>
  <c r="R14" i="7"/>
  <c r="N14" i="7"/>
  <c r="J14" i="7"/>
  <c r="F14" i="7"/>
  <c r="AR13" i="7"/>
  <c r="AN13" i="7"/>
  <c r="AJ13" i="7"/>
  <c r="AF13" i="7"/>
  <c r="AB13" i="7"/>
  <c r="X13" i="7"/>
  <c r="T13" i="7"/>
  <c r="P13" i="7"/>
  <c r="L13" i="7"/>
  <c r="H13" i="7"/>
  <c r="E13" i="7"/>
  <c r="AR12" i="7"/>
  <c r="AN12" i="7"/>
  <c r="AJ12" i="7"/>
  <c r="AF12" i="7"/>
  <c r="AB12" i="7"/>
  <c r="X12" i="7"/>
  <c r="T12" i="7"/>
  <c r="P12" i="7"/>
  <c r="L12" i="7"/>
  <c r="H12" i="7"/>
  <c r="C11" i="7"/>
  <c r="BL5" i="7"/>
  <c r="BK5" i="7"/>
  <c r="BJ5" i="7"/>
  <c r="BF5" i="7"/>
  <c r="BB3" i="7"/>
  <c r="BB2" i="7"/>
  <c r="N24" i="5" s="1"/>
  <c r="H205" i="6"/>
  <c r="H204" i="6"/>
  <c r="H203" i="6"/>
  <c r="H202" i="6"/>
  <c r="H201" i="6"/>
  <c r="H200" i="6"/>
  <c r="H199" i="6"/>
  <c r="H198" i="6"/>
  <c r="H197" i="6"/>
  <c r="H196" i="6"/>
  <c r="H195" i="6"/>
  <c r="AX10" i="7" s="1"/>
  <c r="H194" i="6"/>
  <c r="AX9" i="7" s="1"/>
  <c r="H193" i="6"/>
  <c r="AX7" i="7" s="1"/>
  <c r="H192" i="6"/>
  <c r="H191" i="6"/>
  <c r="H190" i="6"/>
  <c r="H189" i="6"/>
  <c r="H188" i="6"/>
  <c r="H187" i="6"/>
  <c r="H186" i="6"/>
  <c r="H185" i="6"/>
  <c r="BG4" i="7" s="1"/>
  <c r="H184" i="6"/>
  <c r="BE4" i="7" s="1"/>
  <c r="H183" i="6"/>
  <c r="BE3" i="7" s="1"/>
  <c r="H182" i="6"/>
  <c r="H181" i="6"/>
  <c r="AE96" i="7" s="1"/>
  <c r="H180" i="6"/>
  <c r="AQ76" i="7" s="1"/>
  <c r="H179" i="6"/>
  <c r="H178" i="6"/>
  <c r="J178" i="6" s="1"/>
  <c r="H177" i="6"/>
  <c r="J177" i="6" s="1"/>
  <c r="H176" i="6"/>
  <c r="AF47" i="7" s="1"/>
  <c r="H175" i="6"/>
  <c r="J175" i="6" s="1"/>
  <c r="H174" i="6"/>
  <c r="J174" i="6" s="1"/>
  <c r="H173" i="6"/>
  <c r="H172" i="6"/>
  <c r="H171" i="6"/>
  <c r="H170" i="6"/>
  <c r="H169" i="6"/>
  <c r="H168" i="6"/>
  <c r="H167" i="6"/>
  <c r="H166" i="6"/>
  <c r="H165" i="6"/>
  <c r="H164" i="6"/>
  <c r="H163" i="6"/>
  <c r="H162" i="6"/>
  <c r="H161" i="6"/>
  <c r="H160" i="6"/>
  <c r="K82" i="6" s="1"/>
  <c r="H159" i="6"/>
  <c r="J134" i="6" s="1"/>
  <c r="H158" i="6"/>
  <c r="H157" i="6"/>
  <c r="AX22" i="7" s="1"/>
  <c r="H156" i="6"/>
  <c r="H155" i="6"/>
  <c r="H154" i="6"/>
  <c r="M137" i="6" s="1"/>
  <c r="H153" i="6"/>
  <c r="J153" i="6" s="1"/>
  <c r="H152" i="6"/>
  <c r="J152" i="6" s="1"/>
  <c r="H151" i="6"/>
  <c r="J151" i="6" s="1"/>
  <c r="H150" i="6"/>
  <c r="AW46" i="7" s="1"/>
  <c r="H149" i="6"/>
  <c r="R114" i="7" s="1"/>
  <c r="H148" i="6"/>
  <c r="H147" i="6"/>
  <c r="J147" i="6" s="1"/>
  <c r="H146" i="6"/>
  <c r="J146" i="6" s="1"/>
  <c r="H145" i="6"/>
  <c r="H144" i="6"/>
  <c r="J144" i="6" s="1"/>
  <c r="H143" i="6"/>
  <c r="J143" i="6" s="1"/>
  <c r="H142" i="6"/>
  <c r="E110" i="7" s="1"/>
  <c r="H141" i="6"/>
  <c r="E108" i="7" s="1"/>
  <c r="H140" i="6"/>
  <c r="E106" i="7" s="1"/>
  <c r="H139" i="6"/>
  <c r="E104" i="7" s="1"/>
  <c r="M138" i="6"/>
  <c r="H138" i="6"/>
  <c r="E102" i="7" s="1"/>
  <c r="H137" i="6"/>
  <c r="M136" i="6"/>
  <c r="H136" i="6"/>
  <c r="J136" i="6" s="1"/>
  <c r="H135" i="6"/>
  <c r="J135" i="6" s="1"/>
  <c r="M134" i="6"/>
  <c r="H134" i="6"/>
  <c r="AE32" i="7" s="1"/>
  <c r="I133" i="6"/>
  <c r="H133" i="6"/>
  <c r="M132" i="6"/>
  <c r="H132" i="6"/>
  <c r="H131" i="6"/>
  <c r="AX14" i="7" s="1"/>
  <c r="C30" i="5" s="1"/>
  <c r="M130" i="6"/>
  <c r="H130" i="6"/>
  <c r="S5" i="7" s="1"/>
  <c r="H129" i="6"/>
  <c r="M128" i="6"/>
  <c r="H128" i="6"/>
  <c r="H127" i="6"/>
  <c r="M126" i="6"/>
  <c r="H126" i="6"/>
  <c r="H125" i="6"/>
  <c r="AP34" i="7" s="1"/>
  <c r="M124" i="6"/>
  <c r="H124" i="6"/>
  <c r="F20" i="7" s="1"/>
  <c r="H123" i="6"/>
  <c r="B78" i="6" s="1"/>
  <c r="M122" i="6"/>
  <c r="H122" i="6"/>
  <c r="H121" i="6"/>
  <c r="B75" i="6" s="1"/>
  <c r="M120" i="6"/>
  <c r="H120" i="6"/>
  <c r="H119" i="6"/>
  <c r="Z91" i="7" s="1"/>
  <c r="M118" i="6"/>
  <c r="H118" i="6"/>
  <c r="Z87" i="7" s="1"/>
  <c r="H117" i="6"/>
  <c r="V95" i="7" s="1"/>
  <c r="M116" i="6"/>
  <c r="H116" i="6"/>
  <c r="V90" i="7" s="1"/>
  <c r="H115" i="6"/>
  <c r="B72" i="6" s="1"/>
  <c r="M114" i="6"/>
  <c r="H114" i="6"/>
  <c r="H113" i="6"/>
  <c r="B69" i="6" s="1"/>
  <c r="M112" i="6"/>
  <c r="H112" i="6"/>
  <c r="H111" i="6"/>
  <c r="L60" i="7" s="1"/>
  <c r="M110" i="6"/>
  <c r="H110" i="6"/>
  <c r="F60" i="7" s="1"/>
  <c r="H109" i="6"/>
  <c r="M108" i="6"/>
  <c r="H108" i="6"/>
  <c r="H107" i="6"/>
  <c r="F21" i="7" s="1"/>
  <c r="M106" i="6"/>
  <c r="H106" i="6"/>
  <c r="H105" i="6"/>
  <c r="M104" i="6"/>
  <c r="H104" i="6"/>
  <c r="M102" i="6"/>
  <c r="H102" i="6"/>
  <c r="AE90" i="7" s="1"/>
  <c r="H101" i="6"/>
  <c r="M100" i="6"/>
  <c r="H100" i="6"/>
  <c r="H99" i="6"/>
  <c r="M98" i="6"/>
  <c r="H98" i="6"/>
  <c r="H97" i="6"/>
  <c r="M96" i="6"/>
  <c r="J96" i="6"/>
  <c r="H96" i="6"/>
  <c r="AW95" i="7" s="1"/>
  <c r="H95" i="6"/>
  <c r="M94" i="6"/>
  <c r="H94" i="6"/>
  <c r="AE55" i="7" s="1"/>
  <c r="H93" i="6"/>
  <c r="J93" i="6" s="1"/>
  <c r="C93" i="6"/>
  <c r="H92" i="6"/>
  <c r="J92" i="6" s="1"/>
  <c r="C92" i="6"/>
  <c r="M91" i="6"/>
  <c r="H91" i="6"/>
  <c r="AF48" i="7" s="1"/>
  <c r="C91" i="6"/>
  <c r="M90" i="6"/>
  <c r="H90" i="6"/>
  <c r="AE88" i="7" s="1"/>
  <c r="C90" i="6"/>
  <c r="H89" i="6"/>
  <c r="J89" i="6" s="1"/>
  <c r="C89" i="6"/>
  <c r="H88" i="6"/>
  <c r="J88" i="6" s="1"/>
  <c r="C88" i="6"/>
  <c r="M87" i="6"/>
  <c r="H87" i="6"/>
  <c r="AE83" i="7" s="1"/>
  <c r="H86" i="6"/>
  <c r="J86" i="6" s="1"/>
  <c r="H85" i="6"/>
  <c r="J85" i="6" s="1"/>
  <c r="H84" i="6"/>
  <c r="AE80" i="7" s="1"/>
  <c r="H83" i="6"/>
  <c r="H82" i="6"/>
  <c r="J82" i="6" s="1"/>
  <c r="H81" i="6"/>
  <c r="J81" i="6" s="1"/>
  <c r="B81" i="6"/>
  <c r="H80" i="6"/>
  <c r="J77" i="6" s="1"/>
  <c r="U79" i="6"/>
  <c r="V79" i="6" s="1"/>
  <c r="H79" i="6"/>
  <c r="J79" i="6" s="1"/>
  <c r="U78" i="6"/>
  <c r="V78" i="6" s="1"/>
  <c r="W78" i="6" s="1"/>
  <c r="H78" i="6"/>
  <c r="J78" i="6" s="1"/>
  <c r="H77" i="6"/>
  <c r="AE78" i="7" s="1"/>
  <c r="B77" i="6"/>
  <c r="V76" i="6"/>
  <c r="L76" i="6"/>
  <c r="U76" i="6" s="1"/>
  <c r="H76" i="6"/>
  <c r="AE77" i="7" s="1"/>
  <c r="L75" i="6"/>
  <c r="U75" i="6" s="1"/>
  <c r="V75" i="6" s="1"/>
  <c r="H75" i="6"/>
  <c r="AG75" i="7" s="1"/>
  <c r="L74" i="6"/>
  <c r="U74" i="6" s="1"/>
  <c r="V74" i="6" s="1"/>
  <c r="H74" i="6"/>
  <c r="AM76" i="7" s="1"/>
  <c r="B74" i="6"/>
  <c r="H73" i="6"/>
  <c r="J73" i="6" s="1"/>
  <c r="H72" i="6"/>
  <c r="AM74" i="7" s="1"/>
  <c r="L71" i="6"/>
  <c r="M71" i="6" s="1"/>
  <c r="U71" i="6" s="1"/>
  <c r="V71" i="6" s="1"/>
  <c r="H71" i="6"/>
  <c r="AF74" i="7" s="1"/>
  <c r="B71" i="6"/>
  <c r="H70" i="6"/>
  <c r="AE73" i="7" s="1"/>
  <c r="R69" i="6"/>
  <c r="U67" i="6" s="1"/>
  <c r="V67" i="6" s="1"/>
  <c r="L69" i="6"/>
  <c r="H69" i="6"/>
  <c r="J69" i="6" s="1"/>
  <c r="U68" i="6"/>
  <c r="V68" i="6" s="1"/>
  <c r="Q68" i="6"/>
  <c r="P68" i="6"/>
  <c r="R68" i="6" s="1"/>
  <c r="L68" i="6"/>
  <c r="H68" i="6"/>
  <c r="J68" i="6" s="1"/>
  <c r="B68" i="6"/>
  <c r="R67" i="6"/>
  <c r="Q67" i="6"/>
  <c r="P67" i="6"/>
  <c r="L67" i="6"/>
  <c r="H67" i="6"/>
  <c r="K80" i="6" s="1"/>
  <c r="N80" i="6" s="1"/>
  <c r="P66" i="6"/>
  <c r="R66" i="6" s="1"/>
  <c r="L66" i="6"/>
  <c r="H66" i="6"/>
  <c r="K81" i="6" s="1"/>
  <c r="V65" i="6"/>
  <c r="U65" i="6"/>
  <c r="P65" i="6"/>
  <c r="R65" i="6" s="1"/>
  <c r="L65" i="6"/>
  <c r="H65" i="6"/>
  <c r="K79" i="6" s="1"/>
  <c r="N79" i="6" s="1"/>
  <c r="U64" i="6"/>
  <c r="V64" i="6" s="1"/>
  <c r="P64" i="6"/>
  <c r="L64" i="6"/>
  <c r="H64" i="6"/>
  <c r="AE60" i="7" s="1"/>
  <c r="C64" i="6"/>
  <c r="U63" i="6"/>
  <c r="V63" i="6" s="1"/>
  <c r="P63" i="6"/>
  <c r="L63" i="6"/>
  <c r="H63" i="6"/>
  <c r="R62" i="6"/>
  <c r="Q62" i="6"/>
  <c r="P62" i="6"/>
  <c r="L62" i="6"/>
  <c r="A9" i="7" s="1"/>
  <c r="H62" i="6"/>
  <c r="P61" i="6"/>
  <c r="R61" i="6" s="1"/>
  <c r="L61" i="6"/>
  <c r="H61" i="6"/>
  <c r="P60" i="6"/>
  <c r="M60" i="6"/>
  <c r="U60" i="6" s="1"/>
  <c r="V60" i="6" s="1"/>
  <c r="L60" i="6"/>
  <c r="H60" i="6"/>
  <c r="P59" i="6"/>
  <c r="L59" i="6"/>
  <c r="H59" i="6"/>
  <c r="L58" i="6"/>
  <c r="M59" i="6" s="1"/>
  <c r="U59" i="6" s="1"/>
  <c r="V59" i="6" s="1"/>
  <c r="H58" i="6"/>
  <c r="L57" i="6"/>
  <c r="H57" i="6"/>
  <c r="AH7" i="7" s="1"/>
  <c r="L56" i="6"/>
  <c r="M56" i="6" s="1"/>
  <c r="U56" i="6" s="1"/>
  <c r="V56" i="6" s="1"/>
  <c r="H56" i="6"/>
  <c r="AH6" i="7" s="1"/>
  <c r="C28" i="5" s="1"/>
  <c r="L55" i="6"/>
  <c r="U55" i="6" s="1"/>
  <c r="V55" i="6" s="1"/>
  <c r="H55" i="6"/>
  <c r="AH5" i="7" s="1"/>
  <c r="M54" i="6"/>
  <c r="L54" i="6" s="1"/>
  <c r="U54" i="6" s="1"/>
  <c r="V54" i="6" s="1"/>
  <c r="H54" i="6"/>
  <c r="L53" i="6"/>
  <c r="U53" i="6" s="1"/>
  <c r="V53" i="6" s="1"/>
  <c r="H53" i="6"/>
  <c r="U52" i="6"/>
  <c r="V52" i="6" s="1"/>
  <c r="O52" i="6"/>
  <c r="L52" i="6"/>
  <c r="H52" i="6"/>
  <c r="AE79" i="7" s="1"/>
  <c r="L51" i="6"/>
  <c r="U51" i="6" s="1"/>
  <c r="V51" i="6" s="1"/>
  <c r="H51" i="6"/>
  <c r="AO85" i="7" s="1"/>
  <c r="O50" i="6"/>
  <c r="N50" i="6"/>
  <c r="L50" i="6"/>
  <c r="U50" i="6" s="1"/>
  <c r="V50" i="6" s="1"/>
  <c r="H50" i="6"/>
  <c r="AO84" i="7" s="1"/>
  <c r="O49" i="6"/>
  <c r="N49" i="6"/>
  <c r="H49" i="6"/>
  <c r="AN83" i="7" s="1"/>
  <c r="A49" i="6"/>
  <c r="N48" i="6"/>
  <c r="L48" i="6"/>
  <c r="L49" i="6" s="1"/>
  <c r="H48" i="6"/>
  <c r="A48" i="6"/>
  <c r="N47" i="6"/>
  <c r="L47" i="6"/>
  <c r="U47" i="6" s="1"/>
  <c r="V47" i="6" s="1"/>
  <c r="H47" i="6"/>
  <c r="AE87" i="7" s="1"/>
  <c r="B47" i="6"/>
  <c r="V84" i="7" s="1"/>
  <c r="A47" i="6"/>
  <c r="O46" i="6"/>
  <c r="N46" i="6"/>
  <c r="L46" i="6"/>
  <c r="U46" i="6" s="1"/>
  <c r="V46" i="6" s="1"/>
  <c r="H46" i="6"/>
  <c r="A46" i="6"/>
  <c r="N45" i="6"/>
  <c r="L45" i="6"/>
  <c r="U45" i="6" s="1"/>
  <c r="V45" i="6" s="1"/>
  <c r="H45" i="6"/>
  <c r="AF57" i="7" s="1"/>
  <c r="A45" i="6"/>
  <c r="N44" i="6"/>
  <c r="L44" i="6"/>
  <c r="U49" i="6" s="1"/>
  <c r="V49" i="6" s="1"/>
  <c r="H44" i="6"/>
  <c r="AN56" i="7" s="1"/>
  <c r="B44" i="6"/>
  <c r="X71" i="7" s="1"/>
  <c r="A44" i="6"/>
  <c r="N43" i="6"/>
  <c r="L43" i="6"/>
  <c r="U43" i="6" s="1"/>
  <c r="V43" i="6" s="1"/>
  <c r="H43" i="6"/>
  <c r="AF56" i="7" s="1"/>
  <c r="A43" i="6"/>
  <c r="O42" i="6"/>
  <c r="N42" i="6"/>
  <c r="L42" i="6"/>
  <c r="U42" i="6" s="1"/>
  <c r="V42" i="6" s="1"/>
  <c r="H42" i="6"/>
  <c r="AE52" i="7" s="1"/>
  <c r="A42" i="6"/>
  <c r="S41" i="6"/>
  <c r="O41" i="6"/>
  <c r="N41" i="6"/>
  <c r="L41" i="6"/>
  <c r="U41" i="6" s="1"/>
  <c r="V41" i="6" s="1"/>
  <c r="H41" i="6"/>
  <c r="A41" i="6"/>
  <c r="H40" i="6"/>
  <c r="AF46" i="7" s="1"/>
  <c r="H39" i="6"/>
  <c r="AF45" i="7" s="1"/>
  <c r="H38" i="6"/>
  <c r="H37" i="6"/>
  <c r="H36" i="6"/>
  <c r="AF43" i="7" s="1"/>
  <c r="Y35" i="6"/>
  <c r="X35" i="6"/>
  <c r="W35" i="6"/>
  <c r="V35" i="6"/>
  <c r="O35" i="6"/>
  <c r="Z35" i="6" s="1"/>
  <c r="H35" i="6"/>
  <c r="AE42" i="7" s="1"/>
  <c r="Y34" i="6"/>
  <c r="X34" i="6"/>
  <c r="W34" i="6"/>
  <c r="V34" i="6"/>
  <c r="U34" i="6"/>
  <c r="O34" i="6"/>
  <c r="Z34" i="6" s="1"/>
  <c r="H34" i="6"/>
  <c r="Z46" i="7" s="1"/>
  <c r="Y33" i="6"/>
  <c r="X33" i="6"/>
  <c r="W33" i="6"/>
  <c r="V33" i="6"/>
  <c r="O33" i="6"/>
  <c r="Z33" i="6" s="1"/>
  <c r="H33" i="6"/>
  <c r="P44" i="7" s="1"/>
  <c r="Y32" i="6"/>
  <c r="X32" i="6"/>
  <c r="W32" i="6"/>
  <c r="V32" i="6"/>
  <c r="O32" i="6"/>
  <c r="Z32" i="6" s="1"/>
  <c r="H32" i="6"/>
  <c r="H49" i="7" s="1"/>
  <c r="Y31" i="6"/>
  <c r="X31" i="6"/>
  <c r="W31" i="6"/>
  <c r="V31" i="6"/>
  <c r="O31" i="6"/>
  <c r="Z31" i="6" s="1"/>
  <c r="H31" i="6"/>
  <c r="N40" i="7" s="1"/>
  <c r="Y30" i="6"/>
  <c r="X30" i="6"/>
  <c r="W30" i="6"/>
  <c r="V30" i="6"/>
  <c r="U30" i="6"/>
  <c r="O30" i="6"/>
  <c r="Z30" i="6" s="1"/>
  <c r="H30" i="6"/>
  <c r="F40" i="7" s="1"/>
  <c r="C30" i="6"/>
  <c r="Y29" i="6"/>
  <c r="X29" i="6"/>
  <c r="W29" i="6"/>
  <c r="V29" i="6"/>
  <c r="O29" i="6"/>
  <c r="Z29" i="6" s="1"/>
  <c r="H29" i="6"/>
  <c r="C29" i="6"/>
  <c r="Y28" i="6"/>
  <c r="X28" i="6"/>
  <c r="W28" i="6"/>
  <c r="V28" i="6"/>
  <c r="O28" i="6"/>
  <c r="Z28" i="6" s="1"/>
  <c r="H28" i="6"/>
  <c r="C28" i="6"/>
  <c r="Y27" i="6"/>
  <c r="X27" i="6"/>
  <c r="W27" i="6"/>
  <c r="V27" i="6"/>
  <c r="O27" i="6"/>
  <c r="Z27" i="6" s="1"/>
  <c r="H27" i="6"/>
  <c r="Y26" i="6"/>
  <c r="X26" i="6"/>
  <c r="W26" i="6"/>
  <c r="V26" i="6"/>
  <c r="O26" i="6"/>
  <c r="Z26" i="6" s="1"/>
  <c r="H26" i="6"/>
  <c r="Z25" i="6"/>
  <c r="Y25" i="6"/>
  <c r="X25" i="6"/>
  <c r="W25" i="6"/>
  <c r="V25" i="6"/>
  <c r="H25" i="6"/>
  <c r="AP33" i="7" s="1"/>
  <c r="C25" i="6"/>
  <c r="Z24" i="6"/>
  <c r="Y24" i="6"/>
  <c r="X24" i="6"/>
  <c r="W24" i="6"/>
  <c r="V24" i="6"/>
  <c r="H24" i="6"/>
  <c r="C24" i="6"/>
  <c r="Z23" i="6"/>
  <c r="Y23" i="6"/>
  <c r="X23" i="6"/>
  <c r="W23" i="6"/>
  <c r="V23" i="6"/>
  <c r="U23" i="6"/>
  <c r="H23" i="6"/>
  <c r="C23" i="6"/>
  <c r="Z22" i="6"/>
  <c r="Y22" i="6"/>
  <c r="X22" i="6"/>
  <c r="W22" i="6"/>
  <c r="V22" i="6"/>
  <c r="H22" i="6"/>
  <c r="AF39" i="7" s="1"/>
  <c r="C22" i="6"/>
  <c r="Z21" i="6"/>
  <c r="Y21" i="6"/>
  <c r="X21" i="6"/>
  <c r="W21" i="6"/>
  <c r="V21" i="6"/>
  <c r="H21" i="6"/>
  <c r="AO38" i="7" s="1"/>
  <c r="C21" i="6"/>
  <c r="Z20" i="6"/>
  <c r="Y20" i="6"/>
  <c r="X20" i="6"/>
  <c r="W20" i="6"/>
  <c r="V20" i="6"/>
  <c r="H20" i="6"/>
  <c r="AF38" i="7" s="1"/>
  <c r="C20" i="6"/>
  <c r="Z19" i="6"/>
  <c r="Y19" i="6"/>
  <c r="X19" i="6"/>
  <c r="W19" i="6"/>
  <c r="V19" i="6"/>
  <c r="H19" i="6"/>
  <c r="AF37" i="7" s="1"/>
  <c r="C19" i="6"/>
  <c r="Y18" i="6"/>
  <c r="X18" i="6"/>
  <c r="W18" i="6"/>
  <c r="V18" i="6"/>
  <c r="O18" i="6"/>
  <c r="Z18" i="6" s="1"/>
  <c r="H18" i="6"/>
  <c r="AF36" i="7" s="1"/>
  <c r="C18" i="6"/>
  <c r="Z17" i="6"/>
  <c r="Y17" i="6"/>
  <c r="X17" i="6"/>
  <c r="W17" i="6"/>
  <c r="V17" i="6"/>
  <c r="H17" i="6"/>
  <c r="AF35" i="7" s="1"/>
  <c r="C17" i="6"/>
  <c r="Z16" i="6"/>
  <c r="Y16" i="6"/>
  <c r="X16" i="6"/>
  <c r="W16" i="6"/>
  <c r="V16" i="6"/>
  <c r="U16" i="6"/>
  <c r="H16" i="6"/>
  <c r="AF34" i="7" s="1"/>
  <c r="C16" i="6"/>
  <c r="Z15" i="6"/>
  <c r="Y15" i="6"/>
  <c r="X15" i="6"/>
  <c r="W15" i="6"/>
  <c r="V15" i="6"/>
  <c r="H15" i="6"/>
  <c r="AF33" i="7" s="1"/>
  <c r="Z14" i="6"/>
  <c r="Y14" i="6"/>
  <c r="X14" i="6"/>
  <c r="W14" i="6"/>
  <c r="V14" i="6"/>
  <c r="H14" i="6"/>
  <c r="F34" i="7" s="1"/>
  <c r="Z13" i="6"/>
  <c r="Y13" i="6"/>
  <c r="X13" i="6"/>
  <c r="W13" i="6"/>
  <c r="V13" i="6"/>
  <c r="H13" i="6"/>
  <c r="F33" i="7" s="1"/>
  <c r="Z12" i="6"/>
  <c r="Y12" i="6"/>
  <c r="X12" i="6"/>
  <c r="W12" i="6"/>
  <c r="V12" i="6"/>
  <c r="H12" i="6"/>
  <c r="AN7" i="7" s="1"/>
  <c r="Y11" i="6"/>
  <c r="X11" i="6"/>
  <c r="W11" i="6"/>
  <c r="V11" i="6"/>
  <c r="O11" i="6"/>
  <c r="Z11" i="6" s="1"/>
  <c r="H11" i="6"/>
  <c r="AN6" i="7" s="1"/>
  <c r="Z10" i="6"/>
  <c r="Y10" i="6"/>
  <c r="X10" i="6"/>
  <c r="W10" i="6"/>
  <c r="V10" i="6"/>
  <c r="H10" i="6"/>
  <c r="AN5" i="7" s="1"/>
  <c r="Z9" i="6"/>
  <c r="Y9" i="6"/>
  <c r="X9" i="6"/>
  <c r="W9" i="6"/>
  <c r="V9" i="6"/>
  <c r="U9" i="6"/>
  <c r="H9" i="6"/>
  <c r="Z8" i="6"/>
  <c r="Y8" i="6"/>
  <c r="X8" i="6"/>
  <c r="W8" i="6"/>
  <c r="V8" i="6"/>
  <c r="H8" i="6"/>
  <c r="S7" i="7" s="1"/>
  <c r="Z7" i="6"/>
  <c r="Y7" i="6"/>
  <c r="X7" i="6"/>
  <c r="W7" i="6"/>
  <c r="V7" i="6"/>
  <c r="H7" i="6"/>
  <c r="S6" i="7" s="1"/>
  <c r="Z6" i="6"/>
  <c r="Y6" i="6"/>
  <c r="X6" i="6"/>
  <c r="W6" i="6"/>
  <c r="V6" i="6"/>
  <c r="H6" i="6"/>
  <c r="F7" i="7" s="1"/>
  <c r="Z5" i="6"/>
  <c r="Y5" i="6"/>
  <c r="X5" i="6"/>
  <c r="W5" i="6"/>
  <c r="V5" i="6"/>
  <c r="H5" i="6"/>
  <c r="F6" i="7" s="1"/>
  <c r="Z4" i="6"/>
  <c r="Y4" i="6"/>
  <c r="X4" i="6"/>
  <c r="W4" i="6"/>
  <c r="V4" i="6"/>
  <c r="H4" i="6"/>
  <c r="E5" i="7" s="1"/>
  <c r="Z3" i="6"/>
  <c r="Y3" i="6"/>
  <c r="X3" i="6"/>
  <c r="W3" i="6"/>
  <c r="V3" i="6"/>
  <c r="H3" i="6"/>
  <c r="H2" i="6"/>
  <c r="AX3" i="7" s="1"/>
  <c r="Y1" i="6"/>
  <c r="AO53" i="7" s="1"/>
  <c r="X1" i="6"/>
  <c r="AK53" i="7" s="1"/>
  <c r="W1" i="6"/>
  <c r="AH53" i="7" s="1"/>
  <c r="C95" i="6" l="1"/>
  <c r="L72" i="6" s="1"/>
  <c r="U72" i="6" s="1"/>
  <c r="V72" i="6" s="1"/>
  <c r="AM53" i="7"/>
  <c r="A50" i="6"/>
  <c r="L73" i="6" s="1"/>
  <c r="U73" i="6" s="1"/>
  <c r="V73" i="6" s="1"/>
  <c r="M89" i="6"/>
  <c r="M93" i="6"/>
  <c r="M95" i="6"/>
  <c r="M103" i="6"/>
  <c r="M105" i="6"/>
  <c r="M107" i="6"/>
  <c r="M109" i="6"/>
  <c r="M111" i="6"/>
  <c r="M113" i="6"/>
  <c r="M115" i="6"/>
  <c r="M117" i="6"/>
  <c r="M119" i="6"/>
  <c r="M121" i="6"/>
  <c r="M123" i="6"/>
  <c r="M125" i="6"/>
  <c r="M127" i="6"/>
  <c r="M129" i="6"/>
  <c r="M131" i="6"/>
  <c r="AW43" i="7"/>
  <c r="AY43" i="7" s="1"/>
  <c r="M66" i="6"/>
  <c r="U66" i="6" s="1"/>
  <c r="V66" i="6" s="1"/>
  <c r="M88" i="6"/>
  <c r="M92" i="6"/>
  <c r="M97" i="6"/>
  <c r="M99" i="6"/>
  <c r="M101" i="6"/>
  <c r="M133" i="6"/>
  <c r="M135" i="6"/>
  <c r="BE9" i="7"/>
  <c r="V83" i="8"/>
  <c r="U83" i="8" s="1"/>
  <c r="AX19" i="9" s="1"/>
  <c r="E40" i="5" s="1"/>
  <c r="U70" i="10"/>
  <c r="V70" i="10" s="1"/>
  <c r="V83" i="10" s="1"/>
  <c r="U83" i="10" s="1"/>
  <c r="AX19" i="11" s="1"/>
  <c r="E56" i="5" s="1"/>
  <c r="L70" i="10"/>
  <c r="J80" i="6"/>
  <c r="R112" i="7"/>
  <c r="L77" i="6"/>
  <c r="U77" i="6" s="1"/>
  <c r="V77" i="6" s="1"/>
  <c r="C83" i="6"/>
  <c r="C84" i="6"/>
  <c r="C82" i="6"/>
  <c r="J74" i="6"/>
  <c r="AM75" i="7"/>
  <c r="R63" i="6"/>
  <c r="Q63" i="6"/>
  <c r="Q65" i="6"/>
  <c r="J72" i="6"/>
  <c r="U69" i="6"/>
  <c r="V69" i="6" s="1"/>
  <c r="W68" i="6" s="1"/>
  <c r="J95" i="6"/>
  <c r="R60" i="6"/>
  <c r="Q60" i="6"/>
  <c r="U58" i="6"/>
  <c r="V58" i="6" s="1"/>
  <c r="M62" i="6"/>
  <c r="U62" i="6" s="1"/>
  <c r="V62" i="6" s="1"/>
  <c r="AH54" i="7"/>
  <c r="AP53" i="7"/>
  <c r="AI53" i="7"/>
  <c r="U44" i="6"/>
  <c r="V44" i="6" s="1"/>
  <c r="M48" i="6"/>
  <c r="M49" i="6" s="1"/>
  <c r="U48" i="6" s="1"/>
  <c r="V48" i="6" s="1"/>
  <c r="R59" i="6"/>
  <c r="Q59" i="6"/>
  <c r="Q61" i="6"/>
  <c r="R64" i="6"/>
  <c r="Q64" i="6"/>
  <c r="Q66" i="6"/>
  <c r="P51" i="6"/>
  <c r="O51" i="6" s="1"/>
  <c r="AQ74" i="7"/>
  <c r="AQ75" i="7"/>
  <c r="U79" i="1"/>
  <c r="U78" i="1"/>
  <c r="U70" i="6" l="1"/>
  <c r="V70" i="6" s="1"/>
  <c r="V83" i="6" s="1"/>
  <c r="U83" i="6" s="1"/>
  <c r="AX19" i="7" s="1"/>
  <c r="E24" i="5" s="1"/>
  <c r="L70" i="6"/>
  <c r="V79" i="1"/>
  <c r="V78" i="1"/>
  <c r="H197" i="1"/>
  <c r="H198" i="1"/>
  <c r="H199" i="1"/>
  <c r="H200" i="1"/>
  <c r="H201" i="1"/>
  <c r="H202" i="1"/>
  <c r="H203" i="1"/>
  <c r="H204" i="1"/>
  <c r="H205" i="1"/>
  <c r="B9" i="4"/>
  <c r="B8" i="4"/>
  <c r="B7" i="4"/>
  <c r="W78" i="1" l="1"/>
  <c r="U65" i="1"/>
  <c r="V65" i="1" s="1"/>
  <c r="H191" i="1"/>
  <c r="H192" i="1"/>
  <c r="H193" i="1"/>
  <c r="AX7" i="2" s="1"/>
  <c r="H194" i="1"/>
  <c r="AX9" i="2" s="1"/>
  <c r="H195" i="1"/>
  <c r="AX10" i="2" s="1"/>
  <c r="H196" i="1"/>
  <c r="I63" i="4"/>
  <c r="B42" i="4"/>
  <c r="H184" i="1"/>
  <c r="BE4" i="2" s="1"/>
  <c r="H185" i="1"/>
  <c r="BG4" i="2" s="1"/>
  <c r="H186" i="1"/>
  <c r="C42" i="4" s="1"/>
  <c r="H187" i="1"/>
  <c r="C43" i="4" s="1"/>
  <c r="H188" i="1"/>
  <c r="H189" i="1"/>
  <c r="H190" i="1"/>
  <c r="BL5" i="2"/>
  <c r="BK5" i="2"/>
  <c r="BJ5" i="2"/>
  <c r="BE9" i="2" s="1"/>
  <c r="BF5" i="2"/>
  <c r="U68" i="1"/>
  <c r="V68" i="1" s="1"/>
  <c r="H182" i="1"/>
  <c r="H183" i="1"/>
  <c r="BE3" i="2" s="1"/>
  <c r="M3" i="5"/>
  <c r="J85" i="5"/>
  <c r="J84" i="5"/>
  <c r="J83" i="5"/>
  <c r="J82" i="5"/>
  <c r="J81" i="5"/>
  <c r="J80" i="5"/>
  <c r="J79" i="5"/>
  <c r="J77" i="5"/>
  <c r="J75" i="5"/>
  <c r="J69" i="5"/>
  <c r="J68" i="5"/>
  <c r="J67" i="5"/>
  <c r="J66" i="5"/>
  <c r="J65" i="5"/>
  <c r="J64" i="5"/>
  <c r="J63" i="5"/>
  <c r="J62" i="5"/>
  <c r="J61" i="5"/>
  <c r="J59" i="5"/>
  <c r="J53" i="5"/>
  <c r="J52" i="5"/>
  <c r="J51" i="5"/>
  <c r="J50" i="5"/>
  <c r="J49" i="5"/>
  <c r="J48" i="5"/>
  <c r="J47" i="5"/>
  <c r="J45" i="5"/>
  <c r="J43" i="5"/>
  <c r="J37" i="5"/>
  <c r="J36" i="5"/>
  <c r="J35" i="5"/>
  <c r="J34" i="5"/>
  <c r="J33" i="5"/>
  <c r="J32" i="5"/>
  <c r="J31" i="5"/>
  <c r="J29" i="5"/>
  <c r="J27" i="5"/>
  <c r="K21" i="5"/>
  <c r="J21" i="5" s="1"/>
  <c r="K20" i="5"/>
  <c r="J20" i="5" s="1"/>
  <c r="K19" i="5"/>
  <c r="J19" i="5" s="1"/>
  <c r="K18" i="5"/>
  <c r="J18" i="5" s="1"/>
  <c r="K17" i="5"/>
  <c r="J17" i="5" s="1"/>
  <c r="K16" i="5"/>
  <c r="J16" i="5" s="1"/>
  <c r="K15" i="5"/>
  <c r="J15" i="5" s="1"/>
  <c r="K13" i="5"/>
  <c r="J13" i="5" s="1"/>
  <c r="K11" i="5"/>
  <c r="J11" i="5" s="1"/>
  <c r="E14" i="5"/>
  <c r="E10" i="5"/>
  <c r="E12" i="5"/>
  <c r="BB3" i="2"/>
  <c r="L66" i="1"/>
  <c r="BB2" i="2"/>
  <c r="P68" i="1"/>
  <c r="R68" i="1" s="1"/>
  <c r="P67" i="1"/>
  <c r="Q67" i="1" s="1"/>
  <c r="P66" i="1"/>
  <c r="Q66" i="1" s="1"/>
  <c r="P65" i="1"/>
  <c r="R65" i="1" s="1"/>
  <c r="P64" i="1"/>
  <c r="Q64" i="1" s="1"/>
  <c r="P63" i="1"/>
  <c r="Q63" i="1" s="1"/>
  <c r="P62" i="1"/>
  <c r="R62" i="1" s="1"/>
  <c r="P61" i="1"/>
  <c r="R61" i="1" s="1"/>
  <c r="P59" i="1"/>
  <c r="R59" i="1" s="1"/>
  <c r="P60" i="1"/>
  <c r="R60" i="1" s="1"/>
  <c r="C25" i="1"/>
  <c r="C24" i="1"/>
  <c r="C23" i="1"/>
  <c r="C22" i="1"/>
  <c r="C21" i="1"/>
  <c r="C20" i="1"/>
  <c r="C19" i="1"/>
  <c r="C18" i="1"/>
  <c r="C17" i="1"/>
  <c r="C16" i="1"/>
  <c r="L52" i="1"/>
  <c r="U52" i="1" s="1"/>
  <c r="V52" i="1" s="1"/>
  <c r="R69" i="1"/>
  <c r="U67" i="1" s="1"/>
  <c r="V67" i="1" s="1"/>
  <c r="M54" i="1"/>
  <c r="L54" i="1" s="1"/>
  <c r="U54" i="1" s="1"/>
  <c r="V54" i="1" s="1"/>
  <c r="L68" i="1"/>
  <c r="L67" i="1"/>
  <c r="AP14" i="2"/>
  <c r="AL14" i="2"/>
  <c r="AH14" i="2"/>
  <c r="AD14" i="2"/>
  <c r="Z14" i="2"/>
  <c r="V14" i="2"/>
  <c r="R14" i="2"/>
  <c r="N14" i="2"/>
  <c r="J14" i="2"/>
  <c r="F14" i="2"/>
  <c r="H168" i="1"/>
  <c r="C20" i="4" s="1"/>
  <c r="H169" i="1"/>
  <c r="C21" i="4" s="1"/>
  <c r="H170" i="1"/>
  <c r="C25" i="4" s="1"/>
  <c r="H171" i="1"/>
  <c r="C26" i="4" s="1"/>
  <c r="H172" i="1"/>
  <c r="C30" i="4" s="1"/>
  <c r="H173" i="1"/>
  <c r="C31" i="4" s="1"/>
  <c r="H174" i="1"/>
  <c r="J174" i="1" s="1"/>
  <c r="H175" i="1"/>
  <c r="J175" i="1" s="1"/>
  <c r="H176" i="1"/>
  <c r="AF47" i="2" s="1"/>
  <c r="H177" i="1"/>
  <c r="J177" i="1" s="1"/>
  <c r="H178" i="1"/>
  <c r="J178" i="1" s="1"/>
  <c r="H179" i="1"/>
  <c r="C5" i="5" s="1"/>
  <c r="H180" i="1"/>
  <c r="AQ75" i="2" s="1"/>
  <c r="H181" i="1"/>
  <c r="AE96" i="2" s="1"/>
  <c r="B47" i="1"/>
  <c r="V84" i="2" s="1"/>
  <c r="B44" i="1"/>
  <c r="X71" i="2" s="1"/>
  <c r="L56" i="1"/>
  <c r="L53" i="1"/>
  <c r="U53" i="1" s="1"/>
  <c r="V53" i="1" s="1"/>
  <c r="L55" i="1"/>
  <c r="U55" i="1" s="1"/>
  <c r="V55" i="1" s="1"/>
  <c r="U64" i="1"/>
  <c r="V64" i="1" s="1"/>
  <c r="U63" i="1"/>
  <c r="V63" i="1" s="1"/>
  <c r="H158" i="1"/>
  <c r="H159" i="1"/>
  <c r="J134" i="1" s="1"/>
  <c r="H160" i="1"/>
  <c r="K82" i="1" s="1"/>
  <c r="H161" i="1"/>
  <c r="H162" i="1"/>
  <c r="H163" i="1"/>
  <c r="H164" i="1"/>
  <c r="H165" i="1"/>
  <c r="C12" i="4" s="1"/>
  <c r="H166" i="1"/>
  <c r="C15" i="4" s="1"/>
  <c r="H167" i="1"/>
  <c r="C16" i="4" s="1"/>
  <c r="H155" i="1"/>
  <c r="H156" i="1"/>
  <c r="L76" i="1"/>
  <c r="U76" i="1" s="1"/>
  <c r="V76" i="1" s="1"/>
  <c r="L75" i="1"/>
  <c r="U75" i="1" s="1"/>
  <c r="V75" i="1" s="1"/>
  <c r="L74" i="1"/>
  <c r="U74" i="1" s="1"/>
  <c r="V74" i="1" s="1"/>
  <c r="A49" i="1"/>
  <c r="A48" i="1"/>
  <c r="A47" i="1"/>
  <c r="A46" i="1"/>
  <c r="A45" i="1"/>
  <c r="A44" i="1"/>
  <c r="A43" i="1"/>
  <c r="A41" i="1"/>
  <c r="A42" i="1"/>
  <c r="L43" i="1"/>
  <c r="U43" i="1" s="1"/>
  <c r="V43" i="1" s="1"/>
  <c r="L42" i="1"/>
  <c r="U42" i="1" s="1"/>
  <c r="V42" i="1" s="1"/>
  <c r="L45" i="1"/>
  <c r="U45" i="1" s="1"/>
  <c r="V45" i="1" s="1"/>
  <c r="L71" i="1"/>
  <c r="M71" i="1" s="1"/>
  <c r="U71" i="1" s="1"/>
  <c r="V71" i="1" s="1"/>
  <c r="V26" i="1"/>
  <c r="W26" i="1"/>
  <c r="X26" i="1"/>
  <c r="Y26" i="1"/>
  <c r="V27" i="1"/>
  <c r="W27" i="1"/>
  <c r="X27" i="1"/>
  <c r="Y27" i="1"/>
  <c r="V28" i="1"/>
  <c r="W28" i="1"/>
  <c r="X28" i="1"/>
  <c r="Y28" i="1"/>
  <c r="V29" i="1"/>
  <c r="W29" i="1"/>
  <c r="X29" i="1"/>
  <c r="Y29" i="1"/>
  <c r="V30" i="1"/>
  <c r="W30" i="1"/>
  <c r="X30" i="1"/>
  <c r="Y30" i="1"/>
  <c r="V31" i="1"/>
  <c r="W31" i="1"/>
  <c r="X31" i="1"/>
  <c r="Y31" i="1"/>
  <c r="V32" i="1"/>
  <c r="W32" i="1"/>
  <c r="X32" i="1"/>
  <c r="Y32" i="1"/>
  <c r="V33" i="1"/>
  <c r="W33" i="1"/>
  <c r="X33" i="1"/>
  <c r="Y33" i="1"/>
  <c r="V34" i="1"/>
  <c r="W34" i="1"/>
  <c r="X34" i="1"/>
  <c r="Y34" i="1"/>
  <c r="V35" i="1"/>
  <c r="W35" i="1"/>
  <c r="X35" i="1"/>
  <c r="Y35" i="1"/>
  <c r="C93" i="1"/>
  <c r="C92" i="1"/>
  <c r="C91" i="1"/>
  <c r="C90" i="1"/>
  <c r="C89" i="1"/>
  <c r="C88" i="1"/>
  <c r="B81" i="1"/>
  <c r="Z25" i="1"/>
  <c r="Y25" i="1"/>
  <c r="X25" i="1"/>
  <c r="W25" i="1"/>
  <c r="V25" i="1"/>
  <c r="Z24" i="1"/>
  <c r="Y24" i="1"/>
  <c r="X24" i="1"/>
  <c r="W24" i="1"/>
  <c r="V24" i="1"/>
  <c r="Y23" i="1"/>
  <c r="X23" i="1"/>
  <c r="W23" i="1"/>
  <c r="V23" i="1"/>
  <c r="Y22" i="1"/>
  <c r="X22" i="1"/>
  <c r="W22" i="1"/>
  <c r="V22" i="1"/>
  <c r="Z21" i="1"/>
  <c r="Y21" i="1"/>
  <c r="X21" i="1"/>
  <c r="W21" i="1"/>
  <c r="V21" i="1"/>
  <c r="Z20" i="1"/>
  <c r="Y20" i="1"/>
  <c r="X20" i="1"/>
  <c r="W20" i="1"/>
  <c r="V20" i="1"/>
  <c r="Y19" i="1"/>
  <c r="X19" i="1"/>
  <c r="W19" i="1"/>
  <c r="V19" i="1"/>
  <c r="Y18" i="1"/>
  <c r="X18" i="1"/>
  <c r="W18" i="1"/>
  <c r="V18" i="1"/>
  <c r="Y17" i="1"/>
  <c r="X17" i="1"/>
  <c r="W17" i="1"/>
  <c r="V17" i="1"/>
  <c r="Y16" i="1"/>
  <c r="X16" i="1"/>
  <c r="W16" i="1"/>
  <c r="V16" i="1"/>
  <c r="Y15" i="1"/>
  <c r="X15" i="1"/>
  <c r="W15" i="1"/>
  <c r="V15" i="1"/>
  <c r="Y14" i="1"/>
  <c r="X14" i="1"/>
  <c r="W14" i="1"/>
  <c r="V14" i="1"/>
  <c r="Y13" i="1"/>
  <c r="X13" i="1"/>
  <c r="W13" i="1"/>
  <c r="V13" i="1"/>
  <c r="Z12" i="1"/>
  <c r="Y12" i="1"/>
  <c r="X12" i="1"/>
  <c r="W12" i="1"/>
  <c r="V12" i="1"/>
  <c r="Y11" i="1"/>
  <c r="X11" i="1"/>
  <c r="W11" i="1"/>
  <c r="V11" i="1"/>
  <c r="Z10" i="1"/>
  <c r="Y10" i="1"/>
  <c r="X10" i="1"/>
  <c r="W10" i="1"/>
  <c r="V10" i="1"/>
  <c r="Y9" i="1"/>
  <c r="X9" i="1"/>
  <c r="W9" i="1"/>
  <c r="V9" i="1"/>
  <c r="Z8" i="1"/>
  <c r="Y8" i="1"/>
  <c r="X8" i="1"/>
  <c r="W8" i="1"/>
  <c r="V8" i="1"/>
  <c r="Z7" i="1"/>
  <c r="Y7" i="1"/>
  <c r="X7" i="1"/>
  <c r="W7" i="1"/>
  <c r="V7" i="1"/>
  <c r="Z6" i="1"/>
  <c r="Y6" i="1"/>
  <c r="X6" i="1"/>
  <c r="W6" i="1"/>
  <c r="V6" i="1"/>
  <c r="Z5" i="1"/>
  <c r="Y5" i="1"/>
  <c r="X5" i="1"/>
  <c r="W5" i="1"/>
  <c r="V5" i="1"/>
  <c r="Z4" i="1"/>
  <c r="Y4" i="1"/>
  <c r="X4" i="1"/>
  <c r="W4" i="1"/>
  <c r="V4" i="1"/>
  <c r="Z3" i="1"/>
  <c r="Y3" i="1"/>
  <c r="X3" i="1"/>
  <c r="W3" i="1"/>
  <c r="V3" i="1"/>
  <c r="Y1" i="1"/>
  <c r="AO53" i="2" s="1"/>
  <c r="X1" i="1"/>
  <c r="AK53" i="2" s="1"/>
  <c r="W1" i="1"/>
  <c r="AH53" i="2"/>
  <c r="AX43" i="2"/>
  <c r="AW42" i="2"/>
  <c r="AW41" i="2"/>
  <c r="O50" i="1" s="1"/>
  <c r="AW40" i="2"/>
  <c r="O49" i="1" s="1"/>
  <c r="AW39" i="2"/>
  <c r="O48" i="1" s="1"/>
  <c r="AW38" i="2"/>
  <c r="O47" i="1" s="1"/>
  <c r="AW37" i="2"/>
  <c r="O46" i="1" s="1"/>
  <c r="AW36" i="2"/>
  <c r="O45" i="1" s="1"/>
  <c r="AW35" i="2"/>
  <c r="O44" i="1" s="1"/>
  <c r="AW34" i="2"/>
  <c r="O43" i="1" s="1"/>
  <c r="AW33" i="2"/>
  <c r="O42" i="1" s="1"/>
  <c r="L47" i="1"/>
  <c r="U47" i="1" s="1"/>
  <c r="V47" i="1" s="1"/>
  <c r="O41" i="1"/>
  <c r="N50" i="1"/>
  <c r="N49" i="1"/>
  <c r="N48" i="1"/>
  <c r="N47" i="1"/>
  <c r="N46" i="1"/>
  <c r="N45" i="1"/>
  <c r="N44" i="1"/>
  <c r="N43" i="1"/>
  <c r="N42" i="1"/>
  <c r="N41" i="1"/>
  <c r="C11" i="2"/>
  <c r="L69" i="1"/>
  <c r="C64" i="1"/>
  <c r="I133" i="1"/>
  <c r="H134" i="1"/>
  <c r="AE32" i="2" s="1"/>
  <c r="H135" i="1"/>
  <c r="J135" i="1" s="1"/>
  <c r="H136" i="1"/>
  <c r="J136" i="1" s="1"/>
  <c r="H137" i="1"/>
  <c r="AW30" i="2"/>
  <c r="H138" i="1"/>
  <c r="E102" i="2" s="1"/>
  <c r="H139" i="1"/>
  <c r="E104" i="2" s="1"/>
  <c r="H140" i="1"/>
  <c r="E35" i="4" s="1"/>
  <c r="H141" i="1"/>
  <c r="E108" i="2" s="1"/>
  <c r="H142" i="1"/>
  <c r="E110" i="2" s="1"/>
  <c r="H143" i="1"/>
  <c r="J143" i="1" s="1"/>
  <c r="H144" i="1"/>
  <c r="J144" i="1" s="1"/>
  <c r="H145" i="1"/>
  <c r="H146" i="1"/>
  <c r="J146" i="1" s="1"/>
  <c r="C84" i="1" s="1"/>
  <c r="H147" i="1"/>
  <c r="J147" i="1" s="1"/>
  <c r="H148" i="1"/>
  <c r="H149" i="1"/>
  <c r="R114" i="2" s="1"/>
  <c r="H150" i="1"/>
  <c r="AW46" i="2" s="1"/>
  <c r="H151" i="1"/>
  <c r="J151" i="1" s="1"/>
  <c r="H152" i="1"/>
  <c r="J152" i="1" s="1"/>
  <c r="H153" i="1"/>
  <c r="J153" i="1" s="1"/>
  <c r="H154" i="1"/>
  <c r="M111" i="1" s="1"/>
  <c r="H157" i="1"/>
  <c r="AX22" i="2" s="1"/>
  <c r="E37" i="4"/>
  <c r="S41" i="1"/>
  <c r="L63" i="1"/>
  <c r="L65" i="1"/>
  <c r="L62" i="1"/>
  <c r="U58" i="1" s="1"/>
  <c r="V58" i="1" s="1"/>
  <c r="L64" i="1"/>
  <c r="H132" i="1"/>
  <c r="L61" i="1"/>
  <c r="L60" i="1"/>
  <c r="M60" i="1" s="1"/>
  <c r="U60" i="1" s="1"/>
  <c r="V60" i="1" s="1"/>
  <c r="L59" i="1"/>
  <c r="L58" i="1"/>
  <c r="L57" i="1"/>
  <c r="H126" i="1"/>
  <c r="H127" i="1"/>
  <c r="H128" i="1"/>
  <c r="H129" i="1"/>
  <c r="H130" i="1"/>
  <c r="S5" i="2" s="1"/>
  <c r="H131" i="1"/>
  <c r="AX14" i="2" s="1"/>
  <c r="H133" i="1"/>
  <c r="L51" i="1"/>
  <c r="U51" i="1" s="1"/>
  <c r="V51" i="1" s="1"/>
  <c r="L50" i="1"/>
  <c r="U50" i="1" s="1"/>
  <c r="V50" i="1" s="1"/>
  <c r="L48" i="1"/>
  <c r="L49" i="1" s="1"/>
  <c r="L46" i="1"/>
  <c r="U46" i="1" s="1"/>
  <c r="V46" i="1" s="1"/>
  <c r="L44" i="1"/>
  <c r="U49" i="1" s="1"/>
  <c r="V49" i="1" s="1"/>
  <c r="L41" i="1"/>
  <c r="U41" i="1" s="1"/>
  <c r="V41" i="1" s="1"/>
  <c r="H2" i="1"/>
  <c r="AX3" i="2" s="1"/>
  <c r="H66" i="1"/>
  <c r="K81" i="1" s="1"/>
  <c r="H124" i="1"/>
  <c r="F20" i="2" s="1"/>
  <c r="H125" i="1"/>
  <c r="AP34" i="2" s="1"/>
  <c r="O95" i="2"/>
  <c r="H95" i="2"/>
  <c r="H84" i="2"/>
  <c r="R71" i="2"/>
  <c r="L71" i="2"/>
  <c r="F71" i="2"/>
  <c r="O84" i="2"/>
  <c r="H117" i="1"/>
  <c r="V95" i="2" s="1"/>
  <c r="H118" i="1"/>
  <c r="Z87" i="2" s="1"/>
  <c r="H119" i="1"/>
  <c r="Z91" i="2" s="1"/>
  <c r="H120" i="1"/>
  <c r="B74" i="1" s="1"/>
  <c r="H121" i="1"/>
  <c r="B75" i="1" s="1"/>
  <c r="H122" i="1"/>
  <c r="B77" i="1" s="1"/>
  <c r="H123" i="1"/>
  <c r="B78" i="1" s="1"/>
  <c r="H114" i="1"/>
  <c r="B71" i="1" s="1"/>
  <c r="H115" i="1"/>
  <c r="B72" i="1" s="1"/>
  <c r="H116" i="1"/>
  <c r="V90" i="2" s="1"/>
  <c r="H113" i="1"/>
  <c r="B69" i="1" s="1"/>
  <c r="H112" i="1"/>
  <c r="B68" i="1" s="1"/>
  <c r="H91" i="1"/>
  <c r="AF48" i="2" s="1"/>
  <c r="H92" i="1"/>
  <c r="J92" i="1" s="1"/>
  <c r="H93" i="1"/>
  <c r="J93" i="1" s="1"/>
  <c r="H94" i="1"/>
  <c r="AE55" i="2" s="1"/>
  <c r="H95" i="1"/>
  <c r="U69" i="1" s="1"/>
  <c r="V69" i="1" s="1"/>
  <c r="H96" i="1"/>
  <c r="J96" i="1" s="1"/>
  <c r="H97" i="1"/>
  <c r="H98" i="1"/>
  <c r="H99" i="1"/>
  <c r="H100" i="1"/>
  <c r="H101" i="1"/>
  <c r="H102" i="1"/>
  <c r="AE90" i="2" s="1"/>
  <c r="E116" i="2"/>
  <c r="H104" i="1"/>
  <c r="H105" i="1"/>
  <c r="H106" i="1"/>
  <c r="H107" i="1"/>
  <c r="H108" i="1"/>
  <c r="H109" i="1"/>
  <c r="H110" i="1"/>
  <c r="F60" i="2" s="1"/>
  <c r="H111" i="1"/>
  <c r="L60" i="2" s="1"/>
  <c r="H90" i="1"/>
  <c r="AE88" i="2" s="1"/>
  <c r="H89" i="1"/>
  <c r="J89" i="1" s="1"/>
  <c r="AS86" i="2"/>
  <c r="AO86" i="2"/>
  <c r="H82" i="1"/>
  <c r="J82" i="1" s="1"/>
  <c r="C30" i="1"/>
  <c r="AR12" i="2" s="1"/>
  <c r="C29" i="1"/>
  <c r="C28" i="1"/>
  <c r="AN13" i="2"/>
  <c r="AJ13" i="2"/>
  <c r="AF13" i="2"/>
  <c r="AB13" i="2"/>
  <c r="X13" i="2"/>
  <c r="T13" i="2"/>
  <c r="P13" i="2"/>
  <c r="L13" i="2"/>
  <c r="H13" i="2"/>
  <c r="AM38" i="2"/>
  <c r="H7" i="1"/>
  <c r="S6" i="2" s="1"/>
  <c r="H8" i="1"/>
  <c r="S7" i="2" s="1"/>
  <c r="H9" i="1"/>
  <c r="H10" i="1"/>
  <c r="AN5" i="2" s="1"/>
  <c r="H11" i="1"/>
  <c r="AN6" i="2" s="1"/>
  <c r="H12" i="1"/>
  <c r="AN7" i="2" s="1"/>
  <c r="H13" i="1"/>
  <c r="F33" i="2" s="1"/>
  <c r="H14" i="1"/>
  <c r="F34" i="2" s="1"/>
  <c r="H15" i="1"/>
  <c r="AF33" i="2" s="1"/>
  <c r="H16" i="1"/>
  <c r="AF34" i="2" s="1"/>
  <c r="H17" i="1"/>
  <c r="AF35" i="2" s="1"/>
  <c r="H18" i="1"/>
  <c r="AF36" i="2" s="1"/>
  <c r="H19" i="1"/>
  <c r="AF37" i="2" s="1"/>
  <c r="H20" i="1"/>
  <c r="AF38" i="2" s="1"/>
  <c r="H21" i="1"/>
  <c r="AO38" i="2" s="1"/>
  <c r="H22" i="1"/>
  <c r="AF39" i="2" s="1"/>
  <c r="H23" i="1"/>
  <c r="H24" i="1"/>
  <c r="H25" i="1"/>
  <c r="AP33" i="2" s="1"/>
  <c r="H26" i="1"/>
  <c r="H27" i="1"/>
  <c r="H28" i="1"/>
  <c r="H29" i="1"/>
  <c r="H30" i="1"/>
  <c r="F40" i="2" s="1"/>
  <c r="H31" i="1"/>
  <c r="N40" i="2" s="1"/>
  <c r="H32" i="1"/>
  <c r="H49" i="2" s="1"/>
  <c r="H33" i="1"/>
  <c r="P44" i="2" s="1"/>
  <c r="H34" i="1"/>
  <c r="Z46" i="2" s="1"/>
  <c r="H35" i="1"/>
  <c r="AE42" i="2" s="1"/>
  <c r="H36" i="1"/>
  <c r="AF43" i="2" s="1"/>
  <c r="H37" i="1"/>
  <c r="H38" i="1"/>
  <c r="H39" i="1"/>
  <c r="AF45" i="2" s="1"/>
  <c r="H40" i="1"/>
  <c r="AF46" i="2" s="1"/>
  <c r="H41" i="1"/>
  <c r="H42" i="1"/>
  <c r="AE52" i="2" s="1"/>
  <c r="H43" i="1"/>
  <c r="AF56" i="2" s="1"/>
  <c r="H44" i="1"/>
  <c r="AN56" i="2" s="1"/>
  <c r="H45" i="1"/>
  <c r="AF57" i="2" s="1"/>
  <c r="H46" i="1"/>
  <c r="H47" i="1"/>
  <c r="AE87" i="2" s="1"/>
  <c r="H48" i="1"/>
  <c r="H49" i="1"/>
  <c r="AN83" i="2" s="1"/>
  <c r="H50" i="1"/>
  <c r="AO84" i="2" s="1"/>
  <c r="H51" i="1"/>
  <c r="AO85" i="2" s="1"/>
  <c r="H52" i="1"/>
  <c r="AE79" i="2" s="1"/>
  <c r="H53" i="1"/>
  <c r="H54" i="1"/>
  <c r="U30" i="1" s="1"/>
  <c r="H55" i="1"/>
  <c r="AH5" i="2" s="1"/>
  <c r="H56" i="1"/>
  <c r="AH6" i="2" s="1"/>
  <c r="H57" i="1"/>
  <c r="AH7" i="2" s="1"/>
  <c r="H58" i="1"/>
  <c r="A28" i="2"/>
  <c r="H59" i="1"/>
  <c r="H60" i="1"/>
  <c r="AR13" i="2"/>
  <c r="H61" i="1"/>
  <c r="H62" i="1"/>
  <c r="H63" i="1"/>
  <c r="H64" i="1"/>
  <c r="AE60" i="2" s="1"/>
  <c r="H65" i="1"/>
  <c r="K79" i="1" s="1"/>
  <c r="N79" i="1" s="1"/>
  <c r="H67" i="1"/>
  <c r="K80" i="1" s="1"/>
  <c r="N80" i="1" s="1"/>
  <c r="H68" i="1"/>
  <c r="J68" i="1" s="1"/>
  <c r="H69" i="1"/>
  <c r="J69" i="1" s="1"/>
  <c r="H70" i="1"/>
  <c r="AE73" i="2" s="1"/>
  <c r="H71" i="1"/>
  <c r="AF74" i="2" s="1"/>
  <c r="H72" i="1"/>
  <c r="J72" i="1" s="1"/>
  <c r="H73" i="1"/>
  <c r="J73" i="1" s="1"/>
  <c r="H74" i="1"/>
  <c r="J74" i="1" s="1"/>
  <c r="H75" i="1"/>
  <c r="AG75" i="2" s="1"/>
  <c r="H76" i="1"/>
  <c r="AE77" i="2" s="1"/>
  <c r="H77" i="1"/>
  <c r="AE78" i="2" s="1"/>
  <c r="H78" i="1"/>
  <c r="J78" i="1" s="1"/>
  <c r="H79" i="1"/>
  <c r="J79" i="1" s="1"/>
  <c r="H80" i="1"/>
  <c r="J80" i="1" s="1"/>
  <c r="H81" i="1"/>
  <c r="J81" i="1" s="1"/>
  <c r="H83" i="1"/>
  <c r="H84" i="1"/>
  <c r="AE80" i="2" s="1"/>
  <c r="H85" i="1"/>
  <c r="J85" i="1" s="1"/>
  <c r="H86" i="1"/>
  <c r="J86" i="1" s="1"/>
  <c r="H87" i="1"/>
  <c r="AE83" i="2" s="1"/>
  <c r="H88" i="1"/>
  <c r="J88" i="1" s="1"/>
  <c r="H3" i="1"/>
  <c r="H4" i="1"/>
  <c r="E5" i="2" s="1"/>
  <c r="H6" i="1"/>
  <c r="F7" i="2" s="1"/>
  <c r="H5" i="1"/>
  <c r="F6" i="2" s="1"/>
  <c r="Z22" i="1"/>
  <c r="Z13" i="1"/>
  <c r="Z15" i="1"/>
  <c r="Z19" i="1"/>
  <c r="Z17" i="1"/>
  <c r="Z14" i="1"/>
  <c r="E13" i="2"/>
  <c r="A50" i="1" l="1"/>
  <c r="L73" i="1" s="1"/>
  <c r="U73" i="1" s="1"/>
  <c r="V73" i="1" s="1"/>
  <c r="AP53" i="2"/>
  <c r="Q60" i="1"/>
  <c r="Q61" i="1"/>
  <c r="AI53" i="2"/>
  <c r="J95" i="1"/>
  <c r="O29" i="1"/>
  <c r="Z29" i="1" s="1"/>
  <c r="O18" i="1"/>
  <c r="Z18" i="1" s="1"/>
  <c r="M122" i="1"/>
  <c r="J86" i="5"/>
  <c r="U34" i="1"/>
  <c r="K12" i="5"/>
  <c r="J12" i="5" s="1"/>
  <c r="J28" i="5"/>
  <c r="J60" i="5"/>
  <c r="R112" i="2"/>
  <c r="AQ76" i="2"/>
  <c r="J44" i="5"/>
  <c r="O33" i="1"/>
  <c r="Z33" i="1" s="1"/>
  <c r="M90" i="1"/>
  <c r="J76" i="5"/>
  <c r="P12" i="2"/>
  <c r="AJ12" i="2"/>
  <c r="H12" i="2"/>
  <c r="X12" i="2"/>
  <c r="AN12" i="2"/>
  <c r="L12" i="2"/>
  <c r="AF12" i="2"/>
  <c r="T12" i="2"/>
  <c r="AB12" i="2"/>
  <c r="U44" i="1"/>
  <c r="V44" i="1" s="1"/>
  <c r="N8" i="5"/>
  <c r="J30" i="5"/>
  <c r="AM74" i="2"/>
  <c r="F21" i="2"/>
  <c r="J78" i="5"/>
  <c r="J77" i="1"/>
  <c r="K14" i="5"/>
  <c r="J14" i="5" s="1"/>
  <c r="J46" i="5"/>
  <c r="C95" i="1"/>
  <c r="L72" i="1" s="1"/>
  <c r="U72" i="1" s="1"/>
  <c r="V72" i="1" s="1"/>
  <c r="M59" i="1"/>
  <c r="U59" i="1" s="1"/>
  <c r="V59" i="1" s="1"/>
  <c r="M56" i="1"/>
  <c r="U56" i="1" s="1"/>
  <c r="V56" i="1" s="1"/>
  <c r="M66" i="1"/>
  <c r="U66" i="1" s="1"/>
  <c r="V66" i="1" s="1"/>
  <c r="Q68" i="1"/>
  <c r="Q65" i="1"/>
  <c r="R64" i="1"/>
  <c r="R63" i="1"/>
  <c r="Q62" i="1"/>
  <c r="P51" i="1"/>
  <c r="AW43" i="2"/>
  <c r="AY43" i="2" s="1"/>
  <c r="Q59" i="1"/>
  <c r="O52" i="1"/>
  <c r="M48" i="1"/>
  <c r="M49" i="1" s="1"/>
  <c r="U48" i="1" s="1"/>
  <c r="V48" i="1" s="1"/>
  <c r="R67" i="1"/>
  <c r="R66" i="1"/>
  <c r="W68" i="1"/>
  <c r="M62" i="1"/>
  <c r="U62" i="1" s="1"/>
  <c r="V62" i="1" s="1"/>
  <c r="A9" i="2"/>
  <c r="K10" i="5"/>
  <c r="M110" i="1"/>
  <c r="M136" i="1"/>
  <c r="O32" i="1"/>
  <c r="Z32" i="1" s="1"/>
  <c r="M123" i="1"/>
  <c r="M104" i="1"/>
  <c r="C10" i="5"/>
  <c r="C26" i="5"/>
  <c r="C7" i="4"/>
  <c r="C83" i="1"/>
  <c r="C8" i="4"/>
  <c r="O27" i="1"/>
  <c r="Z27" i="1" s="1"/>
  <c r="O30" i="1"/>
  <c r="Z30" i="1" s="1"/>
  <c r="J70" i="5"/>
  <c r="J54" i="5"/>
  <c r="C4" i="4"/>
  <c r="C82" i="1"/>
  <c r="E33" i="4"/>
  <c r="J38" i="5"/>
  <c r="O35" i="1"/>
  <c r="Z35" i="1" s="1"/>
  <c r="AH54" i="2" s="1"/>
  <c r="O26" i="1"/>
  <c r="Z26" i="1" s="1"/>
  <c r="K22" i="5"/>
  <c r="J22" i="5" s="1"/>
  <c r="C9" i="4"/>
  <c r="AM53" i="2"/>
  <c r="C12" i="5"/>
  <c r="M15" i="5"/>
  <c r="M91" i="1"/>
  <c r="M113" i="1"/>
  <c r="M127" i="1"/>
  <c r="AM76" i="2"/>
  <c r="AM75" i="2"/>
  <c r="L77" i="1"/>
  <c r="U77" i="1" s="1"/>
  <c r="V77" i="1" s="1"/>
  <c r="M132" i="1"/>
  <c r="M108" i="1"/>
  <c r="M125" i="1"/>
  <c r="M95" i="1"/>
  <c r="AW95" i="2"/>
  <c r="U16" i="1"/>
  <c r="Z16" i="1" s="1"/>
  <c r="O28" i="1"/>
  <c r="Z28" i="1" s="1"/>
  <c r="O31" i="1"/>
  <c r="Z31" i="1" s="1"/>
  <c r="C14" i="5"/>
  <c r="M101" i="1"/>
  <c r="M118" i="1"/>
  <c r="M131" i="1"/>
  <c r="M99" i="1"/>
  <c r="M124" i="1"/>
  <c r="M130" i="1"/>
  <c r="M98" i="1"/>
  <c r="M121" i="1"/>
  <c r="M89" i="1"/>
  <c r="M100" i="1"/>
  <c r="M112" i="1"/>
  <c r="M135" i="1"/>
  <c r="M103" i="1"/>
  <c r="E106" i="2"/>
  <c r="AQ74" i="2"/>
  <c r="O11" i="1"/>
  <c r="Z11" i="1" s="1"/>
  <c r="U23" i="1"/>
  <c r="Z23" i="1" s="1"/>
  <c r="U9" i="1"/>
  <c r="Z9" i="1" s="1"/>
  <c r="O34" i="1"/>
  <c r="M134" i="1"/>
  <c r="M102" i="1"/>
  <c r="M115" i="1"/>
  <c r="M133" i="1"/>
  <c r="M92" i="1"/>
  <c r="M114" i="1"/>
  <c r="M137" i="1"/>
  <c r="M105" i="1"/>
  <c r="M93" i="1"/>
  <c r="M128" i="1"/>
  <c r="M96" i="1"/>
  <c r="M119" i="1"/>
  <c r="M87" i="1"/>
  <c r="K26" i="5"/>
  <c r="M117" i="1"/>
  <c r="M126" i="1"/>
  <c r="M94" i="1"/>
  <c r="M107" i="1"/>
  <c r="M109" i="1"/>
  <c r="M138" i="1"/>
  <c r="M106" i="1"/>
  <c r="M129" i="1"/>
  <c r="M97" i="1"/>
  <c r="M116" i="1"/>
  <c r="M120" i="1"/>
  <c r="M88" i="1"/>
  <c r="Z34" i="1" l="1"/>
  <c r="O51" i="1"/>
  <c r="U70" i="1" s="1"/>
  <c r="V70" i="1" s="1"/>
  <c r="V83" i="1" l="1"/>
  <c r="U83" i="1" s="1"/>
  <c r="AX19" i="2" s="1"/>
  <c r="L70" i="1"/>
  <c r="E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00000000-0006-0000-0200-000001000000}">
      <text>
        <r>
          <rPr>
            <b/>
            <sz val="9"/>
            <color indexed="81"/>
            <rFont val="Segoe UI"/>
            <family val="2"/>
          </rPr>
          <t>Maurin Müller:</t>
        </r>
        <r>
          <rPr>
            <sz val="9"/>
            <color indexed="81"/>
            <rFont val="Segoe UI"/>
            <family val="2"/>
          </rPr>
          <t xml:space="preserve">
Formel eingefügt für USA-Laby!!</t>
        </r>
      </text>
    </comment>
    <comment ref="W68" authorId="0" shapeId="0" xr:uid="{4A0B904E-8DE7-4AA1-940B-B822B3260D23}">
      <text>
        <r>
          <rPr>
            <b/>
            <sz val="9"/>
            <color indexed="81"/>
            <rFont val="Segoe UI"/>
            <family val="2"/>
          </rPr>
          <t>Maurin Müller:</t>
        </r>
        <r>
          <rPr>
            <sz val="9"/>
            <color indexed="81"/>
            <rFont val="Segoe UI"/>
            <family val="2"/>
          </rPr>
          <t xml:space="preserve">
Summe für Kontrolle von gesamten Beratungsfeld</t>
        </r>
      </text>
    </comment>
    <comment ref="L72" authorId="0" shapeId="0" xr:uid="{00000000-0006-0000-0200-000002000000}">
      <text>
        <r>
          <rPr>
            <b/>
            <sz val="9"/>
            <color indexed="81"/>
            <rFont val="Segoe UI"/>
            <family val="2"/>
          </rPr>
          <t>Maurin Müller:</t>
        </r>
        <r>
          <rPr>
            <sz val="9"/>
            <color indexed="81"/>
            <rFont val="Segoe UI"/>
            <family val="2"/>
          </rPr>
          <t xml:space="preserve">
siehe Zelle C95</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2E9963E4-4383-45C0-A217-DA31AB50B203}">
      <text>
        <r>
          <rPr>
            <b/>
            <sz val="9"/>
            <color indexed="81"/>
            <rFont val="Segoe UI"/>
            <family val="2"/>
          </rPr>
          <t xml:space="preserve">BHF = </t>
        </r>
        <r>
          <rPr>
            <sz val="9"/>
            <color indexed="81"/>
            <rFont val="Segoe UI"/>
            <family val="2"/>
          </rPr>
          <t>pocket door / calandage / stazione</t>
        </r>
      </text>
    </comment>
    <comment ref="F16" authorId="0" shapeId="0" xr:uid="{C2169A01-94CA-4CC4-9597-83B89AC98600}">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5B694BD4-0032-40E6-91D8-7C083E33F8AC}">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14D4F769-2E66-4458-9E67-0243944B55F7}">
      <text>
        <r>
          <rPr>
            <b/>
            <sz val="9"/>
            <color indexed="81"/>
            <rFont val="Segoe UI"/>
            <family val="2"/>
          </rPr>
          <t>Standard: 1050mm
RC2 = 1050mm
min: RV=200mm 
         MVv=750mm</t>
        </r>
      </text>
    </comment>
    <comment ref="AM45" authorId="0" shapeId="0" xr:uid="{C38DE05D-15D4-4665-AD91-219F8B8F8A1A}">
      <text>
        <r>
          <rPr>
            <b/>
            <sz val="8"/>
            <color indexed="81"/>
            <rFont val="Arial"/>
            <family val="2"/>
          </rPr>
          <t>RAL / Tiger, matt etc.</t>
        </r>
      </text>
    </comment>
    <comment ref="AI57" authorId="0" shapeId="0" xr:uid="{4672EC7D-A020-4FD4-B30A-67C88A684CFF}">
      <text>
        <r>
          <rPr>
            <b/>
            <sz val="8"/>
            <color indexed="81"/>
            <rFont val="Arial"/>
            <family val="2"/>
          </rPr>
          <t>P4A / SP10 etc.</t>
        </r>
      </text>
    </comment>
    <comment ref="AB62" authorId="0" shapeId="0" xr:uid="{293CCE08-3EFC-46D1-B42D-BD333BDE0D97}">
      <text>
        <r>
          <rPr>
            <b/>
            <sz val="9"/>
            <color indexed="81"/>
            <rFont val="Segoe UI"/>
            <family val="2"/>
          </rPr>
          <t>1 = XL</t>
        </r>
      </text>
    </comment>
    <comment ref="AN70" authorId="0" shapeId="0" xr:uid="{0199BCFF-37D4-43EB-811E-9D496B556B59}">
      <text>
        <r>
          <rPr>
            <b/>
            <sz val="8"/>
            <color indexed="81"/>
            <rFont val="Arial"/>
            <family val="2"/>
          </rPr>
          <t>Standard &amp; RC2 = 2-Punkt /
                               2-point/
                               2-points/
                               2-punti</t>
        </r>
      </text>
    </comment>
    <comment ref="AB73" authorId="0" shapeId="0" xr:uid="{D2EC727C-3C10-4758-8AC9-B9027E753772}">
      <text>
        <r>
          <rPr>
            <b/>
            <sz val="9"/>
            <color indexed="81"/>
            <rFont val="Segoe UI"/>
            <family val="2"/>
          </rPr>
          <t>1 = XL</t>
        </r>
      </text>
    </comment>
    <comment ref="AM88" authorId="0" shapeId="0" xr:uid="{0F193E21-9BCD-4BC0-A526-06838DEB884E}">
      <text>
        <r>
          <rPr>
            <b/>
            <sz val="9"/>
            <color indexed="81"/>
            <rFont val="Segoe UI"/>
            <family val="2"/>
          </rPr>
          <t>ISO 8601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00000000-0006-0000-0300-000001000000}">
      <text>
        <r>
          <rPr>
            <b/>
            <sz val="9"/>
            <color indexed="81"/>
            <rFont val="Segoe UI"/>
            <family val="2"/>
          </rPr>
          <t xml:space="preserve">BHF = </t>
        </r>
        <r>
          <rPr>
            <sz val="9"/>
            <color indexed="81"/>
            <rFont val="Segoe UI"/>
            <family val="2"/>
          </rPr>
          <t>pocket door / calandage / stazione</t>
        </r>
      </text>
    </comment>
    <comment ref="F16" authorId="0" shapeId="0" xr:uid="{00000000-0006-0000-0300-000002000000}">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00000000-0006-0000-0300-000003000000}">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00000000-0006-0000-0300-000004000000}">
      <text>
        <r>
          <rPr>
            <b/>
            <sz val="9"/>
            <color indexed="81"/>
            <rFont val="Segoe UI"/>
            <family val="2"/>
          </rPr>
          <t>Standard: 1050mm
RC2 = 1050mm
min: RV=200mm 
         MVv=750mm</t>
        </r>
      </text>
    </comment>
    <comment ref="AM45" authorId="0" shapeId="0" xr:uid="{00000000-0006-0000-0300-000005000000}">
      <text>
        <r>
          <rPr>
            <b/>
            <sz val="8"/>
            <color indexed="81"/>
            <rFont val="Arial"/>
            <family val="2"/>
          </rPr>
          <t>RAL / Tiger, matt etc.</t>
        </r>
      </text>
    </comment>
    <comment ref="AI57" authorId="0" shapeId="0" xr:uid="{00000000-0006-0000-0300-000006000000}">
      <text>
        <r>
          <rPr>
            <b/>
            <sz val="8"/>
            <color indexed="81"/>
            <rFont val="Arial"/>
            <family val="2"/>
          </rPr>
          <t>P4A / SP10 etc.</t>
        </r>
      </text>
    </comment>
    <comment ref="AB62" authorId="0" shapeId="0" xr:uid="{00000000-0006-0000-0300-000007000000}">
      <text>
        <r>
          <rPr>
            <b/>
            <sz val="9"/>
            <color indexed="81"/>
            <rFont val="Segoe UI"/>
            <family val="2"/>
          </rPr>
          <t>1 = XL</t>
        </r>
      </text>
    </comment>
    <comment ref="AN70" authorId="0" shapeId="0" xr:uid="{00000000-0006-0000-0300-000008000000}">
      <text>
        <r>
          <rPr>
            <b/>
            <sz val="8"/>
            <color indexed="81"/>
            <rFont val="Arial"/>
            <family val="2"/>
          </rPr>
          <t>Standard &amp; RC2 = 2-Punkt /
                               2-point/
                               2-points/
                               2-punti</t>
        </r>
      </text>
    </comment>
    <comment ref="AB73" authorId="0" shapeId="0" xr:uid="{00000000-0006-0000-0300-000009000000}">
      <text>
        <r>
          <rPr>
            <b/>
            <sz val="9"/>
            <color indexed="81"/>
            <rFont val="Segoe UI"/>
            <family val="2"/>
          </rPr>
          <t>1 = XL</t>
        </r>
      </text>
    </comment>
    <comment ref="AM88" authorId="0" shapeId="0" xr:uid="{00000000-0006-0000-0300-00000A000000}">
      <text>
        <r>
          <rPr>
            <b/>
            <sz val="9"/>
            <color indexed="81"/>
            <rFont val="Segoe UI"/>
            <family val="2"/>
          </rPr>
          <t>ISO 8601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90452C42-31BC-41F5-82D6-F72C8139EDA7}">
      <text>
        <r>
          <rPr>
            <b/>
            <sz val="9"/>
            <color indexed="81"/>
            <rFont val="Segoe UI"/>
            <family val="2"/>
          </rPr>
          <t>Maurin Müller:</t>
        </r>
        <r>
          <rPr>
            <sz val="9"/>
            <color indexed="81"/>
            <rFont val="Segoe UI"/>
            <family val="2"/>
          </rPr>
          <t xml:space="preserve">
Formel eingefügt für USA-Laby!!</t>
        </r>
      </text>
    </comment>
    <comment ref="W68" authorId="0" shapeId="0" xr:uid="{2CB76AD0-E693-4BD2-8505-2AA023C467FC}">
      <text>
        <r>
          <rPr>
            <b/>
            <sz val="9"/>
            <color indexed="81"/>
            <rFont val="Segoe UI"/>
            <family val="2"/>
          </rPr>
          <t>Maurin Müller:</t>
        </r>
        <r>
          <rPr>
            <sz val="9"/>
            <color indexed="81"/>
            <rFont val="Segoe UI"/>
            <family val="2"/>
          </rPr>
          <t xml:space="preserve">
Summe für Kontrolle von gesamten Beratungsfeld</t>
        </r>
      </text>
    </comment>
    <comment ref="L72" authorId="0" shapeId="0" xr:uid="{12F6E4EF-2FEC-474E-995B-7155E83D9E91}">
      <text>
        <r>
          <rPr>
            <b/>
            <sz val="9"/>
            <color indexed="81"/>
            <rFont val="Segoe UI"/>
            <family val="2"/>
          </rPr>
          <t>Maurin Müller:</t>
        </r>
        <r>
          <rPr>
            <sz val="9"/>
            <color indexed="81"/>
            <rFont val="Segoe UI"/>
            <family val="2"/>
          </rPr>
          <t xml:space="preserve">
siehe Zelle C95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ABAC4079-C371-4658-AE7F-63F48685EF9F}">
      <text>
        <r>
          <rPr>
            <b/>
            <sz val="9"/>
            <color indexed="81"/>
            <rFont val="Segoe UI"/>
            <family val="2"/>
          </rPr>
          <t xml:space="preserve">BHF = </t>
        </r>
        <r>
          <rPr>
            <sz val="9"/>
            <color indexed="81"/>
            <rFont val="Segoe UI"/>
            <family val="2"/>
          </rPr>
          <t>pocket door / calandage / stazione</t>
        </r>
      </text>
    </comment>
    <comment ref="F16" authorId="0" shapeId="0" xr:uid="{F5DA3D89-34BC-457F-9D5C-7A8033E454BD}">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2C1D7AC3-596B-487F-83F5-4A6474D9E9CB}">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237AC7EF-48F5-4C70-AE13-E4CDB4DB229C}">
      <text>
        <r>
          <rPr>
            <b/>
            <sz val="9"/>
            <color indexed="81"/>
            <rFont val="Segoe UI"/>
            <family val="2"/>
          </rPr>
          <t>Standard: 1050mm
RC2 = 1050mm
min: RV=200mm 
         MVv=750mm</t>
        </r>
      </text>
    </comment>
    <comment ref="AM45" authorId="0" shapeId="0" xr:uid="{C0BF29F2-0AB6-4442-B7C4-28A4F7B90BB6}">
      <text>
        <r>
          <rPr>
            <b/>
            <sz val="8"/>
            <color indexed="81"/>
            <rFont val="Arial"/>
            <family val="2"/>
          </rPr>
          <t>RAL / Tiger, matt etc.</t>
        </r>
      </text>
    </comment>
    <comment ref="AI57" authorId="0" shapeId="0" xr:uid="{FBAAF35F-389C-4347-869B-D4C3094B06F1}">
      <text>
        <r>
          <rPr>
            <b/>
            <sz val="8"/>
            <color indexed="81"/>
            <rFont val="Arial"/>
            <family val="2"/>
          </rPr>
          <t>P4A / SP10 etc.</t>
        </r>
      </text>
    </comment>
    <comment ref="AB62" authorId="0" shapeId="0" xr:uid="{E3BDC8AC-BF17-4F56-95E4-2C720B7E28F0}">
      <text>
        <r>
          <rPr>
            <b/>
            <sz val="9"/>
            <color indexed="81"/>
            <rFont val="Segoe UI"/>
            <family val="2"/>
          </rPr>
          <t>1 = XL</t>
        </r>
      </text>
    </comment>
    <comment ref="AN70" authorId="0" shapeId="0" xr:uid="{E4A94088-3038-4527-B469-AB20C2C1EF2C}">
      <text>
        <r>
          <rPr>
            <b/>
            <sz val="8"/>
            <color indexed="81"/>
            <rFont val="Arial"/>
            <family val="2"/>
          </rPr>
          <t>Standard &amp; RC2 = 2-Punkt /
                               2-point/
                               2-points/
                               2-punti</t>
        </r>
      </text>
    </comment>
    <comment ref="AB73" authorId="0" shapeId="0" xr:uid="{15DF1B28-36D9-4FB2-9D02-54FC6D3CE72F}">
      <text>
        <r>
          <rPr>
            <b/>
            <sz val="9"/>
            <color indexed="81"/>
            <rFont val="Segoe UI"/>
            <family val="2"/>
          </rPr>
          <t>1 = XL</t>
        </r>
      </text>
    </comment>
    <comment ref="AM88" authorId="0" shapeId="0" xr:uid="{82A6960D-AEAF-4C69-B727-5F538CA91246}">
      <text>
        <r>
          <rPr>
            <b/>
            <sz val="9"/>
            <color indexed="81"/>
            <rFont val="Segoe UI"/>
            <family val="2"/>
          </rPr>
          <t>ISO 8601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1860C944-63A5-4E66-BA3D-45FFE5FC7E2E}">
      <text>
        <r>
          <rPr>
            <b/>
            <sz val="9"/>
            <color indexed="81"/>
            <rFont val="Segoe UI"/>
            <family val="2"/>
          </rPr>
          <t>Maurin Müller:</t>
        </r>
        <r>
          <rPr>
            <sz val="9"/>
            <color indexed="81"/>
            <rFont val="Segoe UI"/>
            <family val="2"/>
          </rPr>
          <t xml:space="preserve">
Formel eingefügt für USA-Laby!!</t>
        </r>
      </text>
    </comment>
    <comment ref="W68" authorId="0" shapeId="0" xr:uid="{4A38C13B-A032-4658-83C8-9F6FC48C0996}">
      <text>
        <r>
          <rPr>
            <b/>
            <sz val="9"/>
            <color indexed="81"/>
            <rFont val="Segoe UI"/>
            <family val="2"/>
          </rPr>
          <t>Maurin Müller:</t>
        </r>
        <r>
          <rPr>
            <sz val="9"/>
            <color indexed="81"/>
            <rFont val="Segoe UI"/>
            <family val="2"/>
          </rPr>
          <t xml:space="preserve">
Summe für Kontrolle von gesamten Beratungsfeld</t>
        </r>
      </text>
    </comment>
    <comment ref="L72" authorId="0" shapeId="0" xr:uid="{C3AEEC97-BF22-4C9B-B78F-7675E653884E}">
      <text>
        <r>
          <rPr>
            <b/>
            <sz val="9"/>
            <color indexed="81"/>
            <rFont val="Segoe UI"/>
            <family val="2"/>
          </rPr>
          <t>Maurin Müller:</t>
        </r>
        <r>
          <rPr>
            <sz val="9"/>
            <color indexed="81"/>
            <rFont val="Segoe UI"/>
            <family val="2"/>
          </rPr>
          <t xml:space="preserve">
siehe Zelle C95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9044051D-994B-4819-9326-3A09291C1428}">
      <text>
        <r>
          <rPr>
            <b/>
            <sz val="9"/>
            <color indexed="81"/>
            <rFont val="Segoe UI"/>
            <family val="2"/>
          </rPr>
          <t xml:space="preserve">BHF = </t>
        </r>
        <r>
          <rPr>
            <sz val="9"/>
            <color indexed="81"/>
            <rFont val="Segoe UI"/>
            <family val="2"/>
          </rPr>
          <t>pocket door / calandage / stazione</t>
        </r>
      </text>
    </comment>
    <comment ref="F16" authorId="0" shapeId="0" xr:uid="{339ADBF6-29C9-42C4-9D6B-A329770D6F15}">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B27DFAFF-6417-4141-9BB4-BAE4096D3E28}">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C63DE6D6-6680-42E5-9F25-9FCC37C57B70}">
      <text>
        <r>
          <rPr>
            <b/>
            <sz val="9"/>
            <color indexed="81"/>
            <rFont val="Segoe UI"/>
            <family val="2"/>
          </rPr>
          <t>Standard: 1050mm
RC2 = 1050mm
min: RV=200mm 
         MVv=750mm</t>
        </r>
      </text>
    </comment>
    <comment ref="AM45" authorId="0" shapeId="0" xr:uid="{A7C5D340-1973-4C27-BBCF-5ADEB62BAA71}">
      <text>
        <r>
          <rPr>
            <b/>
            <sz val="8"/>
            <color indexed="81"/>
            <rFont val="Arial"/>
            <family val="2"/>
          </rPr>
          <t>RAL / Tiger, matt etc.</t>
        </r>
      </text>
    </comment>
    <comment ref="AI57" authorId="0" shapeId="0" xr:uid="{F37650E7-FC91-4997-B93A-72C503164159}">
      <text>
        <r>
          <rPr>
            <b/>
            <sz val="8"/>
            <color indexed="81"/>
            <rFont val="Arial"/>
            <family val="2"/>
          </rPr>
          <t>P4A / SP10 etc.</t>
        </r>
      </text>
    </comment>
    <comment ref="AB62" authorId="0" shapeId="0" xr:uid="{EFA6F981-A8A6-497A-90F3-FFEB8924C970}">
      <text>
        <r>
          <rPr>
            <b/>
            <sz val="9"/>
            <color indexed="81"/>
            <rFont val="Segoe UI"/>
            <family val="2"/>
          </rPr>
          <t>1 = XL</t>
        </r>
      </text>
    </comment>
    <comment ref="AN70" authorId="0" shapeId="0" xr:uid="{AE604761-414E-4997-9761-8BF078CE184C}">
      <text>
        <r>
          <rPr>
            <b/>
            <sz val="8"/>
            <color indexed="81"/>
            <rFont val="Arial"/>
            <family val="2"/>
          </rPr>
          <t>Standard &amp; RC2 = 2-Punkt /
                               2-point/
                               2-points/
                               2-punti</t>
        </r>
      </text>
    </comment>
    <comment ref="AB73" authorId="0" shapeId="0" xr:uid="{8D194D46-D667-438B-BAD1-EB005D68A710}">
      <text>
        <r>
          <rPr>
            <b/>
            <sz val="9"/>
            <color indexed="81"/>
            <rFont val="Segoe UI"/>
            <family val="2"/>
          </rPr>
          <t>1 = XL</t>
        </r>
      </text>
    </comment>
    <comment ref="AM88" authorId="0" shapeId="0" xr:uid="{A0DD08E7-01DC-40A0-82BE-806108E7F9F2}">
      <text>
        <r>
          <rPr>
            <b/>
            <sz val="9"/>
            <color indexed="81"/>
            <rFont val="Segoe UI"/>
            <family val="2"/>
          </rPr>
          <t>ISO 8601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667C7BF4-65F4-4382-B585-6B9D86E15101}">
      <text>
        <r>
          <rPr>
            <b/>
            <sz val="9"/>
            <color indexed="81"/>
            <rFont val="Segoe UI"/>
            <family val="2"/>
          </rPr>
          <t>Maurin Müller:</t>
        </r>
        <r>
          <rPr>
            <sz val="9"/>
            <color indexed="81"/>
            <rFont val="Segoe UI"/>
            <family val="2"/>
          </rPr>
          <t xml:space="preserve">
Formel eingefügt für USA-Laby!!</t>
        </r>
      </text>
    </comment>
    <comment ref="W68" authorId="0" shapeId="0" xr:uid="{314D24EC-2632-4E6E-950D-240C091605DF}">
      <text>
        <r>
          <rPr>
            <b/>
            <sz val="9"/>
            <color indexed="81"/>
            <rFont val="Segoe UI"/>
            <family val="2"/>
          </rPr>
          <t>Maurin Müller:</t>
        </r>
        <r>
          <rPr>
            <sz val="9"/>
            <color indexed="81"/>
            <rFont val="Segoe UI"/>
            <family val="2"/>
          </rPr>
          <t xml:space="preserve">
Summe für Kontrolle von gesamten Beratungsfeld</t>
        </r>
      </text>
    </comment>
    <comment ref="L72" authorId="0" shapeId="0" xr:uid="{7FFDEA24-E7AD-4238-AC90-BCABAC06519A}">
      <text>
        <r>
          <rPr>
            <b/>
            <sz val="9"/>
            <color indexed="81"/>
            <rFont val="Segoe UI"/>
            <family val="2"/>
          </rPr>
          <t>Maurin Müller:</t>
        </r>
        <r>
          <rPr>
            <sz val="9"/>
            <color indexed="81"/>
            <rFont val="Segoe UI"/>
            <family val="2"/>
          </rPr>
          <t xml:space="preserve">
siehe Zelle C95</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3187261A-5B0D-43F7-BB13-1C28B54B6D57}">
      <text>
        <r>
          <rPr>
            <b/>
            <sz val="9"/>
            <color indexed="81"/>
            <rFont val="Segoe UI"/>
            <family val="2"/>
          </rPr>
          <t xml:space="preserve">BHF = </t>
        </r>
        <r>
          <rPr>
            <sz val="9"/>
            <color indexed="81"/>
            <rFont val="Segoe UI"/>
            <family val="2"/>
          </rPr>
          <t>pocket door / calandage / stazione</t>
        </r>
      </text>
    </comment>
    <comment ref="F16" authorId="0" shapeId="0" xr:uid="{F7E1785E-62A2-40A3-B3C4-ECF570A74382}">
      <text>
        <r>
          <rPr>
            <b/>
            <sz val="9"/>
            <color indexed="81"/>
            <rFont val="Segoe UI"/>
            <family val="2"/>
          </rPr>
          <t xml:space="preserve">M = </t>
        </r>
        <r>
          <rPr>
            <sz val="9"/>
            <color indexed="81"/>
            <rFont val="Segoe UI"/>
            <family val="2"/>
          </rPr>
          <t>manuell
           manually
           manuelle
           manuale</t>
        </r>
        <r>
          <rPr>
            <b/>
            <sz val="9"/>
            <color indexed="81"/>
            <rFont val="Segoe UI"/>
            <family val="2"/>
          </rPr>
          <t xml:space="preserve">
E = </t>
        </r>
        <r>
          <rPr>
            <sz val="9"/>
            <color indexed="81"/>
            <rFont val="Segoe UI"/>
            <family val="2"/>
          </rPr>
          <t>elektrisch
           electrically
           électrique
           elettrico</t>
        </r>
      </text>
    </comment>
    <comment ref="AL39" authorId="0" shapeId="0" xr:uid="{5A44F774-E0D8-4E06-9BF2-14A0CF3871F3}">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8B9E12E9-4B1F-4115-92C4-2D24AC55CF31}">
      <text>
        <r>
          <rPr>
            <b/>
            <sz val="9"/>
            <color indexed="81"/>
            <rFont val="Segoe UI"/>
            <family val="2"/>
          </rPr>
          <t>Standard: 1050mm
RC2 = 1050mm
min: RV=200mm 
         MVv=750mm</t>
        </r>
      </text>
    </comment>
    <comment ref="AM45" authorId="0" shapeId="0" xr:uid="{810A282E-61A1-4B99-A5F5-458FD9AEFAFE}">
      <text>
        <r>
          <rPr>
            <b/>
            <sz val="8"/>
            <color indexed="81"/>
            <rFont val="Arial"/>
            <family val="2"/>
          </rPr>
          <t>RAL / Tiger, matt etc.</t>
        </r>
      </text>
    </comment>
    <comment ref="AI57" authorId="0" shapeId="0" xr:uid="{69331006-ED0A-41D8-B9D2-550019312AF6}">
      <text>
        <r>
          <rPr>
            <b/>
            <sz val="8"/>
            <color indexed="81"/>
            <rFont val="Arial"/>
            <family val="2"/>
          </rPr>
          <t>P4A / SP10 etc.</t>
        </r>
      </text>
    </comment>
    <comment ref="AB62" authorId="0" shapeId="0" xr:uid="{B974BE20-834D-4B2A-BD36-D59FA2C658AA}">
      <text>
        <r>
          <rPr>
            <b/>
            <sz val="9"/>
            <color indexed="81"/>
            <rFont val="Segoe UI"/>
            <family val="2"/>
          </rPr>
          <t>1 = XL</t>
        </r>
      </text>
    </comment>
    <comment ref="AN70" authorId="0" shapeId="0" xr:uid="{1C59C17A-9667-40AA-A7CE-0180118E61A0}">
      <text>
        <r>
          <rPr>
            <b/>
            <sz val="8"/>
            <color indexed="81"/>
            <rFont val="Arial"/>
            <family val="2"/>
          </rPr>
          <t>Standard &amp; RC2 = 2-Punkt /
                               2-point/
                               2-points/
                               2-punti</t>
        </r>
      </text>
    </comment>
    <comment ref="AB73" authorId="0" shapeId="0" xr:uid="{E313A644-8060-48FC-A1B4-36599AF31522}">
      <text>
        <r>
          <rPr>
            <b/>
            <sz val="9"/>
            <color indexed="81"/>
            <rFont val="Segoe UI"/>
            <family val="2"/>
          </rPr>
          <t>1 = XL</t>
        </r>
      </text>
    </comment>
    <comment ref="AM88" authorId="0" shapeId="0" xr:uid="{EC8D668F-EB1D-4C5C-B963-AE7DF336C749}">
      <text>
        <r>
          <rPr>
            <b/>
            <sz val="9"/>
            <color indexed="81"/>
            <rFont val="Segoe UI"/>
            <family val="2"/>
          </rPr>
          <t>ISO 8601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B44" authorId="0" shapeId="0" xr:uid="{1A1D406B-73A4-4793-A887-89C32BB3292C}">
      <text>
        <r>
          <rPr>
            <b/>
            <sz val="9"/>
            <color indexed="81"/>
            <rFont val="Segoe UI"/>
            <family val="2"/>
          </rPr>
          <t>Maurin Müller:</t>
        </r>
        <r>
          <rPr>
            <sz val="9"/>
            <color indexed="81"/>
            <rFont val="Segoe UI"/>
            <family val="2"/>
          </rPr>
          <t xml:space="preserve">
Formel eingefügt für USA-Laby!!</t>
        </r>
      </text>
    </comment>
    <comment ref="W68" authorId="0" shapeId="0" xr:uid="{7CEAD600-F68D-4A75-8182-6064679BC779}">
      <text>
        <r>
          <rPr>
            <b/>
            <sz val="9"/>
            <color indexed="81"/>
            <rFont val="Segoe UI"/>
            <family val="2"/>
          </rPr>
          <t>Maurin Müller:</t>
        </r>
        <r>
          <rPr>
            <sz val="9"/>
            <color indexed="81"/>
            <rFont val="Segoe UI"/>
            <family val="2"/>
          </rPr>
          <t xml:space="preserve">
Summe für Kontrolle von gesamten Beratungsfeld</t>
        </r>
      </text>
    </comment>
    <comment ref="L72" authorId="0" shapeId="0" xr:uid="{CF940DC7-CB88-4EE4-9B36-A616E60A0D9A}">
      <text>
        <r>
          <rPr>
            <b/>
            <sz val="9"/>
            <color indexed="81"/>
            <rFont val="Segoe UI"/>
            <family val="2"/>
          </rPr>
          <t>Maurin Müller:</t>
        </r>
        <r>
          <rPr>
            <sz val="9"/>
            <color indexed="81"/>
            <rFont val="Segoe UI"/>
            <family val="2"/>
          </rPr>
          <t xml:space="preserve">
siehe Zelle C95</t>
        </r>
      </text>
    </comment>
  </commentList>
</comments>
</file>

<file path=xl/sharedStrings.xml><?xml version="1.0" encoding="utf-8"?>
<sst xmlns="http://schemas.openxmlformats.org/spreadsheetml/2006/main" count="5400" uniqueCount="975">
  <si>
    <t>Gemäss Zeichnung Nr.:</t>
  </si>
  <si>
    <t>in accordance with drawing no.:</t>
  </si>
  <si>
    <t>Projekt-Nr.:</t>
  </si>
  <si>
    <t>Project no:</t>
  </si>
  <si>
    <t>Projet n°:</t>
  </si>
  <si>
    <t>2-gleisig</t>
  </si>
  <si>
    <t>2-track</t>
  </si>
  <si>
    <t>2-rails</t>
  </si>
  <si>
    <t>3-gleisig</t>
  </si>
  <si>
    <t>3-track</t>
  </si>
  <si>
    <t>4-gleisig</t>
  </si>
  <si>
    <t>4-track</t>
  </si>
  <si>
    <t>Teilung Achsmasse</t>
  </si>
  <si>
    <t>Axis size defined</t>
  </si>
  <si>
    <t>Division dimensions d'axe</t>
  </si>
  <si>
    <t>tous les verres de même largeur</t>
  </si>
  <si>
    <t>Standard</t>
  </si>
  <si>
    <t>Einbruchschutz RC2</t>
  </si>
  <si>
    <t>increased bulgary RC2</t>
  </si>
  <si>
    <t>Prot. Contre l'effraction RC2</t>
  </si>
  <si>
    <t>Position monitoring (P)</t>
  </si>
  <si>
    <t>Surveillance de la position (P)</t>
  </si>
  <si>
    <t>Deadbolt monitoring (R)</t>
  </si>
  <si>
    <t>Glass breakage sensor (G)</t>
  </si>
  <si>
    <t>Détecteur de bris de verre (G)</t>
  </si>
  <si>
    <t>Elektrischer Antrieb, Anzahl</t>
  </si>
  <si>
    <t>Entraînement électrique:</t>
  </si>
  <si>
    <t>Stk.</t>
  </si>
  <si>
    <t>pce.</t>
  </si>
  <si>
    <t>geforderte Klassen:</t>
  </si>
  <si>
    <t>Pool</t>
  </si>
  <si>
    <t>nach rechts</t>
  </si>
  <si>
    <t>to right</t>
  </si>
  <si>
    <t>à droite</t>
  </si>
  <si>
    <t>nach links</t>
  </si>
  <si>
    <t>to left</t>
  </si>
  <si>
    <t>à gauche</t>
  </si>
  <si>
    <t>Breite =</t>
  </si>
  <si>
    <t>Width =</t>
  </si>
  <si>
    <t>Largeur =</t>
  </si>
  <si>
    <t>Hauteur de poignée:</t>
  </si>
  <si>
    <t xml:space="preserve">Höhe = </t>
  </si>
  <si>
    <t>Height =</t>
  </si>
  <si>
    <t>Hauteur =</t>
  </si>
  <si>
    <t>Oberfläche:</t>
  </si>
  <si>
    <t>Surface:</t>
  </si>
  <si>
    <t>eloxiert (Qualanod):</t>
  </si>
  <si>
    <t>anodized (Qualanod):</t>
  </si>
  <si>
    <t>20 my (Standard)</t>
  </si>
  <si>
    <t>25 my (Pool/Meer)</t>
  </si>
  <si>
    <t>25my (Pool/near sea)</t>
  </si>
  <si>
    <t>25 my (Pool/mer)</t>
  </si>
  <si>
    <t>+Voranodisieren</t>
  </si>
  <si>
    <t>+pre-anodizing</t>
  </si>
  <si>
    <t>+pré-anodisation</t>
  </si>
  <si>
    <t>Glas-Typ: SG = "Sky-Glass"</t>
  </si>
  <si>
    <t>Glass-Type: SG = "Sky-Glass"</t>
  </si>
  <si>
    <t>Type de verre: SG = "Sky-Glass"</t>
  </si>
  <si>
    <t>Swisspacer-U schwarz</t>
  </si>
  <si>
    <t>Swisspacer-U black</t>
  </si>
  <si>
    <t>Swisspacer-U noir</t>
  </si>
  <si>
    <t>Swisspacer-U grau</t>
  </si>
  <si>
    <t>Swisspacer-U grey</t>
  </si>
  <si>
    <t>Swisspacer-U gris</t>
  </si>
  <si>
    <t>Statik:</t>
  </si>
  <si>
    <t>Statics:</t>
  </si>
  <si>
    <t>Statique:</t>
  </si>
  <si>
    <t>Windlast:</t>
  </si>
  <si>
    <t>Wind load:</t>
  </si>
  <si>
    <t>Charge de vent:</t>
  </si>
  <si>
    <t>Bemerkung:</t>
  </si>
  <si>
    <t xml:space="preserve">Notes: </t>
  </si>
  <si>
    <t>Remarques</t>
  </si>
  <si>
    <t>Zubehör:</t>
  </si>
  <si>
    <t>Accessories:</t>
  </si>
  <si>
    <t>Sun-Box</t>
  </si>
  <si>
    <t>Glastyp wählen</t>
  </si>
  <si>
    <t>choose glass-type</t>
  </si>
  <si>
    <t>Choisissez verre</t>
  </si>
  <si>
    <t>Pos:</t>
  </si>
  <si>
    <t>Item:</t>
  </si>
  <si>
    <t>Stück:</t>
  </si>
  <si>
    <t>Piece:</t>
  </si>
  <si>
    <t>Pce(s):</t>
  </si>
  <si>
    <t>Seite:</t>
  </si>
  <si>
    <t>Page:</t>
  </si>
  <si>
    <t>VSG mit P4A</t>
  </si>
  <si>
    <t>VSG with P4A</t>
  </si>
  <si>
    <t>VSG avec P4A</t>
  </si>
  <si>
    <t>Insektenschutz</t>
  </si>
  <si>
    <t>Insect Screen</t>
  </si>
  <si>
    <t>Sprache</t>
  </si>
  <si>
    <t>DEUTSCH</t>
  </si>
  <si>
    <t>ENGLISH</t>
  </si>
  <si>
    <t>FRANÇAIS</t>
  </si>
  <si>
    <t>ITALIANO</t>
  </si>
  <si>
    <t>BESTELLUNG</t>
  </si>
  <si>
    <t>ORDER</t>
  </si>
  <si>
    <t>COMMANDE</t>
  </si>
  <si>
    <t>ORDINE</t>
  </si>
  <si>
    <t>Secondo il disegno N°:</t>
  </si>
  <si>
    <t>Conformément au dessin n°:</t>
  </si>
  <si>
    <r>
      <t>Gemäss Skizze:</t>
    </r>
    <r>
      <rPr>
        <sz val="8"/>
        <color theme="1"/>
        <rFont val="Arial"/>
        <family val="2"/>
      </rPr>
      <t xml:space="preserve"> (Ansicht von Aussen)</t>
    </r>
  </si>
  <si>
    <r>
      <t xml:space="preserve">in accordance with diagram: </t>
    </r>
    <r>
      <rPr>
        <sz val="8"/>
        <color theme="1"/>
        <rFont val="Arial"/>
        <family val="2"/>
      </rPr>
      <t>(from outside)</t>
    </r>
  </si>
  <si>
    <r>
      <t xml:space="preserve">Conformément au croquis: </t>
    </r>
    <r>
      <rPr>
        <sz val="8"/>
        <color theme="1"/>
        <rFont val="Arial"/>
        <family val="2"/>
      </rPr>
      <t>(vue de l'extérieur)</t>
    </r>
  </si>
  <si>
    <t>Date de commande:</t>
  </si>
  <si>
    <t>Data d'ordine:</t>
  </si>
  <si>
    <t>Progetto N°:</t>
  </si>
  <si>
    <t>Divisioni dimensioni d'asse</t>
  </si>
  <si>
    <r>
      <rPr>
        <b/>
        <sz val="10"/>
        <color theme="1"/>
        <rFont val="Arial"/>
        <family val="2"/>
      </rPr>
      <t>All panels same width</t>
    </r>
    <r>
      <rPr>
        <sz val="10"/>
        <color theme="1"/>
        <rFont val="Arial"/>
        <family val="2"/>
      </rPr>
      <t xml:space="preserve"> (recommendation)</t>
    </r>
  </si>
  <si>
    <r>
      <rPr>
        <b/>
        <sz val="10"/>
        <color theme="1"/>
        <rFont val="Arial"/>
        <family val="2"/>
      </rPr>
      <t>alle Gläser gleiche Breite</t>
    </r>
    <r>
      <rPr>
        <sz val="10"/>
        <color theme="1"/>
        <rFont val="Arial"/>
        <family val="2"/>
      </rPr>
      <t xml:space="preserve"> (Empfehlung)</t>
    </r>
  </si>
  <si>
    <t>Speziell:</t>
  </si>
  <si>
    <t>Special:</t>
  </si>
  <si>
    <t>Spécial:</t>
  </si>
  <si>
    <t>Speciale:</t>
  </si>
  <si>
    <t>Schallschutz</t>
  </si>
  <si>
    <t>MINERGIE Modul</t>
  </si>
  <si>
    <t>MINERGIE-P Modul</t>
  </si>
  <si>
    <t>Gun</t>
  </si>
  <si>
    <t>(Schlagregen, Luftdurchlässigkeit)</t>
  </si>
  <si>
    <r>
      <t xml:space="preserve">Sound insulation </t>
    </r>
    <r>
      <rPr>
        <sz val="8"/>
        <color theme="1"/>
        <rFont val="Arial"/>
        <family val="2"/>
      </rPr>
      <t>(special case)</t>
    </r>
  </si>
  <si>
    <t>(water tightness, air permeability)</t>
  </si>
  <si>
    <t>Ètanchéité à la pluie battante / à l'air)</t>
  </si>
  <si>
    <r>
      <t>Protection acoustique</t>
    </r>
    <r>
      <rPr>
        <sz val="8"/>
        <color theme="1"/>
        <rFont val="Arial"/>
        <family val="2"/>
      </rPr>
      <t xml:space="preserve"> (cas d'espèce)</t>
    </r>
  </si>
  <si>
    <t>Monitoraggio rottura del vetro (G)</t>
  </si>
  <si>
    <t>Controllo di posizione (P)</t>
  </si>
  <si>
    <t>Controllo di chiavistello (R)</t>
  </si>
  <si>
    <t>Azionamento elettrico:</t>
  </si>
  <si>
    <t>pz.</t>
  </si>
  <si>
    <t>Larghezza =</t>
  </si>
  <si>
    <t>Altezza maniglia:</t>
  </si>
  <si>
    <t>Handle height:</t>
  </si>
  <si>
    <t>Griffhöhe:</t>
  </si>
  <si>
    <t>Altezza =</t>
  </si>
  <si>
    <t>Superficie:</t>
  </si>
  <si>
    <t>anodizzato (Qualanod):</t>
  </si>
  <si>
    <t>anodisé (Qualanod):</t>
  </si>
  <si>
    <t>20 my (standard)</t>
  </si>
  <si>
    <t>+pre-anodizzazione</t>
  </si>
  <si>
    <t>Tipo del vetro: SG = "Sky-Glass"</t>
  </si>
  <si>
    <t>Swisspacer-U nero</t>
  </si>
  <si>
    <t>Swisspacer-U grigio</t>
  </si>
  <si>
    <t>Statica:</t>
  </si>
  <si>
    <t>RC2: zwingend 1050mm</t>
  </si>
  <si>
    <t>RC2: must 1050mm</t>
  </si>
  <si>
    <t>RC2: exige 1050mm</t>
  </si>
  <si>
    <t>RC2: obbligatorio 1050mm</t>
  </si>
  <si>
    <t>min: RV=200 MVv=750</t>
  </si>
  <si>
    <t>Standard = 1050mm</t>
  </si>
  <si>
    <t>VSG con P4A</t>
  </si>
  <si>
    <t>Pz:</t>
  </si>
  <si>
    <t>Verschlussgriffe:</t>
  </si>
  <si>
    <t>ohne Verschlussraster</t>
  </si>
  <si>
    <t>2-Punkt Verriegelung</t>
  </si>
  <si>
    <t>3-Punkt Verriegelung</t>
  </si>
  <si>
    <t>mit Verschlussraster (Druckknopf)</t>
  </si>
  <si>
    <t>L=52mm</t>
  </si>
  <si>
    <t>L=82mm</t>
  </si>
  <si>
    <t>L=112mm</t>
  </si>
  <si>
    <t>Sockelbefestigung:</t>
  </si>
  <si>
    <t>Verstellschrauben M10 x</t>
  </si>
  <si>
    <t>L=70mm</t>
  </si>
  <si>
    <t>L=100mm</t>
  </si>
  <si>
    <t>ohne</t>
  </si>
  <si>
    <t>inklusive</t>
  </si>
  <si>
    <t>Rahmenzusammenbau:</t>
  </si>
  <si>
    <t>Gehrungsstoss (A)</t>
  </si>
  <si>
    <t>Logistik:</t>
  </si>
  <si>
    <t>nach Stockwerk:</t>
  </si>
  <si>
    <t>Schwarz</t>
  </si>
  <si>
    <t>Ja</t>
  </si>
  <si>
    <t>Nein</t>
  </si>
  <si>
    <t>Digitale Unterschrift:</t>
  </si>
  <si>
    <t>orders@sky-frame.ch</t>
  </si>
  <si>
    <t>Bestellung an:</t>
  </si>
  <si>
    <t xml:space="preserve">Yes </t>
  </si>
  <si>
    <t>No</t>
  </si>
  <si>
    <t>Digitale signature:</t>
  </si>
  <si>
    <t>CODE</t>
  </si>
  <si>
    <t>mm</t>
  </si>
  <si>
    <t>E6 EV1</t>
  </si>
  <si>
    <t>Ug=</t>
  </si>
  <si>
    <t>Lt=</t>
  </si>
  <si>
    <t>g=</t>
  </si>
  <si>
    <t>Bestelldatum:</t>
  </si>
  <si>
    <t>Date of order:</t>
  </si>
  <si>
    <t>Richtung</t>
  </si>
  <si>
    <t>R</t>
  </si>
  <si>
    <t>L</t>
  </si>
  <si>
    <t>F</t>
  </si>
  <si>
    <t>Zeichen</t>
  </si>
  <si>
    <t>→</t>
  </si>
  <si>
    <t>←</t>
  </si>
  <si>
    <t>+</t>
  </si>
  <si>
    <t>Rückgabewert Kontrollkästchen</t>
  </si>
  <si>
    <t>Electric drive, amount</t>
  </si>
  <si>
    <t>Pag.:</t>
  </si>
  <si>
    <t>Antriebe</t>
  </si>
  <si>
    <t>Feld 1</t>
  </si>
  <si>
    <t>Feld 2</t>
  </si>
  <si>
    <t>Feld 3</t>
  </si>
  <si>
    <t>Feld 4</t>
  </si>
  <si>
    <t>Feld 5</t>
  </si>
  <si>
    <t>Feld 6</t>
  </si>
  <si>
    <t>Feld 7</t>
  </si>
  <si>
    <t>Feld 8</t>
  </si>
  <si>
    <t>Feld 9</t>
  </si>
  <si>
    <t>Feld 10</t>
  </si>
  <si>
    <t>Alarmrückmeldung</t>
  </si>
  <si>
    <t>PÜ</t>
  </si>
  <si>
    <t>RÜ</t>
  </si>
  <si>
    <t>GÜ</t>
  </si>
  <si>
    <t>A-Ecke 90°</t>
  </si>
  <si>
    <t>I-Ecke 90°</t>
  </si>
  <si>
    <t>Drop&amp;Down / Sprachrückgabe</t>
  </si>
  <si>
    <t>A-Ecke≠90°</t>
  </si>
  <si>
    <t>I-Ecke≠90°</t>
  </si>
  <si>
    <t>Gleiszuordnung</t>
  </si>
  <si>
    <t>==============</t>
  </si>
  <si>
    <t>Profilüberprüfung</t>
  </si>
  <si>
    <t>Seitenteil R</t>
  </si>
  <si>
    <t>Seitenteil L</t>
  </si>
  <si>
    <t>KABA L</t>
  </si>
  <si>
    <t>KABA R</t>
  </si>
  <si>
    <t>E6 / 3145</t>
  </si>
  <si>
    <t>E6 / 3115</t>
  </si>
  <si>
    <t>E6 / 3165</t>
  </si>
  <si>
    <t>E6 / 3175</t>
  </si>
  <si>
    <t>E6 / 3178</t>
  </si>
  <si>
    <t>E6 / 3180</t>
  </si>
  <si>
    <t>20my</t>
  </si>
  <si>
    <t>25my</t>
  </si>
  <si>
    <t>SG-01</t>
  </si>
  <si>
    <t>ESG 6 / 18 / ESG 6</t>
  </si>
  <si>
    <t>SG-02</t>
  </si>
  <si>
    <t>ESG 8 / 14 / ESG 8</t>
  </si>
  <si>
    <t>SG-03</t>
  </si>
  <si>
    <t>ESG 8 / 16 / ESG 6</t>
  </si>
  <si>
    <t>SG-04</t>
  </si>
  <si>
    <t>ESG 10 / 14 / ESG 6</t>
  </si>
  <si>
    <t>SG-05</t>
  </si>
  <si>
    <t>V-F 8-2 / 14 / ESG 6</t>
  </si>
  <si>
    <t>SG-06</t>
  </si>
  <si>
    <t>V-F 8-2 / 14 / ESG 8</t>
  </si>
  <si>
    <t>SG-07</t>
  </si>
  <si>
    <t>ESG 6 / 14 / V-WG 8-2</t>
  </si>
  <si>
    <t>SG-08</t>
  </si>
  <si>
    <t>SG-11</t>
  </si>
  <si>
    <t>SG-12</t>
  </si>
  <si>
    <t>SG-13</t>
  </si>
  <si>
    <t>SG-14</t>
  </si>
  <si>
    <t>SG-15</t>
  </si>
  <si>
    <t>SG-16</t>
  </si>
  <si>
    <t>SG-21</t>
  </si>
  <si>
    <t>SG-22</t>
  </si>
  <si>
    <t>SG-23</t>
  </si>
  <si>
    <t>SG-24</t>
  </si>
  <si>
    <t>SG-25</t>
  </si>
  <si>
    <t>SG-26</t>
  </si>
  <si>
    <t>ESG 8 / 12 / V-WG 8-2</t>
  </si>
  <si>
    <t>SG-27</t>
  </si>
  <si>
    <t>V-F 10-2 / 12 / ESG 6</t>
  </si>
  <si>
    <t>Griff Innen</t>
  </si>
  <si>
    <t>Griff beidseitig</t>
  </si>
  <si>
    <t>Griff Innen+Z</t>
  </si>
  <si>
    <t>Griff beidseitig+Z</t>
  </si>
  <si>
    <t>Befestigung:</t>
  </si>
  <si>
    <t>Locking handles:</t>
  </si>
  <si>
    <t>non self locking (pushbutton)</t>
  </si>
  <si>
    <t>self locking</t>
  </si>
  <si>
    <t>2-point locking</t>
  </si>
  <si>
    <t>3-point locking</t>
  </si>
  <si>
    <t>Connection:</t>
  </si>
  <si>
    <t>Base connection:</t>
  </si>
  <si>
    <t>Adjusting screws M10 x</t>
  </si>
  <si>
    <t>none</t>
  </si>
  <si>
    <t>inclusive</t>
  </si>
  <si>
    <t>Sockel 75</t>
  </si>
  <si>
    <t>base 75</t>
  </si>
  <si>
    <t>Frame assembly:</t>
  </si>
  <si>
    <t>Mitre connection (A)</t>
  </si>
  <si>
    <t>Single profile (B)</t>
  </si>
  <si>
    <t>Logistics:</t>
  </si>
  <si>
    <t>Preferred delivery date:</t>
  </si>
  <si>
    <t>Wunschtermin:</t>
  </si>
  <si>
    <t>Color of rails + screw locking mechanisms:</t>
  </si>
  <si>
    <t>black</t>
  </si>
  <si>
    <t>order to:</t>
  </si>
  <si>
    <t>This order is binding and must be filled out completely. Changes will be charged as extra costs.</t>
  </si>
  <si>
    <t>Please choose:</t>
  </si>
  <si>
    <t>Bitte auswählen:</t>
  </si>
  <si>
    <t>Poignées de verrouillage:</t>
  </si>
  <si>
    <t>verrouillage à 3 points</t>
  </si>
  <si>
    <t>verrouillage à 2 points</t>
  </si>
  <si>
    <t>Fixation:</t>
  </si>
  <si>
    <t>Fixation du socle:</t>
  </si>
  <si>
    <t>Vis de réglage M10 x</t>
  </si>
  <si>
    <t>sans</t>
  </si>
  <si>
    <t>avec</t>
  </si>
  <si>
    <t>socle 75</t>
  </si>
  <si>
    <t>Assemblage du cadre:</t>
  </si>
  <si>
    <t>Raccord en onglet (A)</t>
  </si>
  <si>
    <t>Montage préparé (B)</t>
  </si>
  <si>
    <t>Date de livraison souhaitée:</t>
  </si>
  <si>
    <t>noir</t>
  </si>
  <si>
    <t>Maniglia di chiusura:</t>
  </si>
  <si>
    <t>Fissaggio:</t>
  </si>
  <si>
    <t>Vite universale (Inox):</t>
  </si>
  <si>
    <t>Fissaggio della base:</t>
  </si>
  <si>
    <t>Vite regolabile M10 x</t>
  </si>
  <si>
    <t>senza</t>
  </si>
  <si>
    <t>con</t>
  </si>
  <si>
    <t>Montaggio del telaio:</t>
  </si>
  <si>
    <t>Giunzione ad angolo (A)</t>
  </si>
  <si>
    <t>Logistica:</t>
  </si>
  <si>
    <t>nero</t>
  </si>
  <si>
    <t>Si</t>
  </si>
  <si>
    <t>Firma digitale:</t>
  </si>
  <si>
    <t>Universalschrauben (A2):</t>
  </si>
  <si>
    <t>Universal screws (Inox):</t>
  </si>
  <si>
    <t>Vis universelles (Inox),:</t>
  </si>
  <si>
    <t>Zahlen</t>
  </si>
  <si>
    <t>moustiquaire</t>
  </si>
  <si>
    <t>verrouillage manuelle (bouton-pression)</t>
  </si>
  <si>
    <t>verrouilage automatique</t>
  </si>
  <si>
    <t>Oui</t>
  </si>
  <si>
    <t>Signature numérique:</t>
  </si>
  <si>
    <t>À commander chez:</t>
  </si>
  <si>
    <t>angle éxterieur 90°</t>
  </si>
  <si>
    <t>angle éxterieur ≠90°</t>
  </si>
  <si>
    <t>à choisir:</t>
  </si>
  <si>
    <t>Standardgrundplatten:</t>
  </si>
  <si>
    <t>Standard brackets:</t>
  </si>
  <si>
    <t>Plaques de base standard:</t>
  </si>
  <si>
    <t>Montagestoss (B)</t>
  </si>
  <si>
    <t>ohne Glas-Sortierung</t>
  </si>
  <si>
    <t>sans tri de verre</t>
  </si>
  <si>
    <t>sorted by floor:</t>
  </si>
  <si>
    <t>à l'étage:</t>
  </si>
  <si>
    <t>Wetterschenkel</t>
  </si>
  <si>
    <t xml:space="preserve">Weatherboard </t>
  </si>
  <si>
    <t xml:space="preserve">Rejet d'eau </t>
  </si>
  <si>
    <t>Logistique:</t>
  </si>
  <si>
    <t>Accessoires:</t>
  </si>
  <si>
    <t>Classifications obl.:</t>
  </si>
  <si>
    <t>Req. classifications:</t>
  </si>
  <si>
    <r>
      <rPr>
        <b/>
        <sz val="10"/>
        <color theme="1"/>
        <rFont val="Arial"/>
        <family val="2"/>
      </rPr>
      <t>P</t>
    </r>
    <r>
      <rPr>
        <sz val="10"/>
        <color theme="1"/>
        <rFont val="Arial"/>
        <family val="2"/>
      </rPr>
      <t>ositionsüberwachung (P)</t>
    </r>
  </si>
  <si>
    <r>
      <rPr>
        <b/>
        <sz val="10"/>
        <color theme="1"/>
        <rFont val="Arial"/>
        <family val="2"/>
      </rPr>
      <t>R</t>
    </r>
    <r>
      <rPr>
        <sz val="10"/>
        <color theme="1"/>
        <rFont val="Arial"/>
        <family val="2"/>
      </rPr>
      <t xml:space="preserve">iegelüberwachung (R) </t>
    </r>
  </si>
  <si>
    <t xml:space="preserve">Surveillance du pêne (R) </t>
  </si>
  <si>
    <r>
      <rPr>
        <b/>
        <sz val="10"/>
        <color theme="1"/>
        <rFont val="Arial"/>
        <family val="2"/>
      </rPr>
      <t>G</t>
    </r>
    <r>
      <rPr>
        <sz val="10"/>
        <color theme="1"/>
        <rFont val="Arial"/>
        <family val="2"/>
      </rPr>
      <t>lasbruchüberwachung (G)</t>
    </r>
  </si>
  <si>
    <t>KABA (22)</t>
  </si>
  <si>
    <t>PZ / Euro (17)</t>
  </si>
  <si>
    <t>2-binari</t>
  </si>
  <si>
    <t>3-binari</t>
  </si>
  <si>
    <t>4-binari</t>
  </si>
  <si>
    <t>Prot. contro l'effrazione RC2</t>
  </si>
  <si>
    <t>(Resistenza alla pioggia battente / all'aria)</t>
  </si>
  <si>
    <t>Protezione acustica</t>
  </si>
  <si>
    <t>25 my (Pool/Mare)</t>
  </si>
  <si>
    <t>Carico del vento:</t>
  </si>
  <si>
    <t>Nota:</t>
  </si>
  <si>
    <t>Accessori</t>
  </si>
  <si>
    <t>Gocciolatoio L=</t>
  </si>
  <si>
    <t>Piastra di base standard</t>
  </si>
  <si>
    <t>Scegli vetro</t>
  </si>
  <si>
    <t>Zanzariera</t>
  </si>
  <si>
    <t>blocco automatico</t>
  </si>
  <si>
    <t>serratura a 2 punti</t>
  </si>
  <si>
    <t>serratura a 3 punti</t>
  </si>
  <si>
    <t>Data di consegna preferita:</t>
  </si>
  <si>
    <t>Ordine a:</t>
  </si>
  <si>
    <t>Angolo esterno 90°</t>
  </si>
  <si>
    <t>Angolo interno 90°</t>
  </si>
  <si>
    <t>Angolo esterno≠90°</t>
  </si>
  <si>
    <t>Angolo interno≠90°</t>
  </si>
  <si>
    <t>Prego selezionare:</t>
  </si>
  <si>
    <t>Secondo lo schizzo: (vista esterna)</t>
  </si>
  <si>
    <r>
      <t xml:space="preserve">Tutti i vetri stessa larghezza </t>
    </r>
    <r>
      <rPr>
        <sz val="10"/>
        <color theme="1"/>
        <rFont val="Arial"/>
        <family val="2"/>
      </rPr>
      <t>(consigliato)</t>
    </r>
  </si>
  <si>
    <t>Soupape compensation de pression:</t>
  </si>
  <si>
    <t>(&gt;800m)</t>
  </si>
  <si>
    <r>
      <t>Druckausgleichsventile</t>
    </r>
    <r>
      <rPr>
        <sz val="8"/>
        <color theme="1"/>
        <rFont val="Arial"/>
        <family val="2"/>
      </rPr>
      <t xml:space="preserve"> :</t>
    </r>
  </si>
  <si>
    <t>Valvola di compensazione:</t>
  </si>
  <si>
    <t>pulverbeschichtet:</t>
  </si>
  <si>
    <t>powder coated:</t>
  </si>
  <si>
    <t>revêtement par poudre:</t>
  </si>
  <si>
    <t>verniciatura a polvere:</t>
  </si>
  <si>
    <t>Farbe Laufschiene + Schraubenarretierungen:</t>
  </si>
  <si>
    <t>Colour des rails + arrêtoirs de vis enduites:</t>
  </si>
  <si>
    <t>Colore del binario + vite di bloccaggio:</t>
  </si>
  <si>
    <t>120101/120101</t>
  </si>
  <si>
    <t>120101/120401</t>
  </si>
  <si>
    <t>120401/120401</t>
  </si>
  <si>
    <t>mit CFK</t>
  </si>
  <si>
    <t>with CFK</t>
  </si>
  <si>
    <t>avec CFK</t>
  </si>
  <si>
    <t>con CFK</t>
  </si>
  <si>
    <t>ohne CFK</t>
  </si>
  <si>
    <t>without CFK</t>
  </si>
  <si>
    <t>sans CFK</t>
  </si>
  <si>
    <t>senza CFK</t>
  </si>
  <si>
    <t>mit Stahl</t>
  </si>
  <si>
    <t>ohne Stahl</t>
  </si>
  <si>
    <t>with steel</t>
  </si>
  <si>
    <t>without steel</t>
  </si>
  <si>
    <t>avec acier</t>
  </si>
  <si>
    <t>sans acier</t>
  </si>
  <si>
    <t>321901/321901</t>
  </si>
  <si>
    <t>321901/322301</t>
  </si>
  <si>
    <t>Ganzglas-Ecke</t>
  </si>
  <si>
    <t>Ecke RC2 (WK2)</t>
  </si>
  <si>
    <t>Standard (RC2 in Anlehnung)</t>
  </si>
  <si>
    <t>fixed corner glazing</t>
  </si>
  <si>
    <t>Standard (RC2 in accordance)</t>
  </si>
  <si>
    <t>Angle vitré</t>
  </si>
  <si>
    <t>Angle RC2 (WK2)</t>
  </si>
  <si>
    <t>Standard (basé sur RC2)</t>
  </si>
  <si>
    <t>Angolo tuttovetro</t>
  </si>
  <si>
    <t>Angolo RC2 (WK2)</t>
  </si>
  <si>
    <t>Standard (sulla base RC2)</t>
  </si>
  <si>
    <t>110101/110301</t>
  </si>
  <si>
    <t>110101/110501</t>
  </si>
  <si>
    <t>mit AL.</t>
  </si>
  <si>
    <t>ohne AL.</t>
  </si>
  <si>
    <t>without AL.</t>
  </si>
  <si>
    <t>with AL.</t>
  </si>
  <si>
    <t>avec AL.</t>
  </si>
  <si>
    <t>sans AL.</t>
  </si>
  <si>
    <t>con AL.</t>
  </si>
  <si>
    <t>senza AL.</t>
  </si>
  <si>
    <t>Ecke RC2</t>
  </si>
  <si>
    <t>L'ordine è vincolante e deve essere compilato completamente. Le modifiche saranno fatturate come lavoro supplementare.</t>
  </si>
  <si>
    <t>Ecke:</t>
  </si>
  <si>
    <t>Angle:</t>
  </si>
  <si>
    <t>Angolo:</t>
  </si>
  <si>
    <t>Silber</t>
  </si>
  <si>
    <t>silver</t>
  </si>
  <si>
    <r>
      <t>argent</t>
    </r>
    <r>
      <rPr>
        <sz val="8"/>
        <color theme="1"/>
        <rFont val="Arial"/>
        <family val="2"/>
      </rPr>
      <t xml:space="preserve"> </t>
    </r>
  </si>
  <si>
    <t>argento</t>
  </si>
  <si>
    <t>con acciaio</t>
  </si>
  <si>
    <t>senza acciaio</t>
  </si>
  <si>
    <t>Sockelprofil 95</t>
  </si>
  <si>
    <t>Sockelprofil 45</t>
  </si>
  <si>
    <t>Verschlüsse anzeigen</t>
  </si>
  <si>
    <t>mit Verschlussraster (Zylinder)</t>
  </si>
  <si>
    <t>non self locking (cylinder)</t>
  </si>
  <si>
    <t>blocco manuale (con cilindro)</t>
  </si>
  <si>
    <t>verrouillage manuelle (cylindre)</t>
  </si>
  <si>
    <t>Wert:</t>
  </si>
  <si>
    <t>value:</t>
  </si>
  <si>
    <t>valeur:</t>
  </si>
  <si>
    <t>valore:</t>
  </si>
  <si>
    <t>■₂</t>
  </si>
  <si>
    <t>■₁</t>
  </si>
  <si>
    <t>BHF Typ 1</t>
  </si>
  <si>
    <t>BHF Typ 2</t>
  </si>
  <si>
    <t>NFRC (USA)</t>
  </si>
  <si>
    <t>Sky-Frame 2</t>
  </si>
  <si>
    <t>Sprache:</t>
  </si>
  <si>
    <t>Language:</t>
  </si>
  <si>
    <t>Langue:</t>
  </si>
  <si>
    <t>Lingua:</t>
  </si>
  <si>
    <t>angle intérieur 90°</t>
  </si>
  <si>
    <t>angle intérieur ≠90°</t>
  </si>
  <si>
    <t>Achsmass →</t>
  </si>
  <si>
    <t>Axis →</t>
  </si>
  <si>
    <t>axe →</t>
  </si>
  <si>
    <t>asse →</t>
  </si>
  <si>
    <t>Bestellung vollständig ausfüllen.</t>
  </si>
  <si>
    <t>Überprüfung vollständigkeit</t>
  </si>
  <si>
    <t>Bestellung</t>
  </si>
  <si>
    <t>Objekt</t>
  </si>
  <si>
    <t>Position</t>
  </si>
  <si>
    <t>Geleise</t>
  </si>
  <si>
    <t>Ansicht</t>
  </si>
  <si>
    <t>Achsmass</t>
  </si>
  <si>
    <t>Angabe Achsmass</t>
  </si>
  <si>
    <t>Breite</t>
  </si>
  <si>
    <t>Seitenteile</t>
  </si>
  <si>
    <t>Sockelpr.</t>
  </si>
  <si>
    <t>Anforderungen</t>
  </si>
  <si>
    <t>Oberfläche</t>
  </si>
  <si>
    <t>Anleitung:</t>
  </si>
  <si>
    <t>Überprüfen ob keine roten Rahmen aufleuchten.</t>
  </si>
  <si>
    <t>Bestellung senden an:</t>
  </si>
  <si>
    <t>Glas</t>
  </si>
  <si>
    <t>Verschlussgriff</t>
  </si>
  <si>
    <t>Termin</t>
  </si>
  <si>
    <t>Istruzione:</t>
  </si>
  <si>
    <t>Riempire l'ordine completamente.</t>
  </si>
  <si>
    <t>Controllare che nessuna cornice rossa si accendono.</t>
  </si>
  <si>
    <t>Inviare l'ordine a:</t>
  </si>
  <si>
    <t>Labyrinthe</t>
  </si>
  <si>
    <t>Laby I od. A</t>
  </si>
  <si>
    <t>Labyrinth Innen</t>
  </si>
  <si>
    <t>Labyrinth Aussen</t>
  </si>
  <si>
    <t>Verschluss Innen</t>
  </si>
  <si>
    <t>Verschluss Aussen</t>
  </si>
  <si>
    <t>Ecken</t>
  </si>
  <si>
    <t>Eckprofil</t>
  </si>
  <si>
    <t>MVv I od. A</t>
  </si>
  <si>
    <t>Instruction:</t>
  </si>
  <si>
    <t>Fill the order entirely.</t>
  </si>
  <si>
    <t>Check if there are no more red borders.</t>
  </si>
  <si>
    <t>Send the order to the following address:</t>
  </si>
  <si>
    <t>Remplissez la commande en entier.</t>
  </si>
  <si>
    <t>Envoyez la commande à l’adresse suivante:</t>
  </si>
  <si>
    <t>Vérifiez s’il n’y a plus des bordures rouges.</t>
  </si>
  <si>
    <t>Prep. di montaggio singolo (B)</t>
  </si>
  <si>
    <t>Classificazioni obblig.:</t>
  </si>
  <si>
    <t>Bemerkungen:</t>
  </si>
  <si>
    <t>Diese Bestellung ist verbindlich und muss komplett ausgefüllt werden. Änderungen werden als Mehraufwand verrechnet.</t>
  </si>
  <si>
    <t>Sales Partner:</t>
  </si>
  <si>
    <t>Vertriebspartner:</t>
  </si>
  <si>
    <t xml:space="preserve">Objekt: </t>
  </si>
  <si>
    <t xml:space="preserve">Project: </t>
  </si>
  <si>
    <t xml:space="preserve">Bâtiment: </t>
  </si>
  <si>
    <t xml:space="preserve">Ogetto: </t>
  </si>
  <si>
    <t>Associé commercial:</t>
  </si>
  <si>
    <t>Remarques:</t>
  </si>
  <si>
    <t>Comment:</t>
  </si>
  <si>
    <t>-
-
-
-</t>
  </si>
  <si>
    <t>Commenti:</t>
  </si>
  <si>
    <t>Vetro non assortito</t>
  </si>
  <si>
    <t>Vetro assortito per piano</t>
  </si>
  <si>
    <t>MV vorhanden?</t>
  </si>
  <si>
    <t>Öffnung angeben →</t>
  </si>
  <si>
    <t>1.</t>
  </si>
  <si>
    <t>2.</t>
  </si>
  <si>
    <t>Öffnung MV</t>
  </si>
  <si>
    <t>Specify opening →</t>
  </si>
  <si>
    <t>Spécifiez ouverture →</t>
  </si>
  <si>
    <t>Specificare apertura →</t>
  </si>
  <si>
    <t>Anzahl Ecken</t>
  </si>
  <si>
    <t>© by Maurin Müller, 2015</t>
  </si>
  <si>
    <t>Datum</t>
  </si>
  <si>
    <t>Verbesserungswunsch</t>
  </si>
  <si>
    <t>abgelehnt</t>
  </si>
  <si>
    <t>erledigt</t>
  </si>
  <si>
    <t>Kürzel</t>
  </si>
  <si>
    <t>x</t>
  </si>
  <si>
    <t>ReB</t>
  </si>
  <si>
    <t>Glasauswahl erweitern (z.B. SP10)</t>
  </si>
  <si>
    <t>Bemerkung Mmü</t>
  </si>
  <si>
    <t>Eingabe möglich bei "Speziell"</t>
  </si>
  <si>
    <t>Dokument schreibgeschützt machen, damit keine alten Eingaben ersichtlich sind.</t>
  </si>
  <si>
    <t>Bei elektrischem Antrieb darf Verschlussraster nicht möglich sein.</t>
  </si>
  <si>
    <t xml:space="preserve">Machbarkeitsabfragen werden keine gemacht. </t>
  </si>
  <si>
    <t>ReB/OrN</t>
  </si>
  <si>
    <t>in Abklärung</t>
  </si>
  <si>
    <t xml:space="preserve">Elektrische Antrieb werden bei allen Felder automatisch ausgefüllt. Dies muss nicht immer der Fall sein. Antrieb muss ausgewählt werden. </t>
  </si>
  <si>
    <t>VP-Name kann nirgends eingegeben werden.</t>
  </si>
  <si>
    <t>SF1 und SF3 muss auch möglich sein.</t>
  </si>
  <si>
    <t>Wird mit separatem Excel möglich sein.</t>
  </si>
  <si>
    <t>Löschbutton um die Angaben zu löschen wird gewünscht.</t>
  </si>
  <si>
    <t>Ohne Makro leider nicht möglich.</t>
  </si>
  <si>
    <t xml:space="preserve">Es sollten keine Standards ausgewählt sein, da die Gefahr des Vergessens zu gross ist. </t>
  </si>
  <si>
    <t>Laufschienenfarbe kann nicht gewählt werden.</t>
  </si>
  <si>
    <t>Kreuz anstatt Häckchen, da besser lesbar.</t>
  </si>
  <si>
    <t>Im Excel nicht möglich</t>
  </si>
  <si>
    <t>BHF Typ 2 funktioniert nicht überall.</t>
  </si>
  <si>
    <t>Breitenangabe bei BHF muss genau angegeben werden können.</t>
  </si>
  <si>
    <t xml:space="preserve">VP muss Pläne mit Detail zusenden. </t>
  </si>
  <si>
    <t>Bestellung für 5-Gleiser ermöglichen</t>
  </si>
  <si>
    <t>Eingabe Stockwerk ist Text grau. Kaum lesbar. Bitte in Schwarz</t>
  </si>
  <si>
    <t>Testhinweise hinzufügen (Griffhöhe bei RC2 etc.)</t>
  </si>
  <si>
    <t>Text für Mehraufwände wird nicht komplett angezeigt.</t>
  </si>
  <si>
    <t>Mmü</t>
  </si>
  <si>
    <t xml:space="preserve">Bei Ecken müssen mehrere Breiten angegeben werden können. </t>
  </si>
  <si>
    <t>AnC</t>
  </si>
  <si>
    <t>Bei Ecke oder MV muss 1.Öffnend und 2.Öffnend angegeben werden können.</t>
  </si>
  <si>
    <t xml:space="preserve">P- und R-Überwachung darf nur bei Schieber angezeigt werden. </t>
  </si>
  <si>
    <t>ReB/AnC</t>
  </si>
  <si>
    <t>Glassortierung auf Italienisch nicht klar.</t>
  </si>
  <si>
    <t>Text auf Italienisch bei Montagestoss nur schwer lesbar.</t>
  </si>
  <si>
    <t xml:space="preserve">Wenn MV verwendet wird, fehlt die Kontrolle der Vollständigkeit. </t>
  </si>
  <si>
    <t>ReB/AnK</t>
  </si>
  <si>
    <t>OrN</t>
  </si>
  <si>
    <t>Textfelder sollten nur eingeblendet werden, wenn das gefordert wird.</t>
  </si>
  <si>
    <t xml:space="preserve">Mit Häckchen eine zusätzliche Abfrage machen. </t>
  </si>
  <si>
    <t>Nicht relevante Daten mittels "Bedingte Formatierung" ausblenden.</t>
  </si>
  <si>
    <t>Titel für "Features" hinzufügen</t>
  </si>
  <si>
    <t>5-gleisig</t>
  </si>
  <si>
    <t>5-track</t>
  </si>
  <si>
    <t>5-binari</t>
  </si>
  <si>
    <t>5-trails</t>
  </si>
  <si>
    <t>In Feld "AT5" die Zahl 1 eingeben!</t>
  </si>
  <si>
    <t>Features</t>
  </si>
  <si>
    <t>Wenn 5-Gleiser gewählt, Hinweis das etwas Speziell ist.</t>
  </si>
  <si>
    <t xml:space="preserve">Hindergrund Rot einfärben. </t>
  </si>
  <si>
    <t>Abfrage Griffe</t>
  </si>
  <si>
    <t>Auswahl CFK, Stahl, AL.</t>
  </si>
  <si>
    <t>Bei Labyrinthen und Verschlüssen ausgeführt</t>
  </si>
  <si>
    <t>Pressure compensating valve:</t>
  </si>
  <si>
    <t>Befestigung</t>
  </si>
  <si>
    <t>Verstellschrauben</t>
  </si>
  <si>
    <t>Standardgrundpl.</t>
  </si>
  <si>
    <t>Rahmenzusammenbau</t>
  </si>
  <si>
    <t>JaR</t>
  </si>
  <si>
    <t>Eingabe Stockwerk ist gesperrt.</t>
  </si>
  <si>
    <t>Feld richtig formatieren.</t>
  </si>
  <si>
    <t>Oben Links</t>
  </si>
  <si>
    <t>Oben Rechts</t>
  </si>
  <si>
    <t>top left</t>
  </si>
  <si>
    <t>en haut à gauche</t>
  </si>
  <si>
    <t>sopra a sinistra</t>
  </si>
  <si>
    <t>top right</t>
  </si>
  <si>
    <t>en haut à droit</t>
  </si>
  <si>
    <t>sopra a destra</t>
  </si>
  <si>
    <t>Lage Glasspinne (Ansicht von Aussen)</t>
  </si>
  <si>
    <t>Position of the glass breakage detector (elevation from outside)</t>
  </si>
  <si>
    <t>Position du détécteur de bris de verre (vue extérieur)</t>
  </si>
  <si>
    <t>Posizione del monitoraggio rottura del vetro (vista esterna)</t>
  </si>
  <si>
    <t>Rinnenbestellung</t>
  </si>
  <si>
    <t>lose mitliefern</t>
  </si>
  <si>
    <t>vordefiniert</t>
  </si>
  <si>
    <t>Typ A</t>
  </si>
  <si>
    <t>Typ B</t>
  </si>
  <si>
    <t>Abstände Ablaufstutzen:</t>
  </si>
  <si>
    <t>Rinnenanschluss:</t>
  </si>
  <si>
    <t>Rinnenauswahl</t>
  </si>
  <si>
    <t>Glasbruch</t>
  </si>
  <si>
    <t>überprüfung Glasbruch</t>
  </si>
  <si>
    <t>Gesamt:</t>
  </si>
  <si>
    <t>U=</t>
  </si>
  <si>
    <t>SHGC=</t>
  </si>
  <si>
    <t>VT=</t>
  </si>
  <si>
    <t>Glastypen (STANDARD)</t>
  </si>
  <si>
    <t>Glastypen NFRC</t>
  </si>
  <si>
    <t>Ausgabe Bestellung</t>
  </si>
  <si>
    <t>Feld der Lieferung bleibt immer Rot.</t>
  </si>
  <si>
    <t>Position der Glasbruchüberwachung muss abgefragt werden, da diese Information in den meisten Fällen vergessen.</t>
  </si>
  <si>
    <t>RaN</t>
  </si>
  <si>
    <t>Bei NFRC nur die "Spezialgläser" auswählbar</t>
  </si>
  <si>
    <t>Andere Glasabfrage</t>
  </si>
  <si>
    <t>MMü</t>
  </si>
  <si>
    <t>Bilder bei Labyrinth 120101/120401 anpassen (Abfragekästchen verschoben!!)</t>
  </si>
  <si>
    <t>Verknüpfung "Vertriebspartner, Bestelldatum…" auf Position 2-10 automatisieren</t>
  </si>
  <si>
    <t>Bemerkungen für Vertriebspartner hinzufügen</t>
  </si>
  <si>
    <t>Hinweise für AVOR hinzufügen.</t>
  </si>
  <si>
    <t>MiS</t>
  </si>
  <si>
    <t>Hinweis bei Anleitung wenn Bestellung noch nicht vollständig ausgefüllt. ("Bestellung unvollständig"!)</t>
  </si>
  <si>
    <t>Rinnenbestellung integrieren</t>
  </si>
  <si>
    <t>Abfragefeld ausserhalb des Formulars</t>
  </si>
  <si>
    <t>Position für Glasbruchüberwachung auf Seite 2-10 anpassen (FELD "B2")</t>
  </si>
  <si>
    <t>Anschlussstutzen:</t>
  </si>
  <si>
    <t>Einzug an der rechten Anlagenseite:</t>
  </si>
  <si>
    <t>Einzug an der linken Anlagenseite:</t>
  </si>
  <si>
    <t>Wahl des Rinnensystems:</t>
  </si>
  <si>
    <t>Anzahl Anschlussstutzen:</t>
  </si>
  <si>
    <t>Kontrolle Rinne</t>
  </si>
  <si>
    <t>Rinnensystem</t>
  </si>
  <si>
    <t>Einzug links</t>
  </si>
  <si>
    <t>Einzug rechts</t>
  </si>
  <si>
    <t>Stutzen</t>
  </si>
  <si>
    <t>Anzahl/Masse</t>
  </si>
  <si>
    <t>Stutzentyp</t>
  </si>
  <si>
    <t>TOTAL</t>
  </si>
  <si>
    <t>SKY-M-1-00017-00001</t>
  </si>
  <si>
    <t>SKY-M-1-00007-00001</t>
  </si>
  <si>
    <t>SKY-M-1-00008-00001</t>
  </si>
  <si>
    <t>SKY-M-1-00009/10-00001</t>
  </si>
  <si>
    <t>SKY-M-1-00011/12-00001</t>
  </si>
  <si>
    <t>SKY-M-1-00013/14-00001</t>
  </si>
  <si>
    <t>SKY-M-1-00015/16-00001</t>
  </si>
  <si>
    <t>SKY-M-1-00018-00001</t>
  </si>
  <si>
    <t>SKY-M-1-00019/20-00001</t>
  </si>
  <si>
    <t>SKY-M-1-00021-00001</t>
  </si>
  <si>
    <t>SKY-M-1-00022/23-00001</t>
  </si>
  <si>
    <t>SKY-M-1-00024/25-00001</t>
  </si>
  <si>
    <t>SKY-M-1-00026-00001</t>
  </si>
  <si>
    <t>SKY-M-1-00027-00001</t>
  </si>
  <si>
    <t>SKY-M-1-00028/29-00001</t>
  </si>
  <si>
    <t>SKY-M-1-00030-00001</t>
  </si>
  <si>
    <t>SKY-M-1-00031-00001</t>
  </si>
  <si>
    <t>SKY-M-1-00032-00001</t>
  </si>
  <si>
    <t>SG-21-D</t>
  </si>
  <si>
    <t>SKY-M-1-00033-00001</t>
  </si>
  <si>
    <t>SG-22-D</t>
  </si>
  <si>
    <t>SKY-M-1-00034-00001</t>
  </si>
  <si>
    <t>SG-23-D</t>
  </si>
  <si>
    <t>SKY-M-1-00035/36-00001</t>
  </si>
  <si>
    <t>SG-24-D</t>
  </si>
  <si>
    <t>SKY-M-1-00037-00001</t>
  </si>
  <si>
    <t>SG-25-D</t>
  </si>
  <si>
    <t>SKY-M-1-00038-00001</t>
  </si>
  <si>
    <t>SG-26-D</t>
  </si>
  <si>
    <t>SKY-M-1-00039-00001</t>
  </si>
  <si>
    <t>SG-05-SGP</t>
  </si>
  <si>
    <t>SG-15-SGP</t>
  </si>
  <si>
    <t>SG-25-SGP</t>
  </si>
  <si>
    <t>SKY-M-1-00044-00001</t>
  </si>
  <si>
    <t>SKY-M-1-00040/41-00001</t>
  </si>
  <si>
    <t>SKY-M-1-00042/43-00001</t>
  </si>
  <si>
    <t>SG-25-D-SGP</t>
  </si>
  <si>
    <t>SKY-M-1-00045-00001</t>
  </si>
  <si>
    <t>Farbe Panele:</t>
  </si>
  <si>
    <t>Rahmenfarbe</t>
  </si>
  <si>
    <t>Glas Satinato</t>
  </si>
  <si>
    <t>Panele</t>
  </si>
  <si>
    <t>zu aufwändig</t>
  </si>
  <si>
    <t>Partner commerciale:</t>
  </si>
  <si>
    <t>destra</t>
  </si>
  <si>
    <t>sinistra</t>
  </si>
  <si>
    <t>Commande caniveau</t>
  </si>
  <si>
    <t>Livrer séparément</t>
  </si>
  <si>
    <t>Prédéfini</t>
  </si>
  <si>
    <t>Type A</t>
  </si>
  <si>
    <t>Type B</t>
  </si>
  <si>
    <t>Couleur cadre</t>
  </si>
  <si>
    <t>Verre satiné</t>
  </si>
  <si>
    <t>Kalenderwoche</t>
  </si>
  <si>
    <t>Kalenderwochenauswahl</t>
  </si>
  <si>
    <t>Ordine grondaia</t>
  </si>
  <si>
    <t>Selezione sistema grondaia:</t>
  </si>
  <si>
    <t>Connessione scarico:</t>
  </si>
  <si>
    <t>Consegna sciolto</t>
  </si>
  <si>
    <t>Predefinito</t>
  </si>
  <si>
    <t>Quantità connessione scarico:</t>
  </si>
  <si>
    <t>Tipo A</t>
  </si>
  <si>
    <t>Tipo B</t>
  </si>
  <si>
    <t>Distanza connessione scarico:</t>
  </si>
  <si>
    <t>Connessione grondaia:</t>
  </si>
  <si>
    <t>Colore pannello:</t>
  </si>
  <si>
    <t>Colore telaio</t>
  </si>
  <si>
    <t>Vetro satinato</t>
  </si>
  <si>
    <t>Choix type caniveau:</t>
  </si>
  <si>
    <t>Retrait au pan gauche:</t>
  </si>
  <si>
    <t>Retrait au pan droite:</t>
  </si>
  <si>
    <t>Raccord:</t>
  </si>
  <si>
    <t>Nombre des raccords:</t>
  </si>
  <si>
    <t>Distance entre:</t>
  </si>
  <si>
    <t>Couleur panneaux:</t>
  </si>
  <si>
    <t>Drain gutter order</t>
  </si>
  <si>
    <t>Select gutter system:</t>
  </si>
  <si>
    <t>Deduct dimension from the left:</t>
  </si>
  <si>
    <t>Deduct dimension from the right:</t>
  </si>
  <si>
    <t>Connecting piece:</t>
  </si>
  <si>
    <t>Deliver separate</t>
  </si>
  <si>
    <t>Pre-select</t>
  </si>
  <si>
    <t>Amount of connectors:</t>
  </si>
  <si>
    <t>Distance of drain spouts:</t>
  </si>
  <si>
    <t>Gutter connection:</t>
  </si>
  <si>
    <t>Panel color:</t>
  </si>
  <si>
    <t>Frame color</t>
  </si>
  <si>
    <t>Glass satin</t>
  </si>
  <si>
    <t>Calendar week</t>
  </si>
  <si>
    <t>Semaine</t>
  </si>
  <si>
    <t>Settimana</t>
  </si>
  <si>
    <r>
      <t>Rinne</t>
    </r>
    <r>
      <rPr>
        <sz val="8"/>
        <color theme="1"/>
        <rFont val="Arial"/>
        <family val="2"/>
      </rPr>
      <t xml:space="preserve"> (siehe unten)</t>
    </r>
  </si>
  <si>
    <r>
      <t>Gutter</t>
    </r>
    <r>
      <rPr>
        <sz val="8"/>
        <color theme="1"/>
        <rFont val="Arial"/>
        <family val="2"/>
      </rPr>
      <t xml:space="preserve"> (below)</t>
    </r>
  </si>
  <si>
    <t>Grondaia (vedi sotto)</t>
  </si>
  <si>
    <r>
      <t xml:space="preserve">Rigole </t>
    </r>
    <r>
      <rPr>
        <sz val="8"/>
        <color theme="1"/>
        <rFont val="Arial"/>
        <family val="2"/>
      </rPr>
      <t>(ci-dessous)</t>
    </r>
  </si>
  <si>
    <t>L'ordre est contraignant et doit être rempli complètement. Des changements seront facturés comme travail supplémentaire.</t>
  </si>
  <si>
    <t>Type raccords:</t>
  </si>
  <si>
    <t>Corner:</t>
  </si>
  <si>
    <t>Corner RC2 (WK2)</t>
  </si>
  <si>
    <t>int. corner≠90°</t>
  </si>
  <si>
    <t>ext. corner≠90°</t>
  </si>
  <si>
    <t>int. corner 90°</t>
  </si>
  <si>
    <t>ext. corner 90°</t>
  </si>
  <si>
    <t>Gesamtkontrolle</t>
  </si>
  <si>
    <t>Rinne</t>
  </si>
  <si>
    <t>Überpr. CFK</t>
  </si>
  <si>
    <t>Labyrinthe CFK</t>
  </si>
  <si>
    <t>Geforderte Klassen</t>
  </si>
  <si>
    <t>Glas Spezial</t>
  </si>
  <si>
    <t>Nach Stockwerk</t>
  </si>
  <si>
    <t>Total</t>
  </si>
  <si>
    <t>Angabe Ecköffnung</t>
  </si>
  <si>
    <t>Bestellformular unvollständig!</t>
  </si>
  <si>
    <t>pcs.</t>
  </si>
  <si>
    <t>without glass sortation</t>
  </si>
  <si>
    <t>B2B-Login project n°:</t>
  </si>
  <si>
    <t>B2B-Login project no:</t>
  </si>
  <si>
    <t>B2B-Login Projektnr:</t>
  </si>
  <si>
    <t>B2B-Login progetto N°:</t>
  </si>
  <si>
    <t>B2B-Login Nr.</t>
  </si>
  <si>
    <t>Order form incomplete!</t>
  </si>
  <si>
    <t>Order form complete.</t>
  </si>
  <si>
    <t>Bestellformular vollständig.</t>
  </si>
  <si>
    <t>Bon de commande incomplet!</t>
  </si>
  <si>
    <t>Bon de commande complet.</t>
  </si>
  <si>
    <t>kN/m²</t>
  </si>
  <si>
    <t>Windlast</t>
  </si>
  <si>
    <t>OHNE Glas</t>
  </si>
  <si>
    <t>WITHOUT glass</t>
  </si>
  <si>
    <t>SANS verre</t>
  </si>
  <si>
    <t>SENZA vetro</t>
  </si>
  <si>
    <t>Keine</t>
  </si>
  <si>
    <t>without</t>
  </si>
  <si>
    <t>3-rails</t>
  </si>
  <si>
    <t>4-rails</t>
  </si>
  <si>
    <t>Modulo d'ordine incompleto!</t>
  </si>
  <si>
    <t>Modulo d'ordine completo.</t>
  </si>
  <si>
    <t>blocco manuale (con pulsante)</t>
  </si>
  <si>
    <t>ohne Verschlussraster (Zylinder)</t>
  </si>
  <si>
    <t>self locking (cylinder)</t>
  </si>
  <si>
    <t>verrouilage automatique (cylindre)</t>
  </si>
  <si>
    <t>blocco automatico (con cilindro)</t>
  </si>
  <si>
    <t>Non</t>
  </si>
  <si>
    <t>59/64</t>
  </si>
  <si>
    <t>59/62</t>
  </si>
  <si>
    <t>48/50</t>
  </si>
  <si>
    <t>48/51</t>
  </si>
  <si>
    <t>Angabe erstöffnender Flügel</t>
  </si>
  <si>
    <t>Wird eine Mittelöffnung oder Ecköffnung eingegeben muss zwingend angegeben werden, welcher Flügel zuerst geöffnet werden soll. Diese Abfrage erscheint sobald eine dieser Öffnungen eingegeben wird. Die Zahl "1." gilt als Erstöffnender Flügel, die Zahl "2." für den Zweitöffnenden.</t>
  </si>
  <si>
    <t>Eingabe Ecke ≠ 90° (von 60° - 160°)</t>
  </si>
  <si>
    <t xml:space="preserve">Um eine Ecke auszuwählen, welche grösser oder kleiner wie 90° ist, muss das dementsprechende Feld ausgewählt werden. Danach muss der gewünschte Wert angegeben werden. </t>
  </si>
  <si>
    <t>Breitenangabe bei Eckanlagen</t>
  </si>
  <si>
    <t>Wird eine Eckanlage eingegeben, erscheint bei der Angabe "Breite" automatisch ein neues Eingabefeld. Die Länge der einzelnen Fronten muss hier separat angegeben werden (Rahmenaussenmass). Die verschiedenen Fronten sind von links nach rechts anzugeben:</t>
  </si>
  <si>
    <t>Rinnenlänge angeben</t>
  </si>
  <si>
    <t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t>
  </si>
  <si>
    <t>Specification of first leaf to open</t>
  </si>
  <si>
    <t>If a middle opening or corner opening is entered, it is essential to specify which leaf should open first. This inquiry appears as soon as one of these openings is entered. The number "1" is the first leaf to open, and the number "2" is the second leaf to open.</t>
  </si>
  <si>
    <t>Entry of corner ≠ 90° (from 60° - 160°)</t>
  </si>
  <si>
    <t xml:space="preserve">To select a corner that is more or less than 90°, the relevant field must be selected. Then the required value must be entered. </t>
  </si>
  <si>
    <t>Width specification for corner systems</t>
  </si>
  <si>
    <t>If a corner system is entered, a new input field automatically appears next to "Width". The length of the individual front panels must be entered separately here (external frame size). The different front panels must be specified from left to right:</t>
  </si>
  <si>
    <t>Specifying the gutter length</t>
  </si>
  <si>
    <t xml:space="preserve">Sky-Frame always takes a gutter length for the entire frame length into account. If the gutter is to be shorter or longer than the frame, this must be specified with the deduct dimension. If the gutter is to be cut to the internal dimension, the deduct dimension on the left-hand side and the right-hand side must be specified with "+45" (SF2). 
</t>
  </si>
  <si>
    <t>Indication du premier élément ouvrant</t>
  </si>
  <si>
    <t>En présence d'une ouverture centrale ou d'une ouverture d'angle, il est impératif d'indiquer quel élément doit s'ouvrir en premier. Cette question s'affiche dès que l'une de ces ouvertures est saisie. Le chiffre « 1 » s'applique au premier élément ouvrant, le chiffre « 2 » au second.</t>
  </si>
  <si>
    <t>Saisie angle ≠ 90° (de 60° - 160°)</t>
  </si>
  <si>
    <t xml:space="preserve">Pour sélectionner un angle supérieur ou inférieur à 90°, sélectionner le champ correspondant. Saisir ensuite la valeur souhaitée. </t>
  </si>
  <si>
    <t>Indication de largeur pour les installations d'angle</t>
  </si>
  <si>
    <t>En cas de saisie d'une installation d'angle, un nouveau champ de saisie s'affiche automatiquement près de la donnée « Largeur ». La longueur des différentes façades doit être saisie séparément ici (dimension extérieure de cadre). Les différentes façades doivent être indiquées de la gauche vers la droite :</t>
  </si>
  <si>
    <t>Indiquer la longueur de rigole</t>
  </si>
  <si>
    <t xml:space="preserve">En cas de rigole, Sky-Frame prend toujours en compte la longueur totale du cadre. Si une rigole doit être plus courte, ou plus longue, que le cadre, ceci doit être indiqué avec le retrait. Si la rigole doit être découpée à la dimension intérieure, indiquer le retrait sur la gauche et sur la droite avec « +45 » (SF2). </t>
  </si>
  <si>
    <t>Indicazione della prima anta da aprire</t>
  </si>
  <si>
    <t>Se viene indicata un'apertura centrale o un'apertura ad angolo, occorre obbligatoriamente precisare quale anta deve essere aperta per prima. L'interrogazione appare non appena si indica una di queste aperture. Il numero "1." indica la prima anta da aprire, il numero "2." la seconda anta da aprire.</t>
  </si>
  <si>
    <t>Immissione di angolo ≠ 90° (da 60° a 160°)</t>
  </si>
  <si>
    <t>Per indicare un angolo maggiore o minore di 90°, si deve selezionare il relativo campo e poi immettere il valore desiderato.</t>
  </si>
  <si>
    <t>Immissione della larghezza con impianti d'angolo</t>
  </si>
  <si>
    <t>Se si indica un impianto d'angolo, appare automaticamente un nuovo campo di immissione per il dato "Larghezza". Si deve qui immettere separatamente la lunghezza delle singole facciate (dimensione esterna telaio), da sinistra verso destra:</t>
  </si>
  <si>
    <t>Immettere la lunghezza della grondaia</t>
  </si>
  <si>
    <t>Sky-Frame calcola sempre una grondaia lunga quanto l'intero telaio. Se la grondaia deve essere realizzata più corta o più lunga del telaio, essa deve essere indicata con innesto. Se la grondaia deve essere tagliata a misura luce, l'innesto si deve indicare con "+45" (SF2) sul lato sinistro e su quello destro.</t>
  </si>
  <si>
    <t>3.</t>
  </si>
  <si>
    <t>4.</t>
  </si>
  <si>
    <t>Innesto sul lato sinistra dell'impianto:</t>
  </si>
  <si>
    <t>Innesto sul lato destra dell'impianto:</t>
  </si>
  <si>
    <t>ESG 8 / 14 / V-WG 8-2</t>
  </si>
  <si>
    <t>RL</t>
  </si>
  <si>
    <t>↔</t>
  </si>
  <si>
    <t>mit Stahl (&gt;2.5m)</t>
  </si>
  <si>
    <t>ohne Stahl (&lt;2.5m)</t>
  </si>
  <si>
    <t>with steel (&gt;2.5m)</t>
  </si>
  <si>
    <t>without steel (&lt;2.5m)</t>
  </si>
  <si>
    <t>avec acier (&gt;2.5m)</t>
  </si>
  <si>
    <t>sans acier (&lt;2.5m)</t>
  </si>
  <si>
    <t>con acciaio (&gt;2.5m)</t>
  </si>
  <si>
    <t>senza acciaio (&gt;2.5m)</t>
  </si>
  <si>
    <t>Zusatzkontrolle Lage Gläser</t>
  </si>
  <si>
    <t>Seaside (Pool/Meer)</t>
  </si>
  <si>
    <t>Seaside (pool/sea)</t>
  </si>
  <si>
    <t>Seaside (pool/mer)</t>
  </si>
  <si>
    <t>Seaside (pool/mare)</t>
  </si>
  <si>
    <t>Vorbehandlung:</t>
  </si>
  <si>
    <t>pre-treatment:</t>
  </si>
  <si>
    <t>pré-traitement:</t>
  </si>
  <si>
    <t>pretrattamento:</t>
  </si>
  <si>
    <t>Qualicoat 1</t>
  </si>
  <si>
    <t>Qualicoat 2</t>
  </si>
  <si>
    <t>Pulverlack Klasse:</t>
  </si>
  <si>
    <t>peinture en poudre, cl:</t>
  </si>
  <si>
    <t>verniciatura a polvere, cl:</t>
  </si>
  <si>
    <t>Auswahl Antrieb</t>
  </si>
  <si>
    <t>M</t>
  </si>
  <si>
    <t>E</t>
  </si>
  <si>
    <t>Überprüfung Eingabe Antriebe</t>
  </si>
  <si>
    <t>Feld</t>
  </si>
  <si>
    <t>Schieber</t>
  </si>
  <si>
    <t>Fest/Leer</t>
  </si>
  <si>
    <t>Resultat</t>
  </si>
  <si>
    <t>Summe Res.</t>
  </si>
  <si>
    <t>Kontrolle Antrieb</t>
  </si>
  <si>
    <t>VE</t>
  </si>
  <si>
    <t>unit</t>
  </si>
  <si>
    <t>unité</t>
  </si>
  <si>
    <t>unità</t>
  </si>
  <si>
    <t>(VE à 100 Stk.)</t>
  </si>
  <si>
    <t>(packet (100pcs.))</t>
  </si>
  <si>
    <t>(à 100 pièces)</t>
  </si>
  <si>
    <t>(a 100 pezzi)</t>
  </si>
  <si>
    <t>Pos. 1</t>
  </si>
  <si>
    <t>Pos. 2</t>
  </si>
  <si>
    <t>Pos. 3</t>
  </si>
  <si>
    <t>Pos. 4</t>
  </si>
  <si>
    <t>Pos. 5</t>
  </si>
  <si>
    <t>Übersicht:</t>
  </si>
  <si>
    <t>Overview:</t>
  </si>
  <si>
    <t>Vue d'ensemble</t>
  </si>
  <si>
    <t>Panoramica</t>
  </si>
  <si>
    <t>Beratungsabfrage</t>
  </si>
  <si>
    <t>Sky-Frame Beratung vorhanden:</t>
  </si>
  <si>
    <t>Beratungsnummer</t>
  </si>
  <si>
    <t>Beratungsnummer: (z.B. P123456)</t>
  </si>
  <si>
    <t>powder coating class:</t>
  </si>
  <si>
    <t>Inch-Rechner</t>
  </si>
  <si>
    <t>Zoll:</t>
  </si>
  <si>
    <t>Fuss:</t>
  </si>
  <si>
    <t>Inch-calculator</t>
  </si>
  <si>
    <t>Feet:</t>
  </si>
  <si>
    <t>Inch:</t>
  </si>
  <si>
    <t>Bemassung Bahnhof</t>
  </si>
  <si>
    <t>Die Vermassung von Bahnhofanlagen funktioniert gleich wie bei normalen Rahmen. Bitte geben Sie uns als Rahmenmass das komplette Mass von Aussenkant Rahmen an. Für die Vermassung der Labyrinthposition geben Sie bitte das Mass bis Achse Labyrinth an.</t>
  </si>
  <si>
    <t>Bahnhof Typ 1:</t>
  </si>
  <si>
    <t>Bahnhof Typ 2:</t>
  </si>
  <si>
    <t>Version 09-07-2018</t>
  </si>
  <si>
    <t>schwarz</t>
  </si>
  <si>
    <t>colore telaio</t>
  </si>
  <si>
    <t>couleur cadre</t>
  </si>
  <si>
    <t>frame color</t>
  </si>
  <si>
    <t>RC2 Ecke</t>
  </si>
  <si>
    <t>Sky-Frame AG   |   Langfeldstrasse 111   |   8500 Frauenfeld   |   phone +41 52 724 94 94   |   www.sky-frame.ch</t>
  </si>
  <si>
    <t>La misurazione dell’impianto a stazione funziona allo stesso modo del telaio normale. Si prega di darci come dimensione del telaio la misura completa dal bordo esterno del telaio. Per il dimensionamento della posizione del labirinto si prega di indicarci la misura fino al labirinto dell'asse.</t>
  </si>
  <si>
    <t>stazione tipo 2:</t>
  </si>
  <si>
    <t>stazione tipo 1:</t>
  </si>
  <si>
    <t>dimensione stazione</t>
  </si>
  <si>
    <t>pollice:</t>
  </si>
  <si>
    <t>piede:</t>
  </si>
  <si>
    <t>calcolatore-Inch</t>
  </si>
  <si>
    <t>numero di consulenza: (z.B. P123456)</t>
  </si>
  <si>
    <t>consulenza Sky-Frame esistente:</t>
  </si>
  <si>
    <t>RC2 mit Blech</t>
  </si>
  <si>
    <t>RC2 with alu sheet</t>
  </si>
  <si>
    <t>RC2 avec tôles alu noir</t>
  </si>
  <si>
    <t>RC2 con lamiera</t>
  </si>
  <si>
    <t>Hinweise:</t>
  </si>
  <si>
    <t>Notes:</t>
  </si>
  <si>
    <t>Note:</t>
  </si>
  <si>
    <t>Sonstiges:</t>
  </si>
  <si>
    <t>Others:</t>
  </si>
  <si>
    <t>zusammen</t>
  </si>
  <si>
    <t>getrennt</t>
  </si>
  <si>
    <t>sichtbar</t>
  </si>
  <si>
    <t>nicht sichtbar</t>
  </si>
  <si>
    <t>visible</t>
  </si>
  <si>
    <t>not visible</t>
  </si>
  <si>
    <t>together</t>
  </si>
  <si>
    <t>separately</t>
  </si>
  <si>
    <t>Delivery frame and glass:</t>
  </si>
  <si>
    <t>Lieferung Glas und Rahmen:</t>
  </si>
  <si>
    <t>Visible frame profiles (outside):</t>
  </si>
  <si>
    <t>sichbarer Rahmen</t>
  </si>
  <si>
    <t>Lieferung getrennt</t>
  </si>
  <si>
    <t xml:space="preserve"> </t>
  </si>
  <si>
    <t>Sichtbare Rahmenprofile (aussen):</t>
  </si>
  <si>
    <t>Sky-Frame consulting available / present:</t>
  </si>
  <si>
    <t>Consulting number: (e.g. P123456)</t>
  </si>
  <si>
    <t>Dimensioning of the train station</t>
  </si>
  <si>
    <t>pocket door type 1:</t>
  </si>
  <si>
    <t>pocket door type 2:</t>
  </si>
  <si>
    <t>The dimensioning of pocket door installations is conducted in the same way as with normal frames. Please indicate for us the total measurements of the outer edges of the frame as frame dimensions. For the dimensioning of the position of the labyrinth, please indicate the measurement up to the axis of the labyrinth.</t>
  </si>
  <si>
    <t>Le dimensionnement du galandage s’effectue de la même manière que pour un cadre standard. Je vous pris de nous transmettre les dimensions jusqu’au contour extérieurs du cadre. Pour le positionnement du labyrinthe veuillez nous donner la distance jusqu’à l’axe du labyrinthe.</t>
  </si>
  <si>
    <t> Consultation Sky-Frame existente:</t>
  </si>
  <si>
    <t> Numéro de consultation: (ex. P123456)</t>
  </si>
  <si>
    <t> Calculateur-pouce</t>
  </si>
  <si>
    <t> Pied:</t>
  </si>
  <si>
    <t> Pouce</t>
  </si>
  <si>
    <t> Dimensionnement du galandage</t>
  </si>
  <si>
    <t>galandage type 1:</t>
  </si>
  <si>
    <t>galandage type 2:</t>
  </si>
  <si>
    <t>Divers (remarques)</t>
  </si>
  <si>
    <t>Ensemble</t>
  </si>
  <si>
    <t>séparément</t>
  </si>
  <si>
    <t>invisible</t>
  </si>
  <si>
    <t>Ulteriore:</t>
  </si>
  <si>
    <t>Profilo telaio visibile (esterno):</t>
  </si>
  <si>
    <t>Cadre visible (extérieur):</t>
  </si>
  <si>
    <t>Livraison vitrage et cadre:</t>
  </si>
  <si>
    <t>Consegna vetro e telaio:</t>
  </si>
  <si>
    <t>insieme</t>
  </si>
  <si>
    <t>separato</t>
  </si>
  <si>
    <t>visibile</t>
  </si>
  <si>
    <t>non visibile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</si>
</sst>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F800]dddd\,\ mmmm\ dd\,\ yyyy"/>
  </numFmts>
  <fonts count="4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8"/>
      <color theme="1"/>
      <name val="Arial"/>
      <family val="2"/>
    </font>
    <font>
      <sz val="10"/>
      <color theme="1"/>
      <name val="Arial"/>
      <family val="2"/>
    </font>
    <font>
      <sz val="7"/>
      <color theme="1"/>
      <name val="Arial"/>
      <family val="2"/>
    </font>
    <font>
      <b/>
      <u/>
      <sz val="10"/>
      <color theme="1"/>
      <name val="Arial"/>
      <family val="2"/>
    </font>
    <font>
      <sz val="10"/>
      <color theme="1"/>
      <name val="Calibri"/>
      <family val="2"/>
    </font>
    <font>
      <sz val="10"/>
      <name val="Arial"/>
      <family val="2"/>
    </font>
    <font>
      <sz val="11"/>
      <color theme="1"/>
      <name val="Calibri"/>
      <family val="2"/>
      <scheme val="minor"/>
    </font>
    <font>
      <b/>
      <sz val="10"/>
      <name val="Arial"/>
      <family val="2"/>
    </font>
    <font>
      <b/>
      <i/>
      <sz val="10"/>
      <name val="Arial"/>
      <family val="2"/>
    </font>
    <font>
      <u/>
      <sz val="11"/>
      <color theme="10"/>
      <name val="Calibri"/>
      <family val="2"/>
      <scheme val="minor"/>
    </font>
    <font>
      <b/>
      <u/>
      <sz val="10"/>
      <name val="Arial"/>
      <family val="2"/>
    </font>
    <font>
      <b/>
      <sz val="20"/>
      <name val="Arial"/>
      <family val="2"/>
    </font>
    <font>
      <sz val="8"/>
      <name val="Courier New"/>
      <family val="3"/>
    </font>
    <font>
      <sz val="8"/>
      <name val="Arial"/>
      <family val="2"/>
    </font>
    <font>
      <b/>
      <u/>
      <sz val="8"/>
      <name val="Arial"/>
      <family val="2"/>
    </font>
    <font>
      <i/>
      <sz val="10"/>
      <name val="Arial"/>
      <family val="2"/>
    </font>
    <font>
      <sz val="7"/>
      <name val="Arial"/>
      <family val="2"/>
    </font>
    <font>
      <b/>
      <sz val="8"/>
      <color indexed="81"/>
      <name val="Arial"/>
      <family val="2"/>
    </font>
    <font>
      <sz val="10"/>
      <color theme="0" tint="-0.14999847407452621"/>
      <name val="Arial"/>
      <family val="2"/>
    </font>
    <font>
      <b/>
      <sz val="9"/>
      <color rgb="FFFF0000"/>
      <name val="Arial"/>
      <family val="2"/>
    </font>
    <font>
      <b/>
      <sz val="10"/>
      <color theme="0" tint="-0.14999847407452621"/>
      <name val="Arial"/>
      <family val="2"/>
    </font>
    <font>
      <b/>
      <sz val="16"/>
      <name val="Arial"/>
      <family val="2"/>
    </font>
    <font>
      <sz val="9"/>
      <color indexed="81"/>
      <name val="Segoe UI"/>
      <family val="2"/>
    </font>
    <font>
      <b/>
      <sz val="9"/>
      <color indexed="81"/>
      <name val="Segoe UI"/>
      <family val="2"/>
    </font>
    <font>
      <b/>
      <sz val="11"/>
      <color rgb="FFFF0000"/>
      <name val="Arial"/>
      <family val="2"/>
    </font>
    <font>
      <u/>
      <sz val="10"/>
      <color theme="10"/>
      <name val="Arial"/>
      <family val="2"/>
    </font>
    <font>
      <b/>
      <sz val="10"/>
      <color rgb="FFFF0000"/>
      <name val="Arial"/>
      <family val="2"/>
    </font>
    <font>
      <sz val="10"/>
      <color rgb="FF000000"/>
      <name val="Arial"/>
      <family val="2"/>
    </font>
    <font>
      <b/>
      <sz val="10"/>
      <color rgb="FF000000"/>
      <name val="Arial"/>
      <family val="2"/>
    </font>
    <font>
      <b/>
      <u/>
      <sz val="12"/>
      <name val="Arial"/>
      <family val="2"/>
    </font>
    <font>
      <sz val="8"/>
      <color theme="0" tint="-0.14999847407452621"/>
      <name val="Arial"/>
      <family val="2"/>
    </font>
    <font>
      <b/>
      <sz val="12"/>
      <name val="Arial"/>
      <family val="2"/>
    </font>
    <font>
      <b/>
      <sz val="14"/>
      <color rgb="FF00B050"/>
      <name val="Arial"/>
      <family val="2"/>
    </font>
    <font>
      <u/>
      <sz val="11"/>
      <color theme="10"/>
      <name val="Arial"/>
      <family val="2"/>
    </font>
    <font>
      <b/>
      <sz val="16"/>
      <color theme="1"/>
      <name val="Arial"/>
      <family val="2"/>
    </font>
    <font>
      <sz val="20"/>
      <name val="Arial"/>
      <family val="2"/>
    </font>
    <font>
      <b/>
      <sz val="14"/>
      <color rgb="FFFF0000"/>
      <name val="Arial"/>
      <family val="2"/>
    </font>
    <font>
      <sz val="11"/>
      <name val="Arial"/>
      <family val="2"/>
    </font>
    <font>
      <b/>
      <u/>
      <sz val="11"/>
      <name val="Arial"/>
      <family val="2"/>
    </font>
    <font>
      <b/>
      <sz val="11"/>
      <name val="Arial"/>
      <family val="2"/>
    </font>
    <font>
      <b/>
      <sz val="14"/>
      <name val="Arial"/>
      <family val="2"/>
    </font>
    <font>
      <sz val="10"/>
      <color theme="0"/>
      <name val="Arial"/>
      <family val="2"/>
    </font>
    <font>
      <b/>
      <sz val="16"/>
      <color theme="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1" tint="0.499984740745262"/>
        <bgColor indexed="64"/>
      </patternFill>
    </fill>
  </fills>
  <borders count="142">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medium">
        <color auto="1"/>
      </top>
      <bottom style="thin">
        <color indexed="64"/>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medium">
        <color auto="1"/>
      </top>
      <bottom style="thin">
        <color indexed="64"/>
      </bottom>
      <diagonal/>
    </border>
    <border>
      <left style="hair">
        <color auto="1"/>
      </left>
      <right style="hair">
        <color auto="1"/>
      </right>
      <top style="medium">
        <color auto="1"/>
      </top>
      <bottom style="thin">
        <color indexed="64"/>
      </bottom>
      <diagonal/>
    </border>
    <border>
      <left style="hair">
        <color auto="1"/>
      </left>
      <right style="medium">
        <color auto="1"/>
      </right>
      <top style="medium">
        <color auto="1"/>
      </top>
      <bottom style="thin">
        <color indexed="64"/>
      </bottom>
      <diagonal/>
    </border>
    <border>
      <left style="medium">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medium">
        <color auto="1"/>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style="hair">
        <color auto="1"/>
      </top>
      <bottom style="hair">
        <color auto="1"/>
      </bottom>
      <diagonal/>
    </border>
    <border>
      <left/>
      <right/>
      <top style="hair">
        <color auto="1"/>
      </top>
      <bottom/>
      <diagonal/>
    </border>
    <border>
      <left/>
      <right style="medium">
        <color indexed="64"/>
      </right>
      <top style="hair">
        <color auto="1"/>
      </top>
      <bottom style="hair">
        <color auto="1"/>
      </bottom>
      <diagonal/>
    </border>
    <border>
      <left style="medium">
        <color indexed="64"/>
      </left>
      <right style="hair">
        <color auto="1"/>
      </right>
      <top style="thin">
        <color indexed="64"/>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indexed="64"/>
      </right>
      <top style="hair">
        <color auto="1"/>
      </top>
      <bottom style="medium">
        <color auto="1"/>
      </bottom>
      <diagonal/>
    </border>
    <border>
      <left/>
      <right style="medium">
        <color auto="1"/>
      </right>
      <top style="hair">
        <color auto="1"/>
      </top>
      <bottom style="medium">
        <color auto="1"/>
      </bottom>
      <diagonal/>
    </border>
    <border>
      <left style="medium">
        <color auto="1"/>
      </left>
      <right style="medium">
        <color auto="1"/>
      </right>
      <top/>
      <bottom style="hair">
        <color auto="1"/>
      </bottom>
      <diagonal/>
    </border>
    <border>
      <left/>
      <right style="medium">
        <color indexed="64"/>
      </right>
      <top/>
      <bottom style="hair">
        <color auto="1"/>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indexed="64"/>
      </right>
      <top/>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
      <left style="hair">
        <color auto="1"/>
      </left>
      <right style="medium">
        <color indexed="64"/>
      </right>
      <top style="thin">
        <color indexed="64"/>
      </top>
      <bottom style="hair">
        <color auto="1"/>
      </bottom>
      <diagonal/>
    </border>
    <border>
      <left style="dotted">
        <color indexed="64"/>
      </left>
      <right style="dotted">
        <color indexed="64"/>
      </right>
      <top style="thin">
        <color indexed="64"/>
      </top>
      <bottom style="dotted">
        <color indexed="64"/>
      </bottom>
      <diagonal/>
    </border>
    <border>
      <left/>
      <right/>
      <top style="dotted">
        <color indexed="64"/>
      </top>
      <bottom/>
      <diagonal/>
    </border>
    <border>
      <left/>
      <right/>
      <top style="medium">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medium">
        <color indexed="64"/>
      </bottom>
      <diagonal/>
    </border>
    <border>
      <left/>
      <right/>
      <top style="hair">
        <color auto="1"/>
      </top>
      <bottom style="hair">
        <color auto="1"/>
      </bottom>
      <diagonal/>
    </border>
    <border>
      <left style="medium">
        <color indexed="64"/>
      </left>
      <right style="medium">
        <color indexed="64"/>
      </right>
      <top style="thin">
        <color indexed="64"/>
      </top>
      <bottom style="hair">
        <color indexed="64"/>
      </bottom>
      <diagonal/>
    </border>
    <border>
      <left style="hair">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dotted">
        <color indexed="64"/>
      </left>
      <right style="dotted">
        <color indexed="64"/>
      </right>
      <top/>
      <bottom style="dotted">
        <color indexed="64"/>
      </bottom>
      <diagonal/>
    </border>
    <border>
      <left/>
      <right/>
      <top style="thin">
        <color indexed="64"/>
      </top>
      <bottom/>
      <diagonal/>
    </border>
    <border>
      <left/>
      <right style="hair">
        <color auto="1"/>
      </right>
      <top style="hair">
        <color auto="1"/>
      </top>
      <bottom style="medium">
        <color auto="1"/>
      </bottom>
      <diagonal/>
    </border>
    <border>
      <left style="thin">
        <color auto="1"/>
      </left>
      <right/>
      <top style="hair">
        <color auto="1"/>
      </top>
      <bottom/>
      <diagonal/>
    </border>
    <border>
      <left/>
      <right style="thin">
        <color auto="1"/>
      </right>
      <top style="hair">
        <color auto="1"/>
      </top>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thin">
        <color indexed="64"/>
      </top>
      <bottom style="hair">
        <color indexed="64"/>
      </bottom>
      <diagonal/>
    </border>
    <border>
      <left style="hair">
        <color auto="1"/>
      </left>
      <right style="medium">
        <color auto="1"/>
      </right>
      <top style="hair">
        <color auto="1"/>
      </top>
      <bottom/>
      <diagonal/>
    </border>
    <border>
      <left style="medium">
        <color rgb="FFFF0000"/>
      </left>
      <right style="thin">
        <color indexed="64"/>
      </right>
      <top style="medium">
        <color rgb="FFFF0000"/>
      </top>
      <bottom style="medium">
        <color rgb="FFFF0000"/>
      </bottom>
      <diagonal/>
    </border>
    <border>
      <left style="hair">
        <color auto="1"/>
      </left>
      <right style="hair">
        <color auto="1"/>
      </right>
      <top style="hair">
        <color auto="1"/>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right style="thin">
        <color indexed="64"/>
      </right>
      <top style="thick">
        <color rgb="FFFF0000"/>
      </top>
      <bottom/>
      <diagonal/>
    </border>
    <border>
      <left/>
      <right style="thin">
        <color indexed="64"/>
      </right>
      <top/>
      <bottom style="thick">
        <color rgb="FFFF0000"/>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hair">
        <color indexed="64"/>
      </bottom>
      <diagonal/>
    </border>
    <border>
      <left style="thick">
        <color indexed="64"/>
      </left>
      <right style="thin">
        <color indexed="64"/>
      </right>
      <top style="hair">
        <color indexed="64"/>
      </top>
      <bottom style="hair">
        <color indexed="64"/>
      </bottom>
      <diagonal/>
    </border>
    <border>
      <left/>
      <right style="thin">
        <color indexed="64"/>
      </right>
      <top style="thick">
        <color indexed="64"/>
      </top>
      <bottom style="thin">
        <color indexed="64"/>
      </bottom>
      <diagonal/>
    </border>
    <border>
      <left/>
      <right style="hair">
        <color indexed="64"/>
      </right>
      <top/>
      <bottom/>
      <diagonal/>
    </border>
    <border>
      <left style="thin">
        <color auto="1"/>
      </left>
      <right style="medium">
        <color indexed="64"/>
      </right>
      <top style="hair">
        <color auto="1"/>
      </top>
      <bottom/>
      <diagonal/>
    </border>
    <border>
      <left style="thin">
        <color auto="1"/>
      </left>
      <right style="medium">
        <color indexed="64"/>
      </right>
      <top/>
      <bottom/>
      <diagonal/>
    </border>
    <border>
      <left style="thin">
        <color auto="1"/>
      </left>
      <right style="medium">
        <color indexed="64"/>
      </right>
      <top/>
      <bottom style="hair">
        <color auto="1"/>
      </bottom>
      <diagonal/>
    </border>
    <border>
      <left style="hair">
        <color auto="1"/>
      </left>
      <right style="thin">
        <color indexed="64"/>
      </right>
      <top/>
      <bottom style="thin">
        <color indexed="64"/>
      </bottom>
      <diagonal/>
    </border>
    <border>
      <left style="medium">
        <color auto="1"/>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indexed="64"/>
      </left>
      <right style="medium">
        <color auto="1"/>
      </right>
      <top style="medium">
        <color indexed="64"/>
      </top>
      <bottom style="hair">
        <color indexed="64"/>
      </bottom>
      <diagonal/>
    </border>
    <border>
      <left style="thin">
        <color indexed="64"/>
      </left>
      <right style="medium">
        <color auto="1"/>
      </right>
      <top style="hair">
        <color indexed="64"/>
      </top>
      <bottom style="hair">
        <color indexed="64"/>
      </bottom>
      <diagonal/>
    </border>
    <border>
      <left style="thin">
        <color indexed="64"/>
      </left>
      <right style="medium">
        <color auto="1"/>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style="hair">
        <color auto="1"/>
      </right>
      <top style="hair">
        <color auto="1"/>
      </top>
      <bottom/>
      <diagonal/>
    </border>
    <border>
      <left style="thin">
        <color auto="1"/>
      </left>
      <right/>
      <top style="hair">
        <color indexed="64"/>
      </top>
      <bottom style="hair">
        <color indexed="64"/>
      </bottom>
      <diagonal/>
    </border>
    <border>
      <left/>
      <right style="thin">
        <color auto="1"/>
      </right>
      <top style="hair">
        <color auto="1"/>
      </top>
      <bottom style="hair">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style="hair">
        <color auto="1"/>
      </bottom>
      <diagonal/>
    </border>
    <border>
      <left style="thick">
        <color auto="1"/>
      </left>
      <right/>
      <top/>
      <bottom style="hair">
        <color auto="1"/>
      </bottom>
      <diagonal/>
    </border>
    <border>
      <left style="thick">
        <color indexed="64"/>
      </left>
      <right/>
      <top style="hair">
        <color auto="1"/>
      </top>
      <bottom/>
      <diagonal/>
    </border>
    <border>
      <left/>
      <right style="thick">
        <color indexed="64"/>
      </right>
      <top style="hair">
        <color auto="1"/>
      </top>
      <bottom/>
      <diagonal/>
    </border>
    <border>
      <left/>
      <right style="medium">
        <color auto="1"/>
      </right>
      <top style="thin">
        <color indexed="64"/>
      </top>
      <bottom style="thin">
        <color indexed="64"/>
      </bottom>
      <diagonal/>
    </border>
    <border>
      <left style="hair">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right/>
      <top style="medium">
        <color auto="1"/>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auto="1"/>
      </bottom>
      <diagonal/>
    </border>
    <border>
      <left style="thin">
        <color indexed="64"/>
      </left>
      <right style="hair">
        <color indexed="64"/>
      </right>
      <top/>
      <bottom style="thin">
        <color auto="1"/>
      </bottom>
      <diagonal/>
    </border>
    <border>
      <left style="hair">
        <color auto="1"/>
      </left>
      <right style="hair">
        <color auto="1"/>
      </right>
      <top style="hair">
        <color auto="1"/>
      </top>
      <bottom style="thin">
        <color indexed="64"/>
      </bottom>
      <diagonal/>
    </border>
    <border>
      <left style="thin">
        <color auto="1"/>
      </left>
      <right/>
      <top/>
      <bottom style="hair">
        <color auto="1"/>
      </bottom>
      <diagonal/>
    </border>
    <border>
      <left/>
      <right style="thin">
        <color auto="1"/>
      </right>
      <top/>
      <bottom style="hair">
        <color auto="1"/>
      </bottom>
      <diagonal/>
    </border>
    <border>
      <left style="medium">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s>
  <cellStyleXfs count="3">
    <xf numFmtId="0" fontId="0" fillId="0" borderId="0"/>
    <xf numFmtId="43" fontId="10" fillId="0" borderId="0" applyFont="0" applyFill="0" applyBorder="0" applyAlignment="0" applyProtection="0"/>
    <xf numFmtId="0" fontId="13" fillId="0" borderId="0" applyNumberFormat="0" applyFill="0" applyBorder="0" applyAlignment="0" applyProtection="0"/>
  </cellStyleXfs>
  <cellXfs count="733">
    <xf numFmtId="0" fontId="0" fillId="0" borderId="0" xfId="0"/>
    <xf numFmtId="0" fontId="5" fillId="0" borderId="0" xfId="0" applyFont="1"/>
    <xf numFmtId="0" fontId="5" fillId="0" borderId="2" xfId="0" applyFont="1" applyBorder="1"/>
    <xf numFmtId="0" fontId="5" fillId="0" borderId="1" xfId="0" applyFont="1" applyBorder="1"/>
    <xf numFmtId="0" fontId="5" fillId="0" borderId="3" xfId="0" applyFont="1" applyBorder="1"/>
    <xf numFmtId="0" fontId="3" fillId="0" borderId="1" xfId="0" applyFont="1" applyBorder="1"/>
    <xf numFmtId="0" fontId="6" fillId="0" borderId="2" xfId="0" applyFont="1" applyBorder="1"/>
    <xf numFmtId="0" fontId="6" fillId="0" borderId="1" xfId="0" applyFont="1" applyBorder="1"/>
    <xf numFmtId="0" fontId="6" fillId="0" borderId="3" xfId="0" applyFont="1" applyBorder="1"/>
    <xf numFmtId="0" fontId="5" fillId="0" borderId="3" xfId="0" quotePrefix="1" applyFont="1" applyBorder="1"/>
    <xf numFmtId="0" fontId="5" fillId="0" borderId="2" xfId="0" applyFont="1" applyBorder="1" applyAlignment="1">
      <alignment wrapText="1"/>
    </xf>
    <xf numFmtId="0" fontId="5" fillId="0" borderId="1" xfId="0" applyFont="1" applyBorder="1" applyAlignment="1">
      <alignment wrapText="1"/>
    </xf>
    <xf numFmtId="0" fontId="5" fillId="0" borderId="3" xfId="0" applyFont="1" applyBorder="1" applyAlignment="1">
      <alignment wrapText="1"/>
    </xf>
    <xf numFmtId="0" fontId="5" fillId="0" borderId="5" xfId="0" applyFont="1" applyBorder="1"/>
    <xf numFmtId="0" fontId="5" fillId="0" borderId="6" xfId="0" applyFont="1" applyBorder="1"/>
    <xf numFmtId="0" fontId="5" fillId="0" borderId="7" xfId="0" applyFont="1" applyBorder="1"/>
    <xf numFmtId="0" fontId="3" fillId="2" borderId="8" xfId="0" applyFont="1" applyFill="1" applyBorder="1"/>
    <xf numFmtId="0" fontId="3" fillId="2" borderId="9" xfId="0" applyFont="1" applyFill="1" applyBorder="1"/>
    <xf numFmtId="0" fontId="3" fillId="2" borderId="10" xfId="0" applyFont="1" applyFill="1" applyBorder="1"/>
    <xf numFmtId="0" fontId="5" fillId="0" borderId="11" xfId="0" applyFont="1" applyBorder="1"/>
    <xf numFmtId="0" fontId="5" fillId="0" borderId="12" xfId="0" applyFont="1" applyBorder="1"/>
    <xf numFmtId="0" fontId="5" fillId="0" borderId="13" xfId="0" applyFont="1" applyBorder="1"/>
    <xf numFmtId="0" fontId="5" fillId="0" borderId="22" xfId="0" applyFont="1" applyBorder="1"/>
    <xf numFmtId="0" fontId="5" fillId="0" borderId="23" xfId="0" applyFont="1" applyBorder="1"/>
    <xf numFmtId="0" fontId="5" fillId="0" borderId="26" xfId="0" applyFont="1" applyBorder="1"/>
    <xf numFmtId="0" fontId="5" fillId="0" borderId="28" xfId="0" applyFont="1" applyBorder="1"/>
    <xf numFmtId="0" fontId="5" fillId="0" borderId="27" xfId="0" applyFont="1" applyBorder="1" applyAlignment="1"/>
    <xf numFmtId="0" fontId="5" fillId="0" borderId="24" xfId="0" applyFont="1" applyBorder="1" applyAlignment="1"/>
    <xf numFmtId="0" fontId="5" fillId="0" borderId="25" xfId="0" applyFont="1" applyBorder="1" applyAlignment="1"/>
    <xf numFmtId="0" fontId="7" fillId="2" borderId="29" xfId="0" applyFont="1" applyFill="1" applyBorder="1"/>
    <xf numFmtId="0" fontId="3" fillId="2" borderId="30" xfId="0" applyFont="1" applyFill="1" applyBorder="1"/>
    <xf numFmtId="0" fontId="5" fillId="0" borderId="24" xfId="0" applyFont="1" applyBorder="1"/>
    <xf numFmtId="0" fontId="5" fillId="0" borderId="31" xfId="0" applyFont="1" applyBorder="1"/>
    <xf numFmtId="0" fontId="5" fillId="0" borderId="0" xfId="0" applyFont="1" applyFill="1" applyBorder="1"/>
    <xf numFmtId="0" fontId="3" fillId="3" borderId="37" xfId="0" applyFont="1" applyFill="1" applyBorder="1"/>
    <xf numFmtId="0" fontId="3" fillId="3" borderId="38" xfId="0" applyFont="1" applyFill="1" applyBorder="1"/>
    <xf numFmtId="0" fontId="5" fillId="0" borderId="7" xfId="0" applyFont="1" applyBorder="1" applyAlignment="1">
      <alignment horizontal="center"/>
    </xf>
    <xf numFmtId="0" fontId="5" fillId="0" borderId="3" xfId="0" applyFont="1" applyBorder="1" applyAlignment="1">
      <alignment horizontal="center"/>
    </xf>
    <xf numFmtId="0" fontId="5" fillId="0" borderId="32" xfId="0" applyFont="1" applyBorder="1" applyAlignment="1">
      <alignment horizontal="center"/>
    </xf>
    <xf numFmtId="0" fontId="5" fillId="3" borderId="38" xfId="0" applyFont="1" applyFill="1" applyBorder="1"/>
    <xf numFmtId="0" fontId="5" fillId="0" borderId="39" xfId="0" applyFont="1" applyBorder="1" applyAlignment="1">
      <alignment horizontal="center"/>
    </xf>
    <xf numFmtId="0" fontId="5" fillId="0" borderId="27" xfId="0" applyFont="1" applyBorder="1" applyAlignment="1">
      <alignment horizontal="center"/>
    </xf>
    <xf numFmtId="0" fontId="5" fillId="0" borderId="20" xfId="0" applyFont="1" applyBorder="1"/>
    <xf numFmtId="0" fontId="5" fillId="0" borderId="27" xfId="0" quotePrefix="1" applyFont="1" applyFill="1" applyBorder="1" applyAlignment="1">
      <alignment horizontal="center"/>
    </xf>
    <xf numFmtId="0" fontId="5" fillId="0" borderId="33" xfId="0" applyFont="1" applyFill="1" applyBorder="1"/>
    <xf numFmtId="0" fontId="5" fillId="0" borderId="39" xfId="0" applyFont="1" applyBorder="1"/>
    <xf numFmtId="0" fontId="3" fillId="2" borderId="4" xfId="0" applyFont="1" applyFill="1" applyBorder="1"/>
    <xf numFmtId="0" fontId="5" fillId="0" borderId="32" xfId="0" applyFont="1" applyBorder="1"/>
    <xf numFmtId="0" fontId="5" fillId="0" borderId="31" xfId="0" quotePrefix="1" applyFont="1" applyBorder="1"/>
    <xf numFmtId="0" fontId="5" fillId="0" borderId="24" xfId="0" applyFont="1" applyBorder="1" applyAlignment="1">
      <alignment wrapText="1"/>
    </xf>
    <xf numFmtId="0" fontId="5" fillId="3" borderId="42" xfId="0" applyFont="1" applyFill="1" applyBorder="1"/>
    <xf numFmtId="0" fontId="5" fillId="0" borderId="49" xfId="0" applyFont="1" applyBorder="1"/>
    <xf numFmtId="0" fontId="8" fillId="0" borderId="1" xfId="0" applyFont="1" applyBorder="1"/>
    <xf numFmtId="0" fontId="5" fillId="0" borderId="50" xfId="0" applyFont="1" applyBorder="1"/>
    <xf numFmtId="0" fontId="5" fillId="0" borderId="52" xfId="0" applyFont="1" applyBorder="1" applyAlignment="1">
      <alignment horizontal="left"/>
    </xf>
    <xf numFmtId="0" fontId="5" fillId="0" borderId="24" xfId="0" applyFont="1" applyBorder="1" applyAlignment="1">
      <alignment horizontal="left"/>
    </xf>
    <xf numFmtId="0" fontId="5" fillId="0" borderId="25" xfId="0" applyFont="1" applyBorder="1" applyAlignment="1">
      <alignment horizontal="left"/>
    </xf>
    <xf numFmtId="0" fontId="3" fillId="3" borderId="4" xfId="0" applyFont="1" applyFill="1" applyBorder="1"/>
    <xf numFmtId="0" fontId="5" fillId="0" borderId="27" xfId="0" applyFont="1" applyBorder="1" applyAlignment="1">
      <alignment horizontal="left"/>
    </xf>
    <xf numFmtId="0" fontId="3" fillId="0" borderId="3" xfId="0" applyFont="1" applyBorder="1"/>
    <xf numFmtId="0" fontId="9" fillId="2" borderId="14" xfId="0" applyFont="1" applyFill="1" applyBorder="1" applyProtection="1">
      <protection hidden="1"/>
    </xf>
    <xf numFmtId="0" fontId="9" fillId="2" borderId="0" xfId="0" applyFont="1" applyFill="1" applyBorder="1" applyProtection="1">
      <protection hidden="1"/>
    </xf>
    <xf numFmtId="0" fontId="11" fillId="2" borderId="0" xfId="0" applyFont="1" applyFill="1" applyBorder="1" applyAlignment="1" applyProtection="1">
      <alignment horizontal="right" vertical="top"/>
      <protection hidden="1"/>
    </xf>
    <xf numFmtId="0" fontId="9" fillId="2" borderId="0" xfId="0" applyFont="1" applyFill="1" applyBorder="1" applyAlignment="1" applyProtection="1">
      <alignment horizontal="left"/>
      <protection hidden="1"/>
    </xf>
    <xf numFmtId="0" fontId="11" fillId="2" borderId="0" xfId="0" applyFont="1" applyFill="1" applyBorder="1" applyAlignment="1" applyProtection="1">
      <alignment horizontal="right" textRotation="90"/>
      <protection hidden="1"/>
    </xf>
    <xf numFmtId="0" fontId="17" fillId="2" borderId="0" xfId="0" applyFont="1" applyFill="1" applyBorder="1" applyAlignment="1" applyProtection="1">
      <protection hidden="1"/>
    </xf>
    <xf numFmtId="0" fontId="17" fillId="2" borderId="41" xfId="0" applyFont="1" applyFill="1" applyBorder="1" applyAlignment="1" applyProtection="1">
      <protection hidden="1"/>
    </xf>
    <xf numFmtId="0" fontId="11" fillId="2" borderId="0" xfId="0" applyFont="1" applyFill="1" applyBorder="1" applyAlignment="1" applyProtection="1">
      <alignment horizontal="center"/>
      <protection hidden="1"/>
    </xf>
    <xf numFmtId="0" fontId="9" fillId="2" borderId="17" xfId="0" applyFont="1" applyFill="1" applyBorder="1" applyProtection="1">
      <protection hidden="1"/>
    </xf>
    <xf numFmtId="0" fontId="9" fillId="2" borderId="15" xfId="0" applyFont="1" applyFill="1" applyBorder="1" applyAlignment="1" applyProtection="1">
      <alignment horizontal="center"/>
      <protection hidden="1"/>
    </xf>
    <xf numFmtId="0" fontId="9" fillId="2" borderId="0" xfId="0" applyFont="1" applyFill="1" applyBorder="1" applyAlignment="1" applyProtection="1">
      <alignment horizontal="center"/>
      <protection hidden="1"/>
    </xf>
    <xf numFmtId="0" fontId="9" fillId="2" borderId="16" xfId="0" applyFont="1" applyFill="1" applyBorder="1" applyAlignment="1" applyProtection="1">
      <alignment horizontal="center"/>
      <protection hidden="1"/>
    </xf>
    <xf numFmtId="0" fontId="9" fillId="2" borderId="0" xfId="0" applyFont="1" applyFill="1" applyBorder="1" applyAlignment="1" applyProtection="1">
      <alignment vertical="center"/>
      <protection hidden="1"/>
    </xf>
    <xf numFmtId="0" fontId="11" fillId="2" borderId="0" xfId="0" applyFont="1" applyFill="1" applyBorder="1" applyAlignment="1" applyProtection="1">
      <alignment vertical="center"/>
      <protection hidden="1"/>
    </xf>
    <xf numFmtId="0" fontId="1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right" vertical="center"/>
      <protection hidden="1"/>
    </xf>
    <xf numFmtId="0" fontId="20" fillId="2" borderId="0" xfId="0" applyFont="1" applyFill="1" applyBorder="1" applyAlignment="1" applyProtection="1">
      <alignment horizontal="left" vertical="center"/>
      <protection hidden="1"/>
    </xf>
    <xf numFmtId="0" fontId="11" fillId="2" borderId="0" xfId="0" applyFont="1" applyFill="1" applyBorder="1" applyAlignment="1" applyProtection="1">
      <alignment vertical="center" textRotation="90"/>
      <protection hidden="1"/>
    </xf>
    <xf numFmtId="0" fontId="9" fillId="2" borderId="0" xfId="0" applyFont="1" applyFill="1" applyBorder="1" applyAlignment="1" applyProtection="1">
      <alignment vertical="center" textRotation="90"/>
      <protection hidden="1"/>
    </xf>
    <xf numFmtId="0" fontId="19" fillId="2" borderId="0" xfId="0" applyFont="1" applyFill="1" applyBorder="1" applyAlignment="1" applyProtection="1">
      <alignment vertical="center"/>
      <protection hidden="1"/>
    </xf>
    <xf numFmtId="0" fontId="17" fillId="2" borderId="0" xfId="0" applyFont="1" applyFill="1" applyBorder="1" applyAlignment="1" applyProtection="1">
      <alignment horizontal="right" vertical="center"/>
      <protection hidden="1"/>
    </xf>
    <xf numFmtId="0" fontId="14" fillId="2" borderId="0" xfId="0" applyFont="1" applyFill="1" applyBorder="1" applyAlignment="1" applyProtection="1">
      <alignment vertical="center"/>
      <protection hidden="1"/>
    </xf>
    <xf numFmtId="0" fontId="9" fillId="2" borderId="61" xfId="0" applyFont="1" applyFill="1" applyBorder="1" applyProtection="1">
      <protection hidden="1"/>
    </xf>
    <xf numFmtId="0" fontId="11" fillId="2" borderId="16" xfId="0" applyFont="1" applyFill="1" applyBorder="1" applyAlignment="1" applyProtection="1">
      <alignment horizontal="right" vertical="top"/>
      <protection hidden="1"/>
    </xf>
    <xf numFmtId="0" fontId="9" fillId="2" borderId="18" xfId="0" applyFont="1" applyFill="1" applyBorder="1" applyProtection="1">
      <protection hidden="1"/>
    </xf>
    <xf numFmtId="0" fontId="5" fillId="0" borderId="62" xfId="0" applyFont="1" applyBorder="1"/>
    <xf numFmtId="0" fontId="3" fillId="3" borderId="42" xfId="0" applyFont="1" applyFill="1" applyBorder="1"/>
    <xf numFmtId="0" fontId="5" fillId="0" borderId="36" xfId="0" applyFont="1" applyBorder="1"/>
    <xf numFmtId="0" fontId="5" fillId="0" borderId="52" xfId="0" applyFont="1" applyBorder="1"/>
    <xf numFmtId="0" fontId="5" fillId="0" borderId="33" xfId="0" applyFont="1" applyBorder="1"/>
    <xf numFmtId="0" fontId="3" fillId="0" borderId="0" xfId="0" applyFont="1" applyFill="1" applyBorder="1"/>
    <xf numFmtId="0" fontId="11" fillId="2" borderId="0" xfId="0" applyFont="1" applyFill="1" applyBorder="1" applyAlignment="1" applyProtection="1">
      <alignment horizontal="right"/>
      <protection hidden="1"/>
    </xf>
    <xf numFmtId="0" fontId="11" fillId="2" borderId="63" xfId="0" applyFont="1" applyFill="1" applyBorder="1" applyAlignment="1" applyProtection="1">
      <alignment horizontal="center"/>
      <protection hidden="1"/>
    </xf>
    <xf numFmtId="0" fontId="11" fillId="2" borderId="21" xfId="0" applyFont="1" applyFill="1" applyBorder="1" applyAlignment="1" applyProtection="1">
      <alignment horizontal="center"/>
      <protection hidden="1"/>
    </xf>
    <xf numFmtId="0" fontId="11" fillId="2" borderId="64" xfId="0" applyFont="1" applyFill="1" applyBorder="1" applyAlignment="1" applyProtection="1">
      <alignment horizontal="center"/>
      <protection hidden="1"/>
    </xf>
    <xf numFmtId="0" fontId="24" fillId="2" borderId="15" xfId="0" applyFont="1" applyFill="1" applyBorder="1" applyAlignment="1" applyProtection="1">
      <alignment textRotation="90"/>
      <protection hidden="1"/>
    </xf>
    <xf numFmtId="0" fontId="9"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5" fillId="0" borderId="65" xfId="0" applyFont="1" applyBorder="1"/>
    <xf numFmtId="0" fontId="5" fillId="0" borderId="66" xfId="0" applyFont="1" applyBorder="1"/>
    <xf numFmtId="0" fontId="5" fillId="0" borderId="47" xfId="0" applyFont="1" applyBorder="1"/>
    <xf numFmtId="0" fontId="5" fillId="0" borderId="67" xfId="0" applyFont="1" applyBorder="1"/>
    <xf numFmtId="0" fontId="5" fillId="0" borderId="51" xfId="0" applyFont="1" applyBorder="1"/>
    <xf numFmtId="0" fontId="5" fillId="0" borderId="68" xfId="0" applyFont="1" applyBorder="1"/>
    <xf numFmtId="0" fontId="5" fillId="0" borderId="69" xfId="0" applyFont="1" applyBorder="1"/>
    <xf numFmtId="0" fontId="5" fillId="0" borderId="46" xfId="0" applyFont="1" applyBorder="1"/>
    <xf numFmtId="0" fontId="5" fillId="0" borderId="70" xfId="0" applyFont="1" applyBorder="1"/>
    <xf numFmtId="0" fontId="5" fillId="0" borderId="48" xfId="0" applyFont="1" applyBorder="1"/>
    <xf numFmtId="0" fontId="5" fillId="0" borderId="34" xfId="0" applyFont="1" applyBorder="1"/>
    <xf numFmtId="0" fontId="5" fillId="0" borderId="71" xfId="0" applyFont="1" applyBorder="1" applyAlignment="1">
      <alignment horizontal="center"/>
    </xf>
    <xf numFmtId="0" fontId="9" fillId="2" borderId="15" xfId="0" applyFont="1" applyFill="1" applyBorder="1" applyProtection="1">
      <protection hidden="1"/>
    </xf>
    <xf numFmtId="0" fontId="9" fillId="2" borderId="18" xfId="0" applyFont="1" applyFill="1" applyBorder="1" applyAlignment="1" applyProtection="1">
      <alignment horizontal="center"/>
      <protection hidden="1"/>
    </xf>
    <xf numFmtId="0" fontId="9" fillId="2" borderId="16" xfId="0" applyFont="1" applyFill="1" applyBorder="1" applyProtection="1">
      <protection hidden="1"/>
    </xf>
    <xf numFmtId="0" fontId="9" fillId="2" borderId="56" xfId="0" applyFont="1" applyFill="1" applyBorder="1" applyProtection="1">
      <protection hidden="1"/>
    </xf>
    <xf numFmtId="0" fontId="9" fillId="2" borderId="19" xfId="0" applyFont="1" applyFill="1" applyBorder="1" applyProtection="1">
      <protection hidden="1"/>
    </xf>
    <xf numFmtId="0" fontId="9" fillId="2" borderId="56" xfId="0" applyFont="1" applyFill="1" applyBorder="1" applyAlignment="1" applyProtection="1">
      <alignment horizontal="left"/>
      <protection hidden="1"/>
    </xf>
    <xf numFmtId="0" fontId="9" fillId="2" borderId="19" xfId="0" applyFont="1" applyFill="1" applyBorder="1" applyAlignment="1" applyProtection="1">
      <alignment horizontal="left"/>
      <protection hidden="1"/>
    </xf>
    <xf numFmtId="0" fontId="9" fillId="2" borderId="15" xfId="0" applyFont="1" applyFill="1" applyBorder="1" applyAlignment="1" applyProtection="1">
      <alignment vertical="center"/>
      <protection hidden="1"/>
    </xf>
    <xf numFmtId="0" fontId="9" fillId="2" borderId="61" xfId="0" applyFont="1" applyFill="1" applyBorder="1" applyAlignment="1" applyProtection="1">
      <alignment vertical="center"/>
      <protection hidden="1"/>
    </xf>
    <xf numFmtId="0" fontId="14" fillId="2" borderId="61" xfId="0" applyFont="1" applyFill="1" applyBorder="1" applyAlignment="1" applyProtection="1">
      <alignment vertical="center"/>
      <protection hidden="1"/>
    </xf>
    <xf numFmtId="0" fontId="9" fillId="2" borderId="14" xfId="0" applyFont="1" applyFill="1" applyBorder="1" applyAlignment="1" applyProtection="1">
      <alignment vertical="center"/>
      <protection hidden="1"/>
    </xf>
    <xf numFmtId="0" fontId="9" fillId="2" borderId="56" xfId="0" applyFont="1" applyFill="1" applyBorder="1" applyAlignment="1" applyProtection="1">
      <alignment vertical="center"/>
      <protection hidden="1"/>
    </xf>
    <xf numFmtId="0" fontId="9" fillId="2" borderId="17" xfId="0" applyFont="1" applyFill="1" applyBorder="1" applyAlignment="1" applyProtection="1">
      <alignment vertical="center"/>
      <protection hidden="1"/>
    </xf>
    <xf numFmtId="0" fontId="9" fillId="2" borderId="18" xfId="0" applyFont="1" applyFill="1" applyBorder="1" applyAlignment="1" applyProtection="1">
      <alignment vertical="center"/>
      <protection hidden="1"/>
    </xf>
    <xf numFmtId="0" fontId="9" fillId="2" borderId="19" xfId="0" applyFont="1" applyFill="1" applyBorder="1" applyAlignment="1" applyProtection="1">
      <alignment vertical="center"/>
      <protection hidden="1"/>
    </xf>
    <xf numFmtId="0" fontId="9" fillId="2" borderId="15" xfId="0" applyFont="1" applyFill="1" applyBorder="1" applyAlignment="1" applyProtection="1">
      <protection hidden="1"/>
    </xf>
    <xf numFmtId="0" fontId="9" fillId="2" borderId="61" xfId="0" applyFont="1" applyFill="1" applyBorder="1" applyAlignment="1" applyProtection="1">
      <protection hidden="1"/>
    </xf>
    <xf numFmtId="0" fontId="14" fillId="2" borderId="61" xfId="0" applyFont="1" applyFill="1" applyBorder="1" applyAlignment="1" applyProtection="1">
      <protection hidden="1"/>
    </xf>
    <xf numFmtId="0" fontId="9" fillId="2" borderId="16" xfId="0" applyFont="1" applyFill="1" applyBorder="1" applyAlignment="1" applyProtection="1">
      <protection hidden="1"/>
    </xf>
    <xf numFmtId="0" fontId="11" fillId="2" borderId="15" xfId="0" applyFont="1" applyFill="1" applyBorder="1" applyAlignment="1" applyProtection="1">
      <alignment horizontal="left"/>
      <protection hidden="1"/>
    </xf>
    <xf numFmtId="0" fontId="9" fillId="2" borderId="14" xfId="0" applyFont="1" applyFill="1" applyBorder="1" applyAlignment="1" applyProtection="1">
      <protection hidden="1"/>
    </xf>
    <xf numFmtId="0" fontId="9" fillId="2" borderId="0" xfId="0" applyFont="1" applyFill="1" applyBorder="1" applyAlignment="1" applyProtection="1">
      <protection hidden="1"/>
    </xf>
    <xf numFmtId="0" fontId="9" fillId="2" borderId="56" xfId="0" applyFont="1" applyFill="1" applyBorder="1" applyAlignment="1" applyProtection="1">
      <protection hidden="1"/>
    </xf>
    <xf numFmtId="0" fontId="11" fillId="2" borderId="14" xfId="0" applyFont="1" applyFill="1" applyBorder="1" applyAlignment="1" applyProtection="1">
      <alignment horizontal="left"/>
      <protection hidden="1"/>
    </xf>
    <xf numFmtId="0" fontId="9" fillId="2" borderId="17" xfId="0" applyFont="1" applyFill="1" applyBorder="1" applyAlignment="1" applyProtection="1">
      <protection hidden="1"/>
    </xf>
    <xf numFmtId="0" fontId="9" fillId="2" borderId="18" xfId="0" applyFont="1" applyFill="1" applyBorder="1" applyAlignment="1" applyProtection="1">
      <protection hidden="1"/>
    </xf>
    <xf numFmtId="0" fontId="9" fillId="2" borderId="19" xfId="0" applyFont="1" applyFill="1" applyBorder="1" applyAlignment="1" applyProtection="1">
      <protection hidden="1"/>
    </xf>
    <xf numFmtId="0" fontId="9" fillId="2" borderId="61" xfId="0" applyFont="1" applyFill="1" applyBorder="1" applyAlignment="1" applyProtection="1">
      <alignment horizontal="left"/>
      <protection hidden="1"/>
    </xf>
    <xf numFmtId="0" fontId="9" fillId="2" borderId="61" xfId="0" applyFont="1" applyFill="1" applyBorder="1" applyAlignment="1" applyProtection="1">
      <alignment horizontal="left" vertical="center"/>
      <protection hidden="1"/>
    </xf>
    <xf numFmtId="0" fontId="9" fillId="2" borderId="18" xfId="0" applyFont="1" applyFill="1" applyBorder="1" applyAlignment="1" applyProtection="1">
      <alignment horizontal="left" vertical="center"/>
      <protection hidden="1"/>
    </xf>
    <xf numFmtId="0" fontId="9" fillId="2" borderId="0" xfId="0" applyFont="1" applyFill="1" applyProtection="1">
      <protection hidden="1"/>
    </xf>
    <xf numFmtId="0" fontId="25" fillId="2" borderId="18" xfId="0" applyFont="1" applyFill="1" applyBorder="1" applyAlignment="1" applyProtection="1">
      <alignment horizontal="right"/>
      <protection hidden="1"/>
    </xf>
    <xf numFmtId="0" fontId="25" fillId="2" borderId="18" xfId="0" applyFont="1" applyFill="1" applyBorder="1" applyAlignment="1" applyProtection="1">
      <alignment horizontal="right" vertical="top"/>
      <protection hidden="1"/>
    </xf>
    <xf numFmtId="49" fontId="9" fillId="2" borderId="16" xfId="0" applyNumberFormat="1" applyFont="1" applyFill="1" applyBorder="1" applyAlignment="1" applyProtection="1">
      <protection hidden="1"/>
    </xf>
    <xf numFmtId="49" fontId="9" fillId="2" borderId="61" xfId="0" applyNumberFormat="1" applyFont="1" applyFill="1" applyBorder="1" applyAlignment="1" applyProtection="1">
      <protection hidden="1"/>
    </xf>
    <xf numFmtId="0" fontId="12" fillId="2" borderId="0" xfId="0" applyFont="1" applyFill="1" applyBorder="1" applyAlignment="1" applyProtection="1">
      <protection hidden="1"/>
    </xf>
    <xf numFmtId="14" fontId="12" fillId="2" borderId="56" xfId="0" applyNumberFormat="1" applyFont="1" applyFill="1" applyBorder="1" applyAlignment="1" applyProtection="1">
      <protection hidden="1"/>
    </xf>
    <xf numFmtId="14" fontId="12" fillId="2" borderId="0" xfId="0" applyNumberFormat="1" applyFont="1" applyFill="1" applyBorder="1" applyAlignment="1" applyProtection="1">
      <protection hidden="1"/>
    </xf>
    <xf numFmtId="49" fontId="12" fillId="2" borderId="0" xfId="0" applyNumberFormat="1" applyFont="1" applyFill="1" applyBorder="1" applyAlignment="1" applyProtection="1">
      <alignment vertical="top"/>
      <protection hidden="1"/>
    </xf>
    <xf numFmtId="1" fontId="12" fillId="2" borderId="0" xfId="0" applyNumberFormat="1" applyFont="1" applyFill="1" applyBorder="1" applyAlignment="1" applyProtection="1">
      <alignment vertical="top"/>
      <protection hidden="1"/>
    </xf>
    <xf numFmtId="0" fontId="16" fillId="2" borderId="0" xfId="0" applyFont="1" applyFill="1" applyBorder="1" applyAlignment="1" applyProtection="1">
      <alignment horizontal="left" vertical="center"/>
      <protection hidden="1"/>
    </xf>
    <xf numFmtId="0" fontId="12" fillId="2" borderId="0" xfId="0" applyFont="1" applyFill="1" applyBorder="1" applyAlignment="1" applyProtection="1">
      <alignment vertical="center"/>
      <protection hidden="1"/>
    </xf>
    <xf numFmtId="0" fontId="19" fillId="2" borderId="18" xfId="0" applyFont="1" applyFill="1" applyBorder="1" applyAlignment="1" applyProtection="1">
      <alignment vertical="center"/>
      <protection hidden="1"/>
    </xf>
    <xf numFmtId="0" fontId="9" fillId="2" borderId="18" xfId="0" applyFont="1" applyFill="1" applyBorder="1" applyAlignment="1" applyProtection="1">
      <alignment horizontal="center" vertical="center"/>
      <protection hidden="1"/>
    </xf>
    <xf numFmtId="0" fontId="14" fillId="2" borderId="0" xfId="0" applyFont="1" applyFill="1" applyBorder="1" applyProtection="1">
      <protection hidden="1"/>
    </xf>
    <xf numFmtId="0" fontId="11" fillId="2" borderId="0" xfId="0" applyFont="1" applyFill="1" applyBorder="1" applyProtection="1">
      <protection hidden="1"/>
    </xf>
    <xf numFmtId="0" fontId="28" fillId="4" borderId="72" xfId="0" applyFont="1" applyFill="1" applyBorder="1" applyAlignment="1" applyProtection="1">
      <alignment horizontal="center" vertical="center" shrinkToFit="1"/>
      <protection hidden="1"/>
    </xf>
    <xf numFmtId="0" fontId="17" fillId="2" borderId="18" xfId="0" applyFont="1" applyFill="1" applyBorder="1" applyAlignment="1" applyProtection="1">
      <alignment horizontal="right"/>
      <protection hidden="1"/>
    </xf>
    <xf numFmtId="0" fontId="22" fillId="2" borderId="0" xfId="0" applyFont="1" applyFill="1" applyProtection="1">
      <protection hidden="1"/>
    </xf>
    <xf numFmtId="0" fontId="9" fillId="2" borderId="0" xfId="0" applyFont="1" applyFill="1" applyAlignment="1" applyProtection="1">
      <alignment horizontal="left"/>
      <protection locked="0" hidden="1"/>
    </xf>
    <xf numFmtId="0" fontId="5" fillId="0" borderId="52" xfId="0" quotePrefix="1" applyFont="1" applyBorder="1" applyAlignment="1">
      <alignment horizontal="left"/>
    </xf>
    <xf numFmtId="49" fontId="24" fillId="2" borderId="0" xfId="0" applyNumberFormat="1" applyFont="1" applyFill="1" applyBorder="1" applyAlignment="1" applyProtection="1">
      <alignment horizontal="center"/>
      <protection locked="0" hidden="1"/>
    </xf>
    <xf numFmtId="0" fontId="24" fillId="2" borderId="0" xfId="0" quotePrefix="1" applyFont="1" applyFill="1" applyBorder="1" applyAlignment="1" applyProtection="1">
      <alignment vertical="center"/>
      <protection hidden="1"/>
    </xf>
    <xf numFmtId="0" fontId="3" fillId="3" borderId="87" xfId="0" applyFont="1" applyFill="1" applyBorder="1"/>
    <xf numFmtId="0" fontId="3" fillId="3" borderId="88" xfId="0" applyFont="1" applyFill="1" applyBorder="1"/>
    <xf numFmtId="0" fontId="3" fillId="3" borderId="89" xfId="0" applyFont="1" applyFill="1" applyBorder="1"/>
    <xf numFmtId="0" fontId="3" fillId="3" borderId="87" xfId="0" applyFont="1" applyFill="1" applyBorder="1" applyAlignment="1">
      <alignment horizontal="center" textRotation="90"/>
    </xf>
    <xf numFmtId="0" fontId="3" fillId="3" borderId="92" xfId="0" applyFont="1" applyFill="1" applyBorder="1" applyAlignment="1">
      <alignment horizontal="center" textRotation="90"/>
    </xf>
    <xf numFmtId="0" fontId="3" fillId="3" borderId="88" xfId="0" applyFont="1" applyFill="1" applyBorder="1" applyAlignment="1">
      <alignment horizontal="center" textRotation="90"/>
    </xf>
    <xf numFmtId="0" fontId="3" fillId="3" borderId="85" xfId="0" applyFont="1" applyFill="1" applyBorder="1"/>
    <xf numFmtId="0" fontId="5" fillId="0" borderId="85" xfId="0" applyFont="1" applyBorder="1" applyAlignment="1">
      <alignment vertical="top"/>
    </xf>
    <xf numFmtId="14" fontId="5" fillId="0" borderId="82" xfId="0" applyNumberFormat="1" applyFont="1" applyBorder="1" applyAlignment="1">
      <alignment vertical="top"/>
    </xf>
    <xf numFmtId="0" fontId="5" fillId="0" borderId="85" xfId="0" applyFont="1" applyBorder="1" applyAlignment="1">
      <alignment horizontal="center" vertical="center"/>
    </xf>
    <xf numFmtId="0" fontId="5" fillId="0" borderId="84" xfId="0" applyFont="1" applyBorder="1" applyAlignment="1">
      <alignment horizontal="center" vertical="center"/>
    </xf>
    <xf numFmtId="0" fontId="5" fillId="0" borderId="82" xfId="0" applyFont="1" applyBorder="1" applyAlignment="1">
      <alignment horizontal="center" vertical="center"/>
    </xf>
    <xf numFmtId="14" fontId="5" fillId="0" borderId="86" xfId="0" applyNumberFormat="1" applyFont="1" applyBorder="1" applyAlignment="1">
      <alignment vertical="top"/>
    </xf>
    <xf numFmtId="0" fontId="5" fillId="0" borderId="90" xfId="0" applyFont="1" applyBorder="1" applyAlignment="1">
      <alignment vertical="top" wrapText="1"/>
    </xf>
    <xf numFmtId="0" fontId="5" fillId="0" borderId="91" xfId="0" applyFont="1" applyBorder="1" applyAlignment="1">
      <alignment vertical="top" wrapText="1"/>
    </xf>
    <xf numFmtId="0" fontId="5" fillId="0" borderId="83" xfId="0" applyFont="1" applyBorder="1" applyAlignment="1">
      <alignment vertical="top" wrapText="1"/>
    </xf>
    <xf numFmtId="0" fontId="9" fillId="2" borderId="0" xfId="0" applyFont="1" applyFill="1" applyBorder="1" applyAlignment="1" applyProtection="1">
      <alignment vertical="top"/>
      <protection hidden="1"/>
    </xf>
    <xf numFmtId="0" fontId="5" fillId="0" borderId="42" xfId="0" applyFont="1" applyBorder="1"/>
    <xf numFmtId="0" fontId="5" fillId="0" borderId="38" xfId="0" applyFont="1" applyBorder="1" applyAlignment="1">
      <alignment horizontal="center" vertical="center"/>
    </xf>
    <xf numFmtId="0" fontId="11" fillId="2" borderId="18" xfId="0" applyFont="1" applyFill="1" applyBorder="1" applyAlignment="1" applyProtection="1">
      <alignment vertical="top"/>
      <protection hidden="1"/>
    </xf>
    <xf numFmtId="14" fontId="9" fillId="5" borderId="0" xfId="0" applyNumberFormat="1" applyFont="1" applyFill="1" applyBorder="1" applyAlignment="1" applyProtection="1">
      <alignment vertical="center"/>
      <protection locked="0"/>
    </xf>
    <xf numFmtId="0" fontId="5" fillId="0" borderId="25" xfId="0" applyFont="1" applyBorder="1"/>
    <xf numFmtId="0" fontId="5" fillId="0" borderId="27" xfId="0" applyFont="1" applyFill="1" applyBorder="1"/>
    <xf numFmtId="0" fontId="3" fillId="3" borderId="4" xfId="0" applyFont="1" applyFill="1" applyBorder="1" applyAlignment="1">
      <alignment wrapText="1"/>
    </xf>
    <xf numFmtId="0" fontId="14" fillId="2" borderId="0" xfId="0" applyFont="1" applyFill="1" applyBorder="1" applyAlignment="1" applyProtection="1">
      <protection hidden="1"/>
    </xf>
    <xf numFmtId="0" fontId="9" fillId="2" borderId="16" xfId="0" applyFont="1" applyFill="1" applyBorder="1" applyAlignment="1" applyProtection="1">
      <alignment horizontal="center" vertical="center"/>
      <protection locked="0" hidden="1"/>
    </xf>
    <xf numFmtId="0" fontId="14" fillId="5" borderId="0" xfId="0" applyFont="1" applyFill="1" applyBorder="1" applyAlignment="1" applyProtection="1">
      <protection hidden="1"/>
    </xf>
    <xf numFmtId="0" fontId="11" fillId="2" borderId="14" xfId="0" applyFont="1" applyFill="1" applyBorder="1" applyProtection="1">
      <protection hidden="1"/>
    </xf>
    <xf numFmtId="0" fontId="14" fillId="5" borderId="56" xfId="0" applyFont="1" applyFill="1" applyBorder="1" applyAlignment="1" applyProtection="1">
      <protection hidden="1"/>
    </xf>
    <xf numFmtId="0" fontId="31" fillId="0" borderId="23" xfId="0" applyFont="1" applyFill="1" applyBorder="1"/>
    <xf numFmtId="0" fontId="31" fillId="0" borderId="49" xfId="0" applyFont="1" applyFill="1" applyBorder="1"/>
    <xf numFmtId="0" fontId="31" fillId="0" borderId="39" xfId="0" applyFont="1" applyFill="1" applyBorder="1"/>
    <xf numFmtId="0" fontId="31" fillId="0" borderId="2" xfId="0" applyFont="1" applyFill="1" applyBorder="1"/>
    <xf numFmtId="0" fontId="31" fillId="0" borderId="3" xfId="0" applyFont="1" applyFill="1" applyBorder="1"/>
    <xf numFmtId="0" fontId="32" fillId="0" borderId="1" xfId="0" applyFont="1" applyFill="1" applyBorder="1"/>
    <xf numFmtId="0" fontId="31" fillId="0" borderId="3" xfId="0" applyFont="1" applyFill="1" applyBorder="1" applyAlignment="1">
      <alignment horizontal="right"/>
    </xf>
    <xf numFmtId="0" fontId="31" fillId="0" borderId="31" xfId="0" applyFont="1" applyFill="1" applyBorder="1"/>
    <xf numFmtId="0" fontId="31" fillId="0" borderId="50" xfId="0" applyFont="1" applyFill="1" applyBorder="1" applyAlignment="1">
      <alignment horizontal="right"/>
    </xf>
    <xf numFmtId="0" fontId="31" fillId="0" borderId="32" xfId="0" applyFont="1" applyFill="1" applyBorder="1"/>
    <xf numFmtId="0" fontId="9" fillId="2" borderId="17" xfId="0" applyFont="1" applyFill="1" applyBorder="1" applyAlignment="1" applyProtection="1">
      <alignment horizontal="left"/>
      <protection hidden="1"/>
    </xf>
    <xf numFmtId="0" fontId="9" fillId="2" borderId="15" xfId="0" applyFont="1" applyFill="1" applyBorder="1" applyAlignment="1" applyProtection="1">
      <alignment horizontal="left"/>
      <protection hidden="1"/>
    </xf>
    <xf numFmtId="0" fontId="9" fillId="2" borderId="99"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5" fillId="0" borderId="0" xfId="0" applyFont="1" applyFill="1" applyBorder="1" applyAlignment="1">
      <alignment horizontal="left"/>
    </xf>
    <xf numFmtId="0" fontId="5" fillId="0" borderId="0" xfId="0" applyFont="1" applyFill="1" applyBorder="1" applyAlignment="1"/>
    <xf numFmtId="0" fontId="5" fillId="0" borderId="49" xfId="0" quotePrefix="1" applyFont="1" applyBorder="1"/>
    <xf numFmtId="0" fontId="9" fillId="2" borderId="0" xfId="0" applyFont="1" applyFill="1" applyBorder="1" applyAlignment="1" applyProtection="1">
      <alignment vertical="center" shrinkToFit="1"/>
      <protection hidden="1"/>
    </xf>
    <xf numFmtId="0" fontId="9" fillId="2" borderId="0" xfId="0" applyFont="1" applyFill="1" applyAlignment="1" applyProtection="1">
      <alignment horizontal="right"/>
      <protection hidden="1"/>
    </xf>
    <xf numFmtId="0" fontId="9" fillId="2" borderId="0" xfId="0" applyFont="1" applyFill="1" applyAlignment="1" applyProtection="1">
      <protection hidden="1"/>
    </xf>
    <xf numFmtId="0" fontId="17" fillId="2" borderId="0" xfId="0" applyFont="1" applyFill="1" applyAlignment="1" applyProtection="1">
      <alignment horizontal="right" vertical="center"/>
      <protection hidden="1"/>
    </xf>
    <xf numFmtId="0" fontId="17" fillId="2" borderId="0" xfId="0" applyFont="1" applyFill="1" applyAlignment="1" applyProtection="1">
      <alignment horizontal="right"/>
      <protection hidden="1"/>
    </xf>
    <xf numFmtId="0" fontId="9" fillId="2" borderId="0" xfId="0" applyFont="1" applyFill="1" applyBorder="1" applyAlignment="1" applyProtection="1">
      <alignment horizontal="right"/>
      <protection hidden="1"/>
    </xf>
    <xf numFmtId="0" fontId="5" fillId="0" borderId="66" xfId="0" applyFont="1" applyBorder="1" applyAlignment="1">
      <alignment horizontal="center"/>
    </xf>
    <xf numFmtId="0" fontId="5" fillId="0" borderId="51" xfId="0" applyFont="1" applyBorder="1" applyAlignment="1">
      <alignment horizontal="center"/>
    </xf>
    <xf numFmtId="0" fontId="5" fillId="0" borderId="69" xfId="0" applyFont="1" applyBorder="1" applyAlignment="1">
      <alignment horizontal="center"/>
    </xf>
    <xf numFmtId="0" fontId="5" fillId="0" borderId="101" xfId="0" applyFont="1" applyBorder="1" applyAlignment="1">
      <alignment horizontal="center"/>
    </xf>
    <xf numFmtId="0" fontId="5" fillId="0" borderId="102" xfId="0" applyFont="1" applyBorder="1" applyAlignment="1">
      <alignment horizontal="center"/>
    </xf>
    <xf numFmtId="0" fontId="5" fillId="0" borderId="103" xfId="0" applyFont="1" applyBorder="1" applyAlignment="1">
      <alignment horizontal="center"/>
    </xf>
    <xf numFmtId="0" fontId="5" fillId="0" borderId="104" xfId="0" applyFont="1" applyBorder="1" applyAlignment="1">
      <alignment horizontal="center"/>
    </xf>
    <xf numFmtId="0" fontId="5" fillId="0" borderId="105" xfId="0" applyFont="1" applyBorder="1" applyAlignment="1">
      <alignment horizontal="center"/>
    </xf>
    <xf numFmtId="0" fontId="5" fillId="0" borderId="106" xfId="0" applyFont="1" applyBorder="1" applyAlignment="1">
      <alignment horizontal="center"/>
    </xf>
    <xf numFmtId="0" fontId="3" fillId="0" borderId="31" xfId="0" applyFont="1" applyBorder="1"/>
    <xf numFmtId="0" fontId="3" fillId="0" borderId="32" xfId="0" applyFont="1" applyBorder="1" applyAlignment="1">
      <alignment horizontal="center"/>
    </xf>
    <xf numFmtId="0" fontId="9" fillId="2" borderId="100" xfId="0" applyFont="1" applyFill="1" applyBorder="1" applyProtection="1">
      <protection hidden="1"/>
    </xf>
    <xf numFmtId="0" fontId="8" fillId="0" borderId="3" xfId="0" applyFont="1" applyBorder="1"/>
    <xf numFmtId="0" fontId="5" fillId="0" borderId="2" xfId="0" applyFont="1" applyFill="1" applyBorder="1"/>
    <xf numFmtId="0" fontId="5" fillId="0" borderId="1" xfId="0" applyFont="1" applyFill="1" applyBorder="1"/>
    <xf numFmtId="0" fontId="5" fillId="0" borderId="31" xfId="0" applyFont="1" applyFill="1" applyBorder="1"/>
    <xf numFmtId="0" fontId="5" fillId="0" borderId="50" xfId="0" applyFont="1" applyFill="1" applyBorder="1"/>
    <xf numFmtId="0" fontId="5" fillId="0" borderId="109" xfId="0" applyFont="1" applyBorder="1"/>
    <xf numFmtId="0" fontId="5" fillId="0" borderId="73" xfId="0" applyFont="1" applyBorder="1"/>
    <xf numFmtId="0" fontId="5" fillId="0" borderId="71" xfId="0" applyFont="1" applyBorder="1"/>
    <xf numFmtId="0" fontId="14" fillId="2" borderId="14" xfId="0" applyFont="1" applyFill="1" applyBorder="1" applyProtection="1">
      <protection hidden="1"/>
    </xf>
    <xf numFmtId="0" fontId="34" fillId="2" borderId="0" xfId="0" applyFont="1" applyFill="1" applyBorder="1" applyProtection="1">
      <protection hidden="1"/>
    </xf>
    <xf numFmtId="0" fontId="22" fillId="2" borderId="14" xfId="0" applyFont="1" applyFill="1" applyBorder="1" applyProtection="1">
      <protection hidden="1"/>
    </xf>
    <xf numFmtId="0" fontId="9" fillId="2" borderId="112" xfId="0" applyFont="1" applyFill="1" applyBorder="1" applyProtection="1">
      <protection hidden="1"/>
    </xf>
    <xf numFmtId="0" fontId="9" fillId="2" borderId="113" xfId="0" applyFont="1" applyFill="1" applyBorder="1" applyProtection="1">
      <protection hidden="1"/>
    </xf>
    <xf numFmtId="0" fontId="9" fillId="2" borderId="114" xfId="0" applyFont="1" applyFill="1" applyBorder="1" applyProtection="1">
      <protection hidden="1"/>
    </xf>
    <xf numFmtId="0" fontId="9" fillId="2" borderId="115" xfId="0" applyFont="1" applyFill="1" applyBorder="1" applyProtection="1">
      <protection hidden="1"/>
    </xf>
    <xf numFmtId="0" fontId="25" fillId="2" borderId="0" xfId="0" applyFont="1" applyFill="1" applyBorder="1" applyAlignment="1" applyProtection="1">
      <alignment vertical="top"/>
      <protection hidden="1"/>
    </xf>
    <xf numFmtId="0" fontId="9" fillId="2" borderId="116" xfId="0" applyFont="1" applyFill="1" applyBorder="1" applyProtection="1">
      <protection hidden="1"/>
    </xf>
    <xf numFmtId="0" fontId="29" fillId="2" borderId="0" xfId="2" applyFont="1" applyFill="1" applyBorder="1" applyProtection="1">
      <protection hidden="1"/>
    </xf>
    <xf numFmtId="0" fontId="16" fillId="2" borderId="115" xfId="0" applyFont="1" applyFill="1" applyBorder="1" applyAlignment="1" applyProtection="1">
      <alignment horizontal="left" vertical="center"/>
      <protection hidden="1"/>
    </xf>
    <xf numFmtId="0" fontId="16" fillId="2" borderId="117" xfId="0" applyFont="1" applyFill="1" applyBorder="1" applyAlignment="1" applyProtection="1">
      <alignment horizontal="left" vertical="center"/>
      <protection hidden="1"/>
    </xf>
    <xf numFmtId="0" fontId="9" fillId="2" borderId="118" xfId="0" applyFont="1" applyFill="1" applyBorder="1" applyProtection="1">
      <protection hidden="1"/>
    </xf>
    <xf numFmtId="0" fontId="14" fillId="5" borderId="118" xfId="0" applyFont="1" applyFill="1" applyBorder="1" applyAlignment="1" applyProtection="1">
      <protection hidden="1"/>
    </xf>
    <xf numFmtId="0" fontId="9" fillId="2" borderId="119" xfId="0" applyFont="1" applyFill="1" applyBorder="1" applyProtection="1">
      <protection hidden="1"/>
    </xf>
    <xf numFmtId="0" fontId="5" fillId="0" borderId="23" xfId="0" applyFont="1" applyBorder="1" applyAlignment="1">
      <alignment horizontal="left"/>
    </xf>
    <xf numFmtId="0" fontId="5" fillId="0" borderId="2" xfId="0" applyFont="1" applyBorder="1" applyAlignment="1">
      <alignment horizontal="left"/>
    </xf>
    <xf numFmtId="0" fontId="5" fillId="0" borderId="31" xfId="0" applyFont="1" applyBorder="1" applyAlignment="1">
      <alignment horizontal="left"/>
    </xf>
    <xf numFmtId="0" fontId="17" fillId="2" borderId="0" xfId="0" applyFont="1" applyFill="1" applyBorder="1" applyAlignment="1" applyProtection="1">
      <alignment horizontal="right"/>
      <protection hidden="1"/>
    </xf>
    <xf numFmtId="0" fontId="9" fillId="2" borderId="113" xfId="0" applyFont="1" applyFill="1" applyBorder="1" applyAlignment="1" applyProtection="1">
      <protection hidden="1"/>
    </xf>
    <xf numFmtId="0" fontId="9" fillId="2" borderId="114" xfId="0" applyFont="1" applyFill="1" applyBorder="1" applyAlignment="1" applyProtection="1">
      <protection hidden="1"/>
    </xf>
    <xf numFmtId="0" fontId="9" fillId="2" borderId="116" xfId="0" applyFont="1" applyFill="1" applyBorder="1" applyAlignment="1" applyProtection="1">
      <protection hidden="1"/>
    </xf>
    <xf numFmtId="0" fontId="9" fillId="2" borderId="117" xfId="0" applyFont="1" applyFill="1" applyBorder="1" applyProtection="1">
      <protection hidden="1"/>
    </xf>
    <xf numFmtId="0" fontId="9" fillId="2" borderId="112" xfId="0" applyFont="1" applyFill="1" applyBorder="1" applyAlignment="1" applyProtection="1">
      <protection hidden="1"/>
    </xf>
    <xf numFmtId="0" fontId="9" fillId="2" borderId="115" xfId="0" applyFont="1" applyFill="1" applyBorder="1" applyAlignment="1" applyProtection="1">
      <protection hidden="1"/>
    </xf>
    <xf numFmtId="0" fontId="9" fillId="2" borderId="121" xfId="0" applyFont="1" applyFill="1" applyBorder="1" applyProtection="1">
      <protection hidden="1"/>
    </xf>
    <xf numFmtId="0" fontId="9" fillId="2" borderId="35" xfId="0" applyFont="1" applyFill="1" applyBorder="1" applyProtection="1">
      <protection hidden="1"/>
    </xf>
    <xf numFmtId="0" fontId="9" fillId="2" borderId="35" xfId="0" applyFont="1" applyFill="1" applyBorder="1" applyAlignment="1" applyProtection="1">
      <protection hidden="1"/>
    </xf>
    <xf numFmtId="0" fontId="9" fillId="2" borderId="120" xfId="0" applyFont="1" applyFill="1" applyBorder="1" applyAlignment="1" applyProtection="1">
      <protection hidden="1"/>
    </xf>
    <xf numFmtId="0" fontId="9" fillId="2" borderId="121" xfId="0" applyFont="1" applyFill="1" applyBorder="1" applyAlignment="1" applyProtection="1">
      <protection hidden="1"/>
    </xf>
    <xf numFmtId="0" fontId="9" fillId="2" borderId="122" xfId="0" applyFont="1" applyFill="1" applyBorder="1" applyProtection="1">
      <protection hidden="1"/>
    </xf>
    <xf numFmtId="0" fontId="9" fillId="2" borderId="21" xfId="0" applyFont="1" applyFill="1" applyBorder="1" applyProtection="1">
      <protection hidden="1"/>
    </xf>
    <xf numFmtId="0" fontId="9" fillId="2" borderId="21" xfId="0" applyFont="1" applyFill="1" applyBorder="1" applyAlignment="1" applyProtection="1">
      <protection hidden="1"/>
    </xf>
    <xf numFmtId="0" fontId="9" fillId="2" borderId="123" xfId="0" applyFont="1" applyFill="1" applyBorder="1" applyAlignment="1" applyProtection="1">
      <protection hidden="1"/>
    </xf>
    <xf numFmtId="0" fontId="9" fillId="2" borderId="122" xfId="0" applyFont="1" applyFill="1" applyBorder="1" applyAlignment="1" applyProtection="1">
      <protection hidden="1"/>
    </xf>
    <xf numFmtId="0" fontId="9" fillId="2" borderId="18" xfId="0" applyFont="1" applyFill="1" applyBorder="1" applyAlignment="1" applyProtection="1">
      <alignment horizontal="right"/>
      <protection hidden="1"/>
    </xf>
    <xf numFmtId="0" fontId="33" fillId="2" borderId="61" xfId="0" applyFont="1" applyFill="1" applyBorder="1" applyProtection="1">
      <protection hidden="1"/>
    </xf>
    <xf numFmtId="0" fontId="5" fillId="2" borderId="56" xfId="0" applyFont="1" applyFill="1" applyBorder="1" applyAlignment="1" applyProtection="1">
      <protection hidden="1"/>
    </xf>
    <xf numFmtId="0" fontId="5" fillId="2" borderId="56" xfId="0" applyFont="1" applyFill="1" applyBorder="1" applyAlignment="1" applyProtection="1">
      <protection locked="0"/>
    </xf>
    <xf numFmtId="0" fontId="9" fillId="2" borderId="0" xfId="0" applyFont="1" applyFill="1" applyBorder="1" applyAlignment="1" applyProtection="1">
      <alignment horizontal="right" vertical="center"/>
      <protection hidden="1"/>
    </xf>
    <xf numFmtId="0" fontId="30" fillId="2" borderId="0" xfId="0" applyFont="1" applyFill="1" applyBorder="1" applyAlignment="1" applyProtection="1">
      <alignment vertical="top"/>
      <protection hidden="1"/>
    </xf>
    <xf numFmtId="0" fontId="2" fillId="0" borderId="1" xfId="0" applyFont="1" applyBorder="1" applyAlignment="1">
      <alignment wrapText="1"/>
    </xf>
    <xf numFmtId="0" fontId="2" fillId="0" borderId="1" xfId="0" applyFont="1" applyBorder="1"/>
    <xf numFmtId="0" fontId="1" fillId="0" borderId="0" xfId="0" applyFont="1"/>
    <xf numFmtId="0" fontId="1" fillId="0" borderId="2" xfId="0" applyFont="1" applyBorder="1"/>
    <xf numFmtId="0" fontId="3" fillId="3" borderId="124" xfId="0" applyFont="1" applyFill="1" applyBorder="1"/>
    <xf numFmtId="0" fontId="5" fillId="6" borderId="23" xfId="0" applyFont="1" applyFill="1" applyBorder="1"/>
    <xf numFmtId="0" fontId="3" fillId="6" borderId="49" xfId="0" applyFont="1" applyFill="1" applyBorder="1" applyAlignment="1">
      <alignment horizontal="center"/>
    </xf>
    <xf numFmtId="0" fontId="5" fillId="6" borderId="39" xfId="0" applyFont="1" applyFill="1" applyBorder="1" applyAlignment="1">
      <alignment horizontal="center"/>
    </xf>
    <xf numFmtId="0" fontId="5" fillId="6" borderId="2" xfId="0" applyFont="1" applyFill="1" applyBorder="1"/>
    <xf numFmtId="0" fontId="3" fillId="6" borderId="1" xfId="0" applyFont="1" applyFill="1" applyBorder="1" applyAlignment="1">
      <alignment horizontal="center"/>
    </xf>
    <xf numFmtId="0" fontId="5" fillId="6" borderId="3" xfId="0" applyFont="1" applyFill="1" applyBorder="1" applyAlignment="1">
      <alignment horizontal="center"/>
    </xf>
    <xf numFmtId="0" fontId="3" fillId="6" borderId="73" xfId="0" applyFont="1" applyFill="1" applyBorder="1" applyAlignment="1">
      <alignment horizontal="center"/>
    </xf>
    <xf numFmtId="0" fontId="5" fillId="6" borderId="77" xfId="0" applyFont="1" applyFill="1" applyBorder="1" applyAlignment="1">
      <alignment horizontal="center"/>
    </xf>
    <xf numFmtId="0" fontId="5" fillId="6" borderId="22" xfId="0" applyFont="1" applyFill="1" applyBorder="1" applyAlignment="1">
      <alignment horizontal="center"/>
    </xf>
    <xf numFmtId="0" fontId="5" fillId="6" borderId="78" xfId="0" applyFont="1" applyFill="1" applyBorder="1" applyAlignment="1">
      <alignment horizontal="center"/>
    </xf>
    <xf numFmtId="0" fontId="3" fillId="6" borderId="22" xfId="0" applyFont="1" applyFill="1" applyBorder="1" applyAlignment="1">
      <alignment horizontal="center"/>
    </xf>
    <xf numFmtId="0" fontId="3" fillId="6" borderId="6" xfId="0" applyFont="1" applyFill="1" applyBorder="1" applyAlignment="1">
      <alignment horizontal="center"/>
    </xf>
    <xf numFmtId="0" fontId="3" fillId="6" borderId="94" xfId="0" applyFont="1" applyFill="1" applyBorder="1" applyAlignment="1">
      <alignment vertical="center"/>
    </xf>
    <xf numFmtId="0" fontId="3" fillId="6" borderId="96" xfId="0" applyFont="1" applyFill="1" applyBorder="1" applyAlignment="1">
      <alignment vertical="center"/>
    </xf>
    <xf numFmtId="0" fontId="5" fillId="6" borderId="73" xfId="0" applyFont="1" applyFill="1" applyBorder="1" applyAlignment="1">
      <alignment horizontal="center"/>
    </xf>
    <xf numFmtId="0" fontId="3" fillId="6" borderId="3" xfId="0" applyFont="1" applyFill="1" applyBorder="1" applyAlignment="1">
      <alignment horizontal="center"/>
    </xf>
    <xf numFmtId="0" fontId="5" fillId="6" borderId="81" xfId="0" applyFont="1" applyFill="1" applyBorder="1" applyAlignment="1">
      <alignment horizontal="center"/>
    </xf>
    <xf numFmtId="0" fontId="3" fillId="6" borderId="95" xfId="0" applyFont="1" applyFill="1" applyBorder="1" applyAlignment="1">
      <alignment vertical="center"/>
    </xf>
    <xf numFmtId="0" fontId="5" fillId="6" borderId="67" xfId="0" applyFont="1" applyFill="1" applyBorder="1"/>
    <xf numFmtId="0" fontId="5" fillId="6" borderId="59" xfId="0" applyFont="1" applyFill="1" applyBorder="1" applyAlignment="1">
      <alignment horizontal="center"/>
    </xf>
    <xf numFmtId="0" fontId="5" fillId="6" borderId="97" xfId="0" applyFont="1" applyFill="1" applyBorder="1" applyAlignment="1">
      <alignment horizontal="center"/>
    </xf>
    <xf numFmtId="0" fontId="5" fillId="6" borderId="6" xfId="0" applyFont="1" applyFill="1" applyBorder="1" applyAlignment="1">
      <alignment horizontal="center"/>
    </xf>
    <xf numFmtId="0" fontId="1" fillId="6" borderId="67" xfId="0" applyFont="1" applyFill="1" applyBorder="1"/>
    <xf numFmtId="0" fontId="3" fillId="6" borderId="1" xfId="0" applyFont="1" applyFill="1" applyBorder="1"/>
    <xf numFmtId="0" fontId="5" fillId="6" borderId="3" xfId="0" applyFont="1" applyFill="1" applyBorder="1"/>
    <xf numFmtId="0" fontId="1" fillId="6" borderId="68" xfId="0" applyFont="1" applyFill="1" applyBorder="1"/>
    <xf numFmtId="0" fontId="3" fillId="6" borderId="50" xfId="0" applyFont="1" applyFill="1" applyBorder="1"/>
    <xf numFmtId="0" fontId="5" fillId="6" borderId="32" xfId="0" applyFont="1" applyFill="1" applyBorder="1"/>
    <xf numFmtId="0" fontId="1" fillId="6" borderId="2" xfId="0" applyFont="1" applyFill="1" applyBorder="1"/>
    <xf numFmtId="0" fontId="5" fillId="6" borderId="5" xfId="0" applyFont="1" applyFill="1" applyBorder="1"/>
    <xf numFmtId="0" fontId="5" fillId="6" borderId="7" xfId="0" applyFont="1" applyFill="1" applyBorder="1"/>
    <xf numFmtId="0" fontId="3" fillId="0" borderId="0" xfId="0" applyFont="1" applyAlignment="1">
      <alignment horizontal="right"/>
    </xf>
    <xf numFmtId="0" fontId="1" fillId="0" borderId="0" xfId="0" applyFont="1" applyAlignment="1">
      <alignment horizontal="right"/>
    </xf>
    <xf numFmtId="0" fontId="1" fillId="0" borderId="1" xfId="0" applyFont="1" applyBorder="1"/>
    <xf numFmtId="0" fontId="1" fillId="0" borderId="3" xfId="0" applyFont="1" applyBorder="1"/>
    <xf numFmtId="0" fontId="37" fillId="2" borderId="0" xfId="2" applyFont="1" applyFill="1" applyBorder="1" applyProtection="1">
      <protection hidden="1"/>
    </xf>
    <xf numFmtId="0" fontId="23" fillId="2" borderId="0" xfId="0" applyFont="1" applyFill="1" applyBorder="1" applyAlignment="1" applyProtection="1">
      <alignment vertical="top" wrapText="1"/>
      <protection hidden="1"/>
    </xf>
    <xf numFmtId="0" fontId="14" fillId="2" borderId="0" xfId="0" applyFont="1" applyFill="1" applyAlignment="1" applyProtection="1">
      <alignment vertical="top"/>
      <protection hidden="1"/>
    </xf>
    <xf numFmtId="0" fontId="9" fillId="2" borderId="0" xfId="0" applyFont="1" applyFill="1" applyAlignment="1" applyProtection="1">
      <alignment vertical="top"/>
      <protection hidden="1"/>
    </xf>
    <xf numFmtId="164" fontId="5" fillId="0" borderId="0" xfId="0" applyNumberFormat="1" applyFont="1"/>
    <xf numFmtId="0" fontId="9" fillId="0" borderId="2" xfId="2" applyFont="1" applyBorder="1"/>
    <xf numFmtId="0" fontId="9" fillId="2" borderId="16" xfId="0" applyFont="1" applyFill="1" applyBorder="1" applyProtection="1">
      <protection locked="0" hidden="1"/>
    </xf>
    <xf numFmtId="0" fontId="9" fillId="2" borderId="97" xfId="0" applyFont="1" applyFill="1" applyBorder="1" applyProtection="1">
      <protection hidden="1"/>
    </xf>
    <xf numFmtId="0" fontId="9" fillId="2" borderId="129" xfId="0" applyFont="1" applyFill="1" applyBorder="1" applyProtection="1">
      <protection hidden="1"/>
    </xf>
    <xf numFmtId="0" fontId="5" fillId="0" borderId="125" xfId="0" applyFont="1" applyBorder="1"/>
    <xf numFmtId="0" fontId="9" fillId="2" borderId="16" xfId="0" applyFont="1" applyFill="1" applyBorder="1" applyAlignment="1" applyProtection="1">
      <alignment vertical="center"/>
      <protection locked="0" hidden="1"/>
    </xf>
    <xf numFmtId="0" fontId="9" fillId="2" borderId="56" xfId="0" applyFont="1" applyFill="1" applyBorder="1" applyAlignment="1" applyProtection="1">
      <alignment vertical="center"/>
      <protection locked="0" hidden="1"/>
    </xf>
    <xf numFmtId="0" fontId="1" fillId="0" borderId="2" xfId="0" applyFont="1" applyBorder="1" applyAlignment="1">
      <alignment wrapText="1"/>
    </xf>
    <xf numFmtId="0" fontId="1" fillId="0" borderId="1" xfId="0" applyFont="1" applyBorder="1" applyAlignment="1">
      <alignment vertical="top"/>
    </xf>
    <xf numFmtId="0" fontId="31" fillId="0" borderId="1" xfId="0" applyFont="1" applyBorder="1" applyAlignment="1">
      <alignment vertical="top"/>
    </xf>
    <xf numFmtId="0" fontId="31" fillId="0" borderId="1" xfId="0" applyFont="1" applyBorder="1" applyAlignment="1">
      <alignment vertical="top" wrapText="1"/>
    </xf>
    <xf numFmtId="0" fontId="1" fillId="0" borderId="1" xfId="0" applyFont="1" applyBorder="1" applyAlignment="1">
      <alignment vertical="top" wrapText="1"/>
    </xf>
    <xf numFmtId="0" fontId="1" fillId="2" borderId="0" xfId="0" applyFont="1" applyFill="1" applyProtection="1">
      <protection hidden="1"/>
    </xf>
    <xf numFmtId="0" fontId="1" fillId="2" borderId="0" xfId="0" applyFont="1" applyFill="1" applyBorder="1" applyProtection="1">
      <protection hidden="1"/>
    </xf>
    <xf numFmtId="0" fontId="1" fillId="2" borderId="15" xfId="0" applyFont="1" applyFill="1" applyBorder="1" applyProtection="1">
      <protection hidden="1"/>
    </xf>
    <xf numFmtId="0" fontId="1" fillId="2" borderId="61" xfId="0" applyFont="1" applyFill="1" applyBorder="1" applyProtection="1">
      <protection hidden="1"/>
    </xf>
    <xf numFmtId="0" fontId="1" fillId="2" borderId="16" xfId="0" applyFont="1" applyFill="1" applyBorder="1" applyProtection="1">
      <protection hidden="1"/>
    </xf>
    <xf numFmtId="0" fontId="1" fillId="2" borderId="17" xfId="0" applyFont="1" applyFill="1" applyBorder="1" applyProtection="1">
      <protection hidden="1"/>
    </xf>
    <xf numFmtId="0" fontId="1" fillId="2" borderId="18" xfId="0" applyFont="1" applyFill="1" applyBorder="1" applyProtection="1">
      <protection hidden="1"/>
    </xf>
    <xf numFmtId="0" fontId="1" fillId="2" borderId="19" xfId="0" applyFont="1" applyFill="1" applyBorder="1" applyProtection="1">
      <protection hidden="1"/>
    </xf>
    <xf numFmtId="0" fontId="1" fillId="2" borderId="56" xfId="0" applyFont="1" applyFill="1" applyBorder="1" applyProtection="1">
      <protection hidden="1"/>
    </xf>
    <xf numFmtId="0" fontId="1" fillId="2" borderId="14" xfId="0" applyFont="1" applyFill="1" applyBorder="1" applyProtection="1">
      <protection hidden="1"/>
    </xf>
    <xf numFmtId="0" fontId="3" fillId="2" borderId="14" xfId="0" quotePrefix="1" applyFont="1" applyFill="1" applyBorder="1" applyAlignment="1" applyProtection="1">
      <alignment horizontal="right"/>
      <protection hidden="1"/>
    </xf>
    <xf numFmtId="0" fontId="7" fillId="2" borderId="0" xfId="0" applyFont="1" applyFill="1" applyBorder="1" applyProtection="1">
      <protection hidden="1"/>
    </xf>
    <xf numFmtId="0" fontId="1" fillId="2" borderId="0" xfId="0" applyFont="1" applyFill="1" applyBorder="1" applyAlignment="1" applyProtection="1">
      <alignment vertical="top" wrapText="1"/>
      <protection hidden="1"/>
    </xf>
    <xf numFmtId="0" fontId="1" fillId="2" borderId="0" xfId="0" applyFont="1" applyFill="1" applyBorder="1" applyAlignment="1" applyProtection="1">
      <alignment horizontal="left" vertical="top" wrapText="1"/>
      <protection hidden="1"/>
    </xf>
    <xf numFmtId="0" fontId="1" fillId="2" borderId="107" xfId="0" applyFont="1" applyFill="1" applyBorder="1" applyProtection="1">
      <protection hidden="1"/>
    </xf>
    <xf numFmtId="0" fontId="1" fillId="2" borderId="130" xfId="0" applyFont="1" applyFill="1" applyBorder="1" applyProtection="1">
      <protection hidden="1"/>
    </xf>
    <xf numFmtId="0" fontId="1" fillId="2" borderId="108" xfId="0" applyFont="1" applyFill="1" applyBorder="1" applyProtection="1">
      <protection hidden="1"/>
    </xf>
    <xf numFmtId="0" fontId="4" fillId="2" borderId="98" xfId="0" applyFont="1" applyFill="1" applyBorder="1" applyProtection="1">
      <protection hidden="1"/>
    </xf>
    <xf numFmtId="0" fontId="1" fillId="2" borderId="33" xfId="0" applyFont="1" applyFill="1" applyBorder="1" applyProtection="1">
      <protection hidden="1"/>
    </xf>
    <xf numFmtId="0" fontId="1" fillId="2" borderId="131" xfId="0" applyFont="1" applyFill="1" applyBorder="1" applyProtection="1">
      <protection hidden="1"/>
    </xf>
    <xf numFmtId="0" fontId="1" fillId="2" borderId="132" xfId="0" applyFont="1" applyFill="1" applyBorder="1" applyProtection="1">
      <protection hidden="1"/>
    </xf>
    <xf numFmtId="0" fontId="1" fillId="2" borderId="133" xfId="0" applyFont="1" applyFill="1" applyBorder="1" applyProtection="1">
      <protection hidden="1"/>
    </xf>
    <xf numFmtId="0" fontId="1" fillId="0" borderId="23" xfId="0" applyFont="1" applyBorder="1"/>
    <xf numFmtId="0" fontId="1" fillId="0" borderId="39" xfId="0" applyFont="1" applyBorder="1" applyAlignment="1">
      <alignment horizontal="center"/>
    </xf>
    <xf numFmtId="0" fontId="9" fillId="2" borderId="114" xfId="0" applyFont="1" applyFill="1" applyBorder="1" applyAlignment="1" applyProtection="1">
      <alignment horizontal="right"/>
      <protection hidden="1"/>
    </xf>
    <xf numFmtId="0" fontId="9"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1" fillId="0" borderId="52" xfId="0" applyFont="1" applyBorder="1" applyAlignment="1">
      <alignment horizontal="left"/>
    </xf>
    <xf numFmtId="0" fontId="1" fillId="0" borderId="24" xfId="0" applyFont="1" applyBorder="1" applyAlignment="1">
      <alignment horizontal="left"/>
    </xf>
    <xf numFmtId="0" fontId="8" fillId="0" borderId="25" xfId="0" applyFont="1" applyBorder="1" applyAlignment="1">
      <alignment horizontal="left"/>
    </xf>
    <xf numFmtId="0" fontId="1" fillId="3" borderId="42" xfId="0" applyFont="1" applyFill="1" applyBorder="1"/>
    <xf numFmtId="0" fontId="1" fillId="3" borderId="38"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1" fillId="0" borderId="49" xfId="0" applyFont="1" applyBorder="1" applyAlignment="1">
      <alignment horizontal="center"/>
    </xf>
    <xf numFmtId="0" fontId="1" fillId="0" borderId="49" xfId="0" applyFont="1" applyBorder="1"/>
    <xf numFmtId="0" fontId="1" fillId="0" borderId="39" xfId="0" applyFont="1" applyBorder="1"/>
    <xf numFmtId="0" fontId="1" fillId="0" borderId="1" xfId="0" applyFont="1" applyBorder="1" applyAlignment="1">
      <alignment horizontal="center"/>
    </xf>
    <xf numFmtId="0" fontId="1" fillId="0" borderId="68" xfId="0" applyFont="1" applyBorder="1"/>
    <xf numFmtId="0" fontId="1" fillId="0" borderId="69" xfId="0" applyFont="1" applyBorder="1"/>
    <xf numFmtId="0" fontId="1" fillId="0" borderId="62" xfId="0" applyFont="1" applyBorder="1"/>
    <xf numFmtId="0" fontId="1" fillId="0" borderId="32" xfId="0" applyFont="1" applyBorder="1"/>
    <xf numFmtId="0" fontId="40" fillId="2" borderId="116" xfId="0" applyFont="1" applyFill="1" applyBorder="1" applyAlignment="1" applyProtection="1">
      <alignment horizontal="right"/>
      <protection hidden="1"/>
    </xf>
    <xf numFmtId="0" fontId="9" fillId="5" borderId="0" xfId="0" applyFont="1" applyFill="1" applyBorder="1" applyAlignment="1" applyProtection="1">
      <alignment vertical="center"/>
      <protection locked="0" hidden="1"/>
    </xf>
    <xf numFmtId="0" fontId="9" fillId="5" borderId="0" xfId="0" applyFont="1" applyFill="1" applyBorder="1" applyAlignment="1" applyProtection="1">
      <alignment horizontal="left" vertical="center"/>
      <protection locked="0" hidden="1"/>
    </xf>
    <xf numFmtId="0" fontId="9" fillId="5" borderId="0" xfId="0" applyFont="1" applyFill="1" applyBorder="1" applyAlignment="1" applyProtection="1">
      <alignment vertical="center"/>
      <protection hidden="1"/>
    </xf>
    <xf numFmtId="0" fontId="9" fillId="4" borderId="1" xfId="0" applyFont="1" applyFill="1" applyBorder="1" applyAlignment="1" applyProtection="1">
      <alignment vertical="center"/>
      <protection locked="0"/>
    </xf>
    <xf numFmtId="0" fontId="41" fillId="2" borderId="0" xfId="0" applyFont="1" applyFill="1" applyProtection="1">
      <protection hidden="1"/>
    </xf>
    <xf numFmtId="0" fontId="41" fillId="2" borderId="15" xfId="0" applyFont="1" applyFill="1" applyBorder="1" applyProtection="1">
      <protection hidden="1"/>
    </xf>
    <xf numFmtId="0" fontId="41" fillId="2" borderId="61" xfId="0" applyFont="1" applyFill="1" applyBorder="1" applyProtection="1">
      <protection hidden="1"/>
    </xf>
    <xf numFmtId="0" fontId="41" fillId="2" borderId="16" xfId="0" applyFont="1" applyFill="1" applyBorder="1" applyProtection="1">
      <protection hidden="1"/>
    </xf>
    <xf numFmtId="0" fontId="41" fillId="2" borderId="17" xfId="0" applyFont="1" applyFill="1" applyBorder="1" applyProtection="1">
      <protection hidden="1"/>
    </xf>
    <xf numFmtId="0" fontId="41" fillId="2" borderId="18" xfId="0" applyFont="1" applyFill="1" applyBorder="1" applyProtection="1">
      <protection hidden="1"/>
    </xf>
    <xf numFmtId="0" fontId="41" fillId="2" borderId="19" xfId="0" applyFont="1" applyFill="1" applyBorder="1" applyProtection="1">
      <protection hidden="1"/>
    </xf>
    <xf numFmtId="0" fontId="41" fillId="2" borderId="56" xfId="0" applyFont="1" applyFill="1" applyBorder="1" applyProtection="1">
      <protection hidden="1"/>
    </xf>
    <xf numFmtId="0" fontId="41" fillId="2" borderId="14" xfId="0" applyFont="1" applyFill="1" applyBorder="1" applyProtection="1">
      <protection hidden="1"/>
    </xf>
    <xf numFmtId="0" fontId="25" fillId="2" borderId="0" xfId="0" applyFont="1" applyFill="1" applyProtection="1">
      <protection hidden="1"/>
    </xf>
    <xf numFmtId="0" fontId="42" fillId="2" borderId="61" xfId="0" applyFont="1" applyFill="1" applyBorder="1" applyProtection="1">
      <protection hidden="1"/>
    </xf>
    <xf numFmtId="0" fontId="43" fillId="2" borderId="61" xfId="0" applyFont="1" applyFill="1" applyBorder="1" applyProtection="1">
      <protection hidden="1"/>
    </xf>
    <xf numFmtId="0" fontId="43" fillId="2" borderId="56" xfId="0" applyFont="1" applyFill="1" applyBorder="1" applyAlignment="1" applyProtection="1">
      <alignment horizontal="right"/>
      <protection hidden="1"/>
    </xf>
    <xf numFmtId="0" fontId="41" fillId="2" borderId="0" xfId="0" applyFont="1" applyFill="1" applyBorder="1" applyProtection="1">
      <protection hidden="1"/>
    </xf>
    <xf numFmtId="0" fontId="43" fillId="2" borderId="0" xfId="0" applyFont="1" applyFill="1" applyBorder="1" applyProtection="1">
      <protection hidden="1"/>
    </xf>
    <xf numFmtId="49" fontId="41" fillId="2" borderId="0" xfId="0" applyNumberFormat="1" applyFont="1" applyFill="1" applyBorder="1" applyProtection="1">
      <protection hidden="1"/>
    </xf>
    <xf numFmtId="0" fontId="42" fillId="2" borderId="0" xfId="0" applyFont="1" applyFill="1" applyBorder="1" applyProtection="1">
      <protection hidden="1"/>
    </xf>
    <xf numFmtId="0" fontId="41" fillId="2" borderId="0" xfId="0" applyFont="1" applyFill="1" applyBorder="1" applyAlignment="1" applyProtection="1">
      <alignment horizontal="right"/>
      <protection hidden="1"/>
    </xf>
    <xf numFmtId="1" fontId="41" fillId="2" borderId="0" xfId="0" applyNumberFormat="1" applyFont="1" applyFill="1" applyBorder="1" applyAlignment="1" applyProtection="1">
      <alignment horizontal="left"/>
      <protection hidden="1"/>
    </xf>
    <xf numFmtId="0" fontId="41" fillId="2" borderId="0" xfId="0" applyFont="1" applyFill="1" applyBorder="1" applyAlignment="1" applyProtection="1">
      <alignment horizontal="left"/>
      <protection hidden="1"/>
    </xf>
    <xf numFmtId="0" fontId="42" fillId="2" borderId="0" xfId="0" applyFont="1" applyFill="1" applyProtection="1">
      <protection hidden="1"/>
    </xf>
    <xf numFmtId="0" fontId="13" fillId="2" borderId="0" xfId="2" applyFill="1" applyProtection="1">
      <protection hidden="1"/>
    </xf>
    <xf numFmtId="0" fontId="9" fillId="2" borderId="61" xfId="0" applyFont="1" applyFill="1" applyBorder="1" applyAlignment="1" applyProtection="1">
      <alignment vertical="center" wrapText="1"/>
      <protection hidden="1"/>
    </xf>
    <xf numFmtId="0" fontId="9" fillId="2" borderId="16" xfId="0" applyFont="1" applyFill="1" applyBorder="1" applyAlignment="1" applyProtection="1">
      <alignment vertical="center" wrapText="1"/>
      <protection hidden="1"/>
    </xf>
    <xf numFmtId="0" fontId="9" fillId="2" borderId="0" xfId="0" applyFont="1" applyFill="1" applyBorder="1" applyAlignment="1" applyProtection="1">
      <alignment vertical="center" wrapText="1"/>
      <protection hidden="1"/>
    </xf>
    <xf numFmtId="0" fontId="9" fillId="2" borderId="18" xfId="0" applyFont="1" applyFill="1" applyBorder="1" applyAlignment="1" applyProtection="1">
      <alignment vertical="center" wrapText="1"/>
      <protection hidden="1"/>
    </xf>
    <xf numFmtId="0" fontId="9" fillId="2" borderId="19" xfId="0" applyFont="1" applyFill="1" applyBorder="1" applyAlignment="1" applyProtection="1">
      <alignment vertical="center" wrapText="1"/>
      <protection hidden="1"/>
    </xf>
    <xf numFmtId="0" fontId="9" fillId="2" borderId="74" xfId="0" applyFont="1" applyFill="1" applyBorder="1" applyAlignment="1" applyProtection="1">
      <alignment vertical="center" wrapText="1"/>
      <protection hidden="1"/>
    </xf>
    <xf numFmtId="0" fontId="9" fillId="2" borderId="134" xfId="0" applyFont="1" applyFill="1" applyBorder="1" applyProtection="1">
      <protection hidden="1"/>
    </xf>
    <xf numFmtId="0" fontId="11" fillId="2" borderId="0" xfId="0" applyFont="1" applyFill="1" applyProtection="1">
      <protection hidden="1"/>
    </xf>
    <xf numFmtId="0" fontId="5" fillId="0" borderId="0" xfId="0" applyFont="1" applyAlignment="1">
      <alignment horizontal="center"/>
    </xf>
    <xf numFmtId="0" fontId="9" fillId="0" borderId="135"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44" fillId="2" borderId="0" xfId="0" applyFont="1" applyFill="1" applyBorder="1" applyAlignment="1" applyProtection="1">
      <alignment vertical="top"/>
      <protection hidden="1"/>
    </xf>
    <xf numFmtId="0" fontId="1" fillId="2" borderId="83" xfId="0" applyFont="1" applyFill="1" applyBorder="1" applyProtection="1">
      <protection hidden="1"/>
    </xf>
    <xf numFmtId="0" fontId="1" fillId="2" borderId="54" xfId="0" applyFont="1" applyFill="1" applyBorder="1" applyProtection="1">
      <protection hidden="1"/>
    </xf>
    <xf numFmtId="0" fontId="4" fillId="2" borderId="84" xfId="0" applyFont="1" applyFill="1" applyBorder="1" applyAlignment="1" applyProtection="1">
      <alignment horizontal="right"/>
      <protection hidden="1"/>
    </xf>
    <xf numFmtId="0" fontId="1" fillId="2" borderId="0" xfId="0" applyFont="1" applyFill="1" applyBorder="1" applyAlignment="1" applyProtection="1">
      <alignment wrapText="1"/>
      <protection hidden="1"/>
    </xf>
    <xf numFmtId="0" fontId="3" fillId="2" borderId="14" xfId="0" applyFont="1" applyFill="1" applyBorder="1" applyAlignment="1" applyProtection="1">
      <alignment horizontal="right"/>
      <protection hidden="1"/>
    </xf>
    <xf numFmtId="0" fontId="9" fillId="2" borderId="112" xfId="0" applyFont="1" applyFill="1" applyBorder="1" applyAlignment="1" applyProtection="1">
      <alignment horizontal="left"/>
      <protection locked="0" hidden="1"/>
    </xf>
    <xf numFmtId="0" fontId="1" fillId="0" borderId="3" xfId="0" applyFont="1" applyBorder="1" applyAlignment="1">
      <alignment wrapText="1"/>
    </xf>
    <xf numFmtId="0" fontId="1" fillId="0" borderId="1" xfId="0" applyFont="1" applyBorder="1" applyAlignment="1">
      <alignment wrapText="1"/>
    </xf>
    <xf numFmtId="0" fontId="9"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9" fillId="2" borderId="18" xfId="0" applyFont="1" applyFill="1" applyBorder="1" applyAlignment="1" applyProtection="1">
      <alignment horizontal="center"/>
      <protection hidden="1"/>
    </xf>
    <xf numFmtId="0" fontId="38" fillId="2" borderId="0" xfId="0" applyFont="1" applyFill="1" applyBorder="1" applyProtection="1">
      <protection hidden="1"/>
    </xf>
    <xf numFmtId="0" fontId="1" fillId="2" borderId="14" xfId="0" applyFont="1" applyFill="1" applyBorder="1" applyAlignment="1" applyProtection="1">
      <alignment horizontal="right"/>
      <protection hidden="1"/>
    </xf>
    <xf numFmtId="0" fontId="45" fillId="7" borderId="15" xfId="0" applyFont="1" applyFill="1" applyBorder="1" applyProtection="1">
      <protection hidden="1"/>
    </xf>
    <xf numFmtId="0" fontId="45" fillId="7" borderId="61" xfId="0" applyFont="1" applyFill="1" applyBorder="1" applyProtection="1">
      <protection hidden="1"/>
    </xf>
    <xf numFmtId="0" fontId="45" fillId="7" borderId="16" xfId="0" applyFont="1" applyFill="1" applyBorder="1" applyProtection="1">
      <protection hidden="1"/>
    </xf>
    <xf numFmtId="0" fontId="45" fillId="7" borderId="136" xfId="0" applyFont="1" applyFill="1" applyBorder="1" applyProtection="1">
      <protection hidden="1"/>
    </xf>
    <xf numFmtId="0" fontId="45" fillId="7" borderId="35" xfId="0" applyFont="1" applyFill="1" applyBorder="1" applyProtection="1">
      <protection hidden="1"/>
    </xf>
    <xf numFmtId="0" fontId="45" fillId="7" borderId="137" xfId="0" applyFont="1" applyFill="1" applyBorder="1" applyProtection="1">
      <protection hidden="1"/>
    </xf>
    <xf numFmtId="0" fontId="3" fillId="6" borderId="138" xfId="0" applyFont="1" applyFill="1" applyBorder="1"/>
    <xf numFmtId="0" fontId="5" fillId="6" borderId="139" xfId="0" applyFont="1" applyFill="1" applyBorder="1"/>
    <xf numFmtId="0" fontId="5" fillId="6" borderId="140" xfId="0" applyFont="1" applyFill="1" applyBorder="1"/>
    <xf numFmtId="0" fontId="5" fillId="6" borderId="141" xfId="0" applyFont="1" applyFill="1" applyBorder="1"/>
    <xf numFmtId="0" fontId="1" fillId="0" borderId="2" xfId="0" applyFont="1" applyBorder="1" applyAlignment="1">
      <alignment vertical="top" wrapText="1"/>
    </xf>
    <xf numFmtId="0" fontId="1" fillId="0" borderId="3" xfId="0" applyFont="1" applyBorder="1" applyAlignment="1">
      <alignment vertical="top" wrapText="1"/>
    </xf>
    <xf numFmtId="0" fontId="1" fillId="0" borderId="24" xfId="0" applyFont="1" applyBorder="1"/>
    <xf numFmtId="0" fontId="1" fillId="0" borderId="0" xfId="0" applyFont="1" applyFill="1" applyBorder="1"/>
    <xf numFmtId="0" fontId="1" fillId="0" borderId="27" xfId="0" applyFont="1" applyBorder="1" applyAlignment="1"/>
    <xf numFmtId="0" fontId="1" fillId="0" borderId="28" xfId="0" applyFont="1" applyBorder="1"/>
    <xf numFmtId="0" fontId="1" fillId="0" borderId="11" xfId="0" applyFont="1" applyBorder="1"/>
    <xf numFmtId="0" fontId="1" fillId="0" borderId="12" xfId="0" applyFont="1" applyBorder="1"/>
    <xf numFmtId="0" fontId="1" fillId="0" borderId="13" xfId="0" applyFont="1" applyBorder="1"/>
    <xf numFmtId="0" fontId="1" fillId="0" borderId="27" xfId="0" applyFont="1" applyBorder="1" applyAlignment="1">
      <alignment horizontal="center"/>
    </xf>
    <xf numFmtId="0" fontId="1" fillId="0" borderId="49" xfId="0" quotePrefix="1" applyFont="1" applyBorder="1"/>
    <xf numFmtId="0" fontId="1" fillId="0" borderId="0" xfId="0" applyFont="1" applyFill="1" applyBorder="1" applyAlignment="1">
      <alignment horizontal="left"/>
    </xf>
    <xf numFmtId="0" fontId="1" fillId="0" borderId="24" xfId="0" applyFont="1" applyBorder="1" applyAlignment="1"/>
    <xf numFmtId="0" fontId="1" fillId="0" borderId="22" xfId="0" applyFont="1" applyBorder="1"/>
    <xf numFmtId="0" fontId="1" fillId="0" borderId="6" xfId="0" applyFont="1" applyBorder="1"/>
    <xf numFmtId="0" fontId="1" fillId="0" borderId="7" xfId="0" applyFont="1" applyBorder="1"/>
    <xf numFmtId="0" fontId="1" fillId="0" borderId="0" xfId="0" applyFont="1" applyFill="1" applyBorder="1" applyAlignment="1"/>
    <xf numFmtId="0" fontId="1" fillId="0" borderId="25" xfId="0" applyFont="1" applyBorder="1" applyAlignment="1"/>
    <xf numFmtId="0" fontId="1" fillId="0" borderId="26" xfId="0" applyFont="1" applyBorder="1"/>
    <xf numFmtId="0" fontId="1" fillId="0" borderId="5" xfId="0" applyFont="1" applyBorder="1"/>
    <xf numFmtId="0" fontId="1" fillId="0" borderId="7" xfId="0" applyFont="1" applyBorder="1" applyAlignment="1">
      <alignment horizontal="center"/>
    </xf>
    <xf numFmtId="0" fontId="1" fillId="0" borderId="27" xfId="0" quotePrefix="1" applyFont="1" applyFill="1" applyBorder="1" applyAlignment="1">
      <alignment horizontal="center"/>
    </xf>
    <xf numFmtId="0" fontId="1" fillId="0" borderId="52" xfId="0" applyFont="1" applyBorder="1"/>
    <xf numFmtId="0" fontId="1" fillId="0" borderId="20" xfId="0" applyFont="1" applyBorder="1"/>
    <xf numFmtId="0" fontId="1" fillId="0" borderId="3" xfId="0" applyFont="1" applyBorder="1" applyAlignment="1">
      <alignment horizontal="center"/>
    </xf>
    <xf numFmtId="0" fontId="1" fillId="0" borderId="34" xfId="0" applyFont="1" applyBorder="1"/>
    <xf numFmtId="0" fontId="1" fillId="0" borderId="71" xfId="0" applyFont="1" applyBorder="1" applyAlignment="1">
      <alignment horizontal="center"/>
    </xf>
    <xf numFmtId="0" fontId="1" fillId="0" borderId="32" xfId="0" applyFont="1" applyBorder="1" applyAlignment="1">
      <alignment horizontal="center"/>
    </xf>
    <xf numFmtId="0" fontId="1" fillId="0" borderId="36" xfId="0" applyFont="1" applyBorder="1"/>
    <xf numFmtId="0" fontId="1" fillId="0" borderId="25" xfId="0" applyFont="1" applyBorder="1" applyAlignment="1">
      <alignment horizontal="left"/>
    </xf>
    <xf numFmtId="0" fontId="1" fillId="0" borderId="31" xfId="0" applyFont="1" applyBorder="1"/>
    <xf numFmtId="0" fontId="1" fillId="0" borderId="109" xfId="0" applyFont="1" applyBorder="1"/>
    <xf numFmtId="0" fontId="1" fillId="0" borderId="73" xfId="0" applyFont="1" applyBorder="1"/>
    <xf numFmtId="0" fontId="1" fillId="0" borderId="71" xfId="0" applyFont="1" applyBorder="1"/>
    <xf numFmtId="0" fontId="1" fillId="0" borderId="2" xfId="0" applyFont="1" applyFill="1" applyBorder="1"/>
    <xf numFmtId="0" fontId="1" fillId="0" borderId="1" xfId="0" applyFont="1" applyFill="1" applyBorder="1"/>
    <xf numFmtId="0" fontId="1" fillId="0" borderId="33" xfId="0" applyFont="1" applyFill="1" applyBorder="1"/>
    <xf numFmtId="0" fontId="1" fillId="0" borderId="31" xfId="0" quotePrefix="1" applyFont="1" applyBorder="1"/>
    <xf numFmtId="0" fontId="1" fillId="0" borderId="50" xfId="0" applyFont="1" applyBorder="1"/>
    <xf numFmtId="0" fontId="1" fillId="0" borderId="31" xfId="0" applyFont="1" applyFill="1" applyBorder="1"/>
    <xf numFmtId="0" fontId="1" fillId="0" borderId="50" xfId="0" applyFont="1" applyFill="1" applyBorder="1"/>
    <xf numFmtId="0" fontId="1" fillId="0" borderId="3" xfId="0" quotePrefix="1" applyFont="1" applyBorder="1"/>
    <xf numFmtId="0" fontId="1" fillId="6" borderId="23" xfId="0" applyFont="1" applyFill="1" applyBorder="1"/>
    <xf numFmtId="0" fontId="1" fillId="6" borderId="39" xfId="0" applyFont="1" applyFill="1" applyBorder="1" applyAlignment="1">
      <alignment horizontal="center"/>
    </xf>
    <xf numFmtId="0" fontId="1" fillId="6" borderId="5" xfId="0" applyFont="1" applyFill="1" applyBorder="1"/>
    <xf numFmtId="0" fontId="1" fillId="6" borderId="7" xfId="0" applyFont="1" applyFill="1" applyBorder="1"/>
    <xf numFmtId="0" fontId="1" fillId="6" borderId="3" xfId="0" applyFont="1" applyFill="1" applyBorder="1" applyAlignment="1">
      <alignment horizontal="center"/>
    </xf>
    <xf numFmtId="0" fontId="1" fillId="0" borderId="27" xfId="0" applyFont="1" applyBorder="1" applyAlignment="1">
      <alignment horizontal="left"/>
    </xf>
    <xf numFmtId="0" fontId="1" fillId="0" borderId="52" xfId="0" quotePrefix="1" applyFont="1" applyBorder="1" applyAlignment="1">
      <alignment horizontal="left"/>
    </xf>
    <xf numFmtId="0" fontId="1" fillId="6" borderId="3" xfId="0" applyFont="1" applyFill="1" applyBorder="1"/>
    <xf numFmtId="0" fontId="1" fillId="6" borderId="77" xfId="0" applyFont="1" applyFill="1" applyBorder="1" applyAlignment="1">
      <alignment horizontal="center"/>
    </xf>
    <xf numFmtId="0" fontId="1" fillId="6" borderId="22" xfId="0" applyFont="1" applyFill="1" applyBorder="1" applyAlignment="1">
      <alignment horizontal="center"/>
    </xf>
    <xf numFmtId="0" fontId="1" fillId="0" borderId="25" xfId="0" applyFont="1" applyBorder="1"/>
    <xf numFmtId="0" fontId="1" fillId="6" borderId="78" xfId="0" applyFont="1" applyFill="1" applyBorder="1" applyAlignment="1">
      <alignment horizontal="center"/>
    </xf>
    <xf numFmtId="0" fontId="1" fillId="6" borderId="73" xfId="0" applyFont="1" applyFill="1" applyBorder="1" applyAlignment="1">
      <alignment horizontal="center"/>
    </xf>
    <xf numFmtId="0" fontId="1" fillId="6" borderId="81" xfId="0" applyFont="1" applyFill="1" applyBorder="1" applyAlignment="1">
      <alignment horizontal="center"/>
    </xf>
    <xf numFmtId="0" fontId="1" fillId="0" borderId="42" xfId="0" applyFont="1" applyBorder="1"/>
    <xf numFmtId="0" fontId="1" fillId="0" borderId="38" xfId="0" applyFont="1" applyBorder="1" applyAlignment="1">
      <alignment horizontal="center" vertical="center"/>
    </xf>
    <xf numFmtId="0" fontId="1" fillId="0" borderId="33" xfId="0" applyFont="1" applyBorder="1"/>
    <xf numFmtId="0" fontId="1" fillId="0" borderId="27" xfId="0" applyFont="1" applyFill="1" applyBorder="1"/>
    <xf numFmtId="0" fontId="1" fillId="6" borderId="59" xfId="0" applyFont="1" applyFill="1" applyBorder="1" applyAlignment="1">
      <alignment horizontal="center"/>
    </xf>
    <xf numFmtId="0" fontId="1" fillId="0" borderId="0" xfId="0" applyFont="1" applyAlignment="1">
      <alignment horizontal="center"/>
    </xf>
    <xf numFmtId="0" fontId="1" fillId="6" borderId="97" xfId="0" applyFont="1" applyFill="1" applyBorder="1" applyAlignment="1">
      <alignment horizontal="center"/>
    </xf>
    <xf numFmtId="0" fontId="1" fillId="6" borderId="6" xfId="0" applyFont="1" applyFill="1" applyBorder="1" applyAlignment="1">
      <alignment horizontal="center"/>
    </xf>
    <xf numFmtId="0" fontId="1" fillId="6" borderId="32" xfId="0" applyFont="1" applyFill="1" applyBorder="1"/>
    <xf numFmtId="0" fontId="1" fillId="0" borderId="65" xfId="0" applyFont="1" applyBorder="1"/>
    <xf numFmtId="0" fontId="1" fillId="0" borderId="66" xfId="0" applyFont="1" applyBorder="1"/>
    <xf numFmtId="0" fontId="1" fillId="0" borderId="47" xfId="0" applyFont="1" applyBorder="1"/>
    <xf numFmtId="0" fontId="1" fillId="0" borderId="46" xfId="0" applyFont="1" applyBorder="1"/>
    <xf numFmtId="0" fontId="1" fillId="0" borderId="70" xfId="0" applyFont="1" applyBorder="1"/>
    <xf numFmtId="0" fontId="1" fillId="0" borderId="67" xfId="0" applyFont="1" applyBorder="1"/>
    <xf numFmtId="0" fontId="1" fillId="0" borderId="51" xfId="0" applyFont="1" applyBorder="1"/>
    <xf numFmtId="0" fontId="1" fillId="0" borderId="125" xfId="0" applyFont="1" applyBorder="1"/>
    <xf numFmtId="0" fontId="1" fillId="0" borderId="101" xfId="0" applyFont="1" applyBorder="1" applyAlignment="1">
      <alignment horizontal="center"/>
    </xf>
    <xf numFmtId="0" fontId="1" fillId="0" borderId="66" xfId="0" applyFont="1" applyBorder="1" applyAlignment="1">
      <alignment horizontal="center"/>
    </xf>
    <xf numFmtId="0" fontId="1" fillId="0" borderId="104" xfId="0" applyFont="1" applyBorder="1" applyAlignment="1">
      <alignment horizontal="center"/>
    </xf>
    <xf numFmtId="0" fontId="1" fillId="0" borderId="48" xfId="0" applyFont="1" applyBorder="1"/>
    <xf numFmtId="0" fontId="1" fillId="0" borderId="102" xfId="0" applyFont="1" applyBorder="1" applyAlignment="1">
      <alignment horizontal="center"/>
    </xf>
    <xf numFmtId="0" fontId="1" fillId="0" borderId="51" xfId="0" applyFont="1" applyBorder="1" applyAlignment="1">
      <alignment horizontal="center"/>
    </xf>
    <xf numFmtId="0" fontId="1" fillId="0" borderId="105" xfId="0" applyFont="1" applyBorder="1" applyAlignment="1">
      <alignment horizontal="center"/>
    </xf>
    <xf numFmtId="0" fontId="1" fillId="6" borderId="140" xfId="0" applyFont="1" applyFill="1" applyBorder="1"/>
    <xf numFmtId="0" fontId="1" fillId="6" borderId="141" xfId="0" applyFont="1" applyFill="1" applyBorder="1"/>
    <xf numFmtId="0" fontId="1" fillId="6" borderId="139" xfId="0" applyFont="1" applyFill="1" applyBorder="1"/>
    <xf numFmtId="0" fontId="1" fillId="0" borderId="103" xfId="0" applyFont="1" applyBorder="1" applyAlignment="1">
      <alignment horizontal="center"/>
    </xf>
    <xf numFmtId="0" fontId="1" fillId="0" borderId="69" xfId="0" applyFont="1" applyBorder="1" applyAlignment="1">
      <alignment horizontal="center"/>
    </xf>
    <xf numFmtId="0" fontId="1" fillId="0" borderId="106" xfId="0" applyFont="1" applyBorder="1" applyAlignment="1">
      <alignment horizontal="center"/>
    </xf>
    <xf numFmtId="0" fontId="1" fillId="0" borderId="23" xfId="0" applyFont="1" applyBorder="1" applyAlignment="1">
      <alignment horizontal="left"/>
    </xf>
    <xf numFmtId="0" fontId="1" fillId="0" borderId="2" xfId="0" applyFont="1" applyBorder="1" applyAlignment="1">
      <alignment horizontal="left"/>
    </xf>
    <xf numFmtId="164" fontId="1" fillId="0" borderId="0" xfId="0" applyNumberFormat="1" applyFont="1"/>
    <xf numFmtId="0" fontId="1" fillId="0" borderId="24" xfId="0" applyFont="1" applyBorder="1" applyAlignment="1">
      <alignment wrapText="1"/>
    </xf>
    <xf numFmtId="0" fontId="1" fillId="0" borderId="31" xfId="0" applyFont="1" applyBorder="1" applyAlignment="1">
      <alignment horizontal="left"/>
    </xf>
    <xf numFmtId="0" fontId="1" fillId="2" borderId="56" xfId="0" applyFont="1" applyFill="1" applyBorder="1" applyAlignment="1" applyProtection="1">
      <protection hidden="1"/>
    </xf>
    <xf numFmtId="0" fontId="1" fillId="2" borderId="56" xfId="0" applyFont="1" applyFill="1" applyBorder="1" applyAlignment="1" applyProtection="1">
      <protection locked="0"/>
    </xf>
    <xf numFmtId="0" fontId="41" fillId="2" borderId="0" xfId="0" applyFont="1" applyFill="1" applyBorder="1" applyAlignment="1" applyProtection="1">
      <alignment horizontal="left" vertical="top" wrapText="1"/>
      <protection hidden="1"/>
    </xf>
    <xf numFmtId="0" fontId="11" fillId="3" borderId="37" xfId="0" applyFont="1" applyFill="1" applyBorder="1" applyAlignment="1">
      <alignment horizontal="left"/>
    </xf>
    <xf numFmtId="0" fontId="11" fillId="3" borderId="42" xfId="0" applyFont="1" applyFill="1" applyBorder="1" applyAlignment="1">
      <alignment horizontal="left"/>
    </xf>
    <xf numFmtId="0" fontId="11" fillId="3" borderId="38" xfId="0" applyFont="1" applyFill="1" applyBorder="1" applyAlignment="1">
      <alignment horizontal="left"/>
    </xf>
    <xf numFmtId="0" fontId="5" fillId="0" borderId="98" xfId="0" applyFont="1" applyFill="1" applyBorder="1" applyAlignment="1">
      <alignment horizontal="center"/>
    </xf>
    <xf numFmtId="0" fontId="3" fillId="6" borderId="94" xfId="0" applyFont="1" applyFill="1" applyBorder="1" applyAlignment="1">
      <alignment horizontal="center" vertical="center"/>
    </xf>
    <xf numFmtId="0" fontId="3" fillId="6" borderId="96" xfId="0" applyFont="1" applyFill="1" applyBorder="1" applyAlignment="1">
      <alignment horizontal="center" vertical="center"/>
    </xf>
    <xf numFmtId="0" fontId="3" fillId="3" borderId="107" xfId="0" applyFont="1" applyFill="1" applyBorder="1" applyAlignment="1">
      <alignment horizontal="left"/>
    </xf>
    <xf numFmtId="0" fontId="3" fillId="3" borderId="108" xfId="0" applyFont="1" applyFill="1" applyBorder="1" applyAlignment="1">
      <alignment horizontal="left"/>
    </xf>
    <xf numFmtId="0" fontId="3" fillId="3" borderId="37" xfId="0" applyFont="1" applyFill="1" applyBorder="1" applyAlignment="1">
      <alignment horizontal="left"/>
    </xf>
    <xf numFmtId="0" fontId="3" fillId="3" borderId="38" xfId="0" applyFont="1" applyFill="1" applyBorder="1" applyAlignment="1">
      <alignment horizontal="left"/>
    </xf>
    <xf numFmtId="0" fontId="9" fillId="0" borderId="43" xfId="0" applyFont="1" applyFill="1" applyBorder="1" applyAlignment="1" applyProtection="1">
      <alignment horizontal="left"/>
      <protection locked="0"/>
    </xf>
    <xf numFmtId="0" fontId="9" fillId="0" borderId="44" xfId="0" applyFont="1" applyFill="1" applyBorder="1" applyAlignment="1" applyProtection="1">
      <alignment horizontal="left"/>
      <protection locked="0"/>
    </xf>
    <xf numFmtId="0" fontId="9" fillId="0" borderId="45" xfId="0" applyFont="1" applyFill="1" applyBorder="1" applyAlignment="1" applyProtection="1">
      <alignment horizontal="left"/>
      <protection locked="0"/>
    </xf>
    <xf numFmtId="0" fontId="9" fillId="0" borderId="48" xfId="0" applyFont="1" applyFill="1" applyBorder="1" applyAlignment="1" applyProtection="1">
      <alignment horizontal="left"/>
      <protection locked="0" hidden="1"/>
    </xf>
    <xf numFmtId="0" fontId="9" fillId="0" borderId="20" xfId="0" applyFont="1" applyFill="1" applyBorder="1" applyAlignment="1" applyProtection="1">
      <alignment horizontal="left"/>
      <protection locked="0" hidden="1"/>
    </xf>
    <xf numFmtId="0" fontId="9" fillId="0" borderId="48" xfId="0" applyFont="1" applyFill="1" applyBorder="1" applyAlignment="1" applyProtection="1">
      <alignment horizontal="left" vertical="center" shrinkToFit="1"/>
      <protection locked="0" hidden="1"/>
    </xf>
    <xf numFmtId="0" fontId="9" fillId="0" borderId="51" xfId="0" applyFont="1" applyFill="1" applyBorder="1" applyAlignment="1" applyProtection="1">
      <alignment horizontal="left" vertical="center" shrinkToFit="1"/>
      <protection locked="0" hidden="1"/>
    </xf>
    <xf numFmtId="0" fontId="9" fillId="0" borderId="20" xfId="0" applyFont="1" applyFill="1" applyBorder="1" applyAlignment="1" applyProtection="1">
      <alignment horizontal="left" vertical="center" shrinkToFit="1"/>
      <protection locked="0" hidden="1"/>
    </xf>
    <xf numFmtId="0" fontId="23" fillId="2" borderId="0" xfId="0" applyFont="1" applyFill="1" applyBorder="1" applyAlignment="1" applyProtection="1">
      <alignment horizontal="left" vertical="top" wrapText="1"/>
      <protection hidden="1"/>
    </xf>
    <xf numFmtId="0" fontId="9" fillId="4" borderId="43" xfId="0" applyFont="1" applyFill="1" applyBorder="1" applyAlignment="1" applyProtection="1">
      <alignment horizontal="left" vertical="top"/>
      <protection locked="0"/>
    </xf>
    <xf numFmtId="0" fontId="9" fillId="4" borderId="44" xfId="0" applyFont="1" applyFill="1" applyBorder="1" applyAlignment="1" applyProtection="1">
      <alignment horizontal="left" vertical="top"/>
      <protection locked="0"/>
    </xf>
    <xf numFmtId="0" fontId="9" fillId="4" borderId="45" xfId="0" applyFont="1" applyFill="1" applyBorder="1" applyAlignment="1" applyProtection="1">
      <alignment horizontal="left" vertical="top"/>
      <protection locked="0"/>
    </xf>
    <xf numFmtId="0" fontId="9" fillId="2" borderId="126" xfId="0" applyFont="1" applyFill="1" applyBorder="1" applyAlignment="1" applyProtection="1">
      <alignment horizontal="center"/>
      <protection hidden="1"/>
    </xf>
    <xf numFmtId="0" fontId="9" fillId="2" borderId="127" xfId="0" applyFont="1" applyFill="1" applyBorder="1" applyAlignment="1" applyProtection="1">
      <alignment horizontal="center"/>
      <protection hidden="1"/>
    </xf>
    <xf numFmtId="0" fontId="9" fillId="2" borderId="128" xfId="0" applyFont="1" applyFill="1" applyBorder="1" applyAlignment="1" applyProtection="1">
      <alignment horizontal="center"/>
      <protection hidden="1"/>
    </xf>
    <xf numFmtId="0" fontId="36" fillId="2" borderId="61" xfId="0" applyFont="1" applyFill="1" applyBorder="1" applyAlignment="1" applyProtection="1">
      <alignment horizontal="left" vertical="center"/>
      <protection hidden="1"/>
    </xf>
    <xf numFmtId="0" fontId="36" fillId="2" borderId="118" xfId="0" applyFont="1" applyFill="1" applyBorder="1" applyAlignment="1" applyProtection="1">
      <alignment horizontal="left" vertical="center"/>
      <protection hidden="1"/>
    </xf>
    <xf numFmtId="0" fontId="35" fillId="4" borderId="15" xfId="0" applyFont="1" applyFill="1" applyBorder="1" applyAlignment="1" applyProtection="1">
      <alignment horizontal="center" vertical="center"/>
      <protection locked="0"/>
    </xf>
    <xf numFmtId="0" fontId="35" fillId="4" borderId="61" xfId="0" applyFont="1" applyFill="1" applyBorder="1" applyAlignment="1" applyProtection="1">
      <alignment horizontal="center" vertical="center"/>
      <protection locked="0"/>
    </xf>
    <xf numFmtId="0" fontId="35" fillId="4" borderId="16" xfId="0" applyFont="1" applyFill="1" applyBorder="1" applyAlignment="1" applyProtection="1">
      <alignment horizontal="center" vertical="center"/>
      <protection locked="0"/>
    </xf>
    <xf numFmtId="0" fontId="35" fillId="4" borderId="17" xfId="0" applyFont="1" applyFill="1" applyBorder="1" applyAlignment="1" applyProtection="1">
      <alignment horizontal="center" vertical="center"/>
      <protection locked="0"/>
    </xf>
    <xf numFmtId="0" fontId="35" fillId="4" borderId="18" xfId="0" applyFont="1" applyFill="1" applyBorder="1" applyAlignment="1" applyProtection="1">
      <alignment horizontal="center" vertical="center"/>
      <protection locked="0"/>
    </xf>
    <xf numFmtId="0" fontId="35" fillId="4" borderId="19" xfId="0" applyFont="1" applyFill="1" applyBorder="1" applyAlignment="1" applyProtection="1">
      <alignment horizontal="center" vertical="center"/>
      <protection locked="0"/>
    </xf>
    <xf numFmtId="0" fontId="25" fillId="2" borderId="113" xfId="0" applyFont="1" applyFill="1" applyBorder="1" applyAlignment="1" applyProtection="1">
      <alignment horizontal="left" vertical="center"/>
      <protection hidden="1"/>
    </xf>
    <xf numFmtId="0" fontId="25" fillId="2" borderId="0" xfId="0" applyFont="1" applyFill="1" applyBorder="1" applyAlignment="1" applyProtection="1">
      <alignment horizontal="left" vertical="center"/>
      <protection hidden="1"/>
    </xf>
    <xf numFmtId="0" fontId="5" fillId="4" borderId="48" xfId="0" applyFont="1" applyFill="1" applyBorder="1" applyAlignment="1" applyProtection="1">
      <alignment horizontal="left"/>
      <protection locked="0" hidden="1"/>
    </xf>
    <xf numFmtId="0" fontId="5" fillId="4" borderId="20" xfId="0" applyFont="1" applyFill="1" applyBorder="1" applyAlignment="1" applyProtection="1">
      <alignment horizontal="left"/>
      <protection locked="0" hidden="1"/>
    </xf>
    <xf numFmtId="1" fontId="9" fillId="2" borderId="17" xfId="0" applyNumberFormat="1" applyFont="1" applyFill="1" applyBorder="1" applyAlignment="1" applyProtection="1">
      <alignment horizontal="center"/>
      <protection locked="0" hidden="1"/>
    </xf>
    <xf numFmtId="1" fontId="9" fillId="2" borderId="18" xfId="0" applyNumberFormat="1" applyFont="1" applyFill="1" applyBorder="1" applyAlignment="1" applyProtection="1">
      <alignment horizontal="center"/>
      <protection locked="0" hidden="1"/>
    </xf>
    <xf numFmtId="1" fontId="9" fillId="2" borderId="19" xfId="0" applyNumberFormat="1" applyFont="1" applyFill="1" applyBorder="1" applyAlignment="1" applyProtection="1">
      <alignment horizontal="center"/>
      <protection locked="0" hidden="1"/>
    </xf>
    <xf numFmtId="0" fontId="9" fillId="2" borderId="1" xfId="0" applyFont="1" applyFill="1" applyBorder="1" applyAlignment="1" applyProtection="1">
      <alignment horizontal="center" vertical="center"/>
      <protection locked="0"/>
    </xf>
    <xf numFmtId="0" fontId="22" fillId="2" borderId="35" xfId="0" applyFont="1" applyFill="1" applyBorder="1" applyAlignment="1" applyProtection="1">
      <alignment horizontal="center"/>
      <protection locked="0" hidden="1"/>
    </xf>
    <xf numFmtId="0" fontId="11" fillId="2" borderId="0" xfId="0" applyFont="1" applyFill="1" applyBorder="1" applyAlignment="1" applyProtection="1">
      <alignment horizontal="center" textRotation="90"/>
      <protection hidden="1"/>
    </xf>
    <xf numFmtId="0" fontId="11" fillId="2" borderId="35" xfId="0" applyFont="1" applyFill="1" applyBorder="1" applyAlignment="1" applyProtection="1">
      <alignment horizontal="center" textRotation="90"/>
      <protection hidden="1"/>
    </xf>
    <xf numFmtId="49" fontId="22" fillId="2" borderId="0" xfId="1" applyNumberFormat="1" applyFont="1" applyFill="1" applyBorder="1" applyAlignment="1" applyProtection="1">
      <alignment horizontal="center"/>
      <protection locked="0"/>
    </xf>
    <xf numFmtId="0" fontId="22" fillId="2" borderId="0" xfId="0" applyFont="1" applyFill="1" applyBorder="1" applyAlignment="1" applyProtection="1">
      <alignment horizontal="left" vertical="center"/>
      <protection locked="0" hidden="1"/>
    </xf>
    <xf numFmtId="0" fontId="9" fillId="0" borderId="73" xfId="0" applyFont="1" applyFill="1" applyBorder="1" applyAlignment="1" applyProtection="1">
      <alignment horizontal="right" vertical="center"/>
      <protection locked="0"/>
    </xf>
    <xf numFmtId="0" fontId="9" fillId="0" borderId="6" xfId="0" applyFont="1" applyFill="1" applyBorder="1" applyAlignment="1" applyProtection="1">
      <alignment horizontal="right" vertical="center"/>
      <protection locked="0"/>
    </xf>
    <xf numFmtId="0" fontId="9" fillId="0" borderId="73" xfId="0"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0" fontId="9" fillId="2" borderId="0" xfId="0" quotePrefix="1" applyFont="1" applyFill="1" applyBorder="1" applyAlignment="1" applyProtection="1">
      <alignment horizontal="center" vertical="center"/>
      <protection hidden="1"/>
    </xf>
    <xf numFmtId="0" fontId="11" fillId="6" borderId="83" xfId="0" applyFont="1" applyFill="1" applyBorder="1" applyAlignment="1" applyProtection="1">
      <alignment horizontal="center" vertical="center"/>
      <protection hidden="1"/>
    </xf>
    <xf numFmtId="0" fontId="11" fillId="6" borderId="54" xfId="0" applyFont="1" applyFill="1" applyBorder="1" applyAlignment="1" applyProtection="1">
      <alignment horizontal="center" vertical="center"/>
      <protection hidden="1"/>
    </xf>
    <xf numFmtId="0" fontId="11" fillId="6" borderId="84" xfId="0" applyFont="1" applyFill="1" applyBorder="1" applyAlignment="1" applyProtection="1">
      <alignment horizontal="center" vertical="center"/>
      <protection hidden="1"/>
    </xf>
    <xf numFmtId="0" fontId="9" fillId="0" borderId="48" xfId="0" applyFont="1" applyFill="1" applyBorder="1" applyAlignment="1" applyProtection="1">
      <alignment horizontal="left" vertical="center" wrapText="1"/>
      <protection locked="0" hidden="1"/>
    </xf>
    <xf numFmtId="0" fontId="9" fillId="0" borderId="20" xfId="0" applyFont="1" applyFill="1" applyBorder="1" applyAlignment="1" applyProtection="1">
      <alignment horizontal="left" vertical="center" wrapText="1"/>
      <protection locked="0" hidden="1"/>
    </xf>
    <xf numFmtId="0" fontId="11" fillId="2" borderId="21" xfId="0" applyFont="1" applyFill="1" applyBorder="1" applyAlignment="1" applyProtection="1">
      <alignment horizontal="center" vertical="top" textRotation="90"/>
      <protection hidden="1"/>
    </xf>
    <xf numFmtId="0" fontId="11" fillId="2" borderId="0" xfId="0" applyFont="1" applyFill="1" applyBorder="1" applyAlignment="1" applyProtection="1">
      <alignment horizontal="center" vertical="top" textRotation="90"/>
      <protection hidden="1"/>
    </xf>
    <xf numFmtId="0" fontId="11" fillId="0" borderId="43" xfId="0" applyFont="1" applyFill="1" applyBorder="1" applyAlignment="1" applyProtection="1">
      <alignment horizontal="center" vertical="center"/>
      <protection locked="0" hidden="1"/>
    </xf>
    <xf numFmtId="0" fontId="11" fillId="0" borderId="44" xfId="0" applyFont="1" applyFill="1" applyBorder="1" applyAlignment="1" applyProtection="1">
      <alignment horizontal="center" vertical="center"/>
      <protection locked="0" hidden="1"/>
    </xf>
    <xf numFmtId="0" fontId="11" fillId="0" borderId="45" xfId="0" applyFont="1" applyFill="1" applyBorder="1" applyAlignment="1" applyProtection="1">
      <alignment horizontal="center" vertical="center"/>
      <protection locked="0" hidden="1"/>
    </xf>
    <xf numFmtId="0" fontId="22" fillId="2" borderId="35" xfId="0" applyFont="1" applyFill="1" applyBorder="1" applyAlignment="1" applyProtection="1">
      <alignment horizontal="center" vertical="center"/>
      <protection locked="0" hidden="1"/>
    </xf>
    <xf numFmtId="0" fontId="9" fillId="0" borderId="48" xfId="0" applyFont="1" applyFill="1" applyBorder="1" applyAlignment="1" applyProtection="1">
      <alignment horizontal="center" vertical="center" shrinkToFit="1"/>
      <protection locked="0" hidden="1"/>
    </xf>
    <xf numFmtId="0" fontId="9" fillId="0" borderId="51" xfId="0" applyFont="1" applyFill="1" applyBorder="1" applyAlignment="1" applyProtection="1">
      <alignment horizontal="center" vertical="center" shrinkToFit="1"/>
      <protection locked="0" hidden="1"/>
    </xf>
    <xf numFmtId="0" fontId="9" fillId="0" borderId="20" xfId="0" applyFont="1" applyFill="1" applyBorder="1" applyAlignment="1" applyProtection="1">
      <alignment horizontal="center" vertical="center" shrinkToFit="1"/>
      <protection locked="0" hidden="1"/>
    </xf>
    <xf numFmtId="0" fontId="9" fillId="0" borderId="43" xfId="0" applyFont="1" applyFill="1" applyBorder="1" applyAlignment="1" applyProtection="1">
      <alignment horizontal="left" vertical="center"/>
      <protection locked="0"/>
    </xf>
    <xf numFmtId="0" fontId="9" fillId="0" borderId="44" xfId="0" applyFont="1" applyFill="1" applyBorder="1" applyAlignment="1" applyProtection="1">
      <alignment horizontal="left" vertical="center"/>
      <protection locked="0"/>
    </xf>
    <xf numFmtId="0" fontId="9" fillId="0" borderId="45" xfId="0" applyFont="1" applyFill="1" applyBorder="1" applyAlignment="1" applyProtection="1">
      <alignment horizontal="left" vertical="center"/>
      <protection locked="0"/>
    </xf>
    <xf numFmtId="0" fontId="3" fillId="4" borderId="48" xfId="0" applyFont="1" applyFill="1" applyBorder="1" applyAlignment="1" applyProtection="1">
      <alignment horizontal="left" vertical="center"/>
      <protection locked="0" hidden="1"/>
    </xf>
    <xf numFmtId="0" fontId="3" fillId="4" borderId="51" xfId="0" applyFont="1" applyFill="1" applyBorder="1" applyAlignment="1" applyProtection="1">
      <alignment horizontal="left" vertical="center"/>
      <protection locked="0" hidden="1"/>
    </xf>
    <xf numFmtId="0" fontId="3" fillId="4" borderId="20" xfId="0" applyFont="1" applyFill="1" applyBorder="1" applyAlignment="1" applyProtection="1">
      <alignment horizontal="left" vertical="center"/>
      <protection locked="0" hidden="1"/>
    </xf>
    <xf numFmtId="0" fontId="9" fillId="2" borderId="0" xfId="0" applyFont="1" applyFill="1" applyBorder="1" applyAlignment="1" applyProtection="1">
      <alignment horizontal="left" vertical="center" shrinkToFit="1"/>
      <protection hidden="1"/>
    </xf>
    <xf numFmtId="0" fontId="9" fillId="2" borderId="93" xfId="0" applyFont="1" applyFill="1" applyBorder="1" applyAlignment="1" applyProtection="1">
      <alignment horizontal="left" vertical="center" shrinkToFit="1"/>
      <protection hidden="1"/>
    </xf>
    <xf numFmtId="0" fontId="9" fillId="2" borderId="0" xfId="0" applyFont="1" applyFill="1" applyBorder="1" applyAlignment="1" applyProtection="1">
      <alignment horizontal="center" vertical="center"/>
      <protection locked="0" hidden="1"/>
    </xf>
    <xf numFmtId="0" fontId="9" fillId="2" borderId="0" xfId="0" applyFont="1" applyFill="1" applyBorder="1" applyAlignment="1" applyProtection="1">
      <alignment horizontal="left" vertical="center"/>
      <protection hidden="1"/>
    </xf>
    <xf numFmtId="164" fontId="9" fillId="2" borderId="0" xfId="0" applyNumberFormat="1" applyFont="1" applyFill="1" applyBorder="1" applyAlignment="1" applyProtection="1">
      <alignment horizontal="left" vertical="center"/>
      <protection hidden="1"/>
    </xf>
    <xf numFmtId="0" fontId="9" fillId="2" borderId="0" xfId="0" applyFont="1" applyFill="1" applyBorder="1" applyAlignment="1" applyProtection="1">
      <alignment horizontal="center" vertical="center"/>
      <protection hidden="1"/>
    </xf>
    <xf numFmtId="0" fontId="11" fillId="0" borderId="48" xfId="0" applyFont="1" applyFill="1" applyBorder="1" applyAlignment="1" applyProtection="1">
      <alignment horizontal="center" vertical="center" shrinkToFit="1"/>
      <protection locked="0" hidden="1"/>
    </xf>
    <xf numFmtId="0" fontId="11" fillId="0" borderId="51" xfId="0" applyFont="1" applyFill="1" applyBorder="1" applyAlignment="1" applyProtection="1">
      <alignment horizontal="center" vertical="center" shrinkToFit="1"/>
      <protection locked="0" hidden="1"/>
    </xf>
    <xf numFmtId="0" fontId="11" fillId="0" borderId="20" xfId="0" applyFont="1" applyFill="1" applyBorder="1" applyAlignment="1" applyProtection="1">
      <alignment horizontal="center" vertical="center" shrinkToFit="1"/>
      <protection locked="0" hidden="1"/>
    </xf>
    <xf numFmtId="0" fontId="12" fillId="2" borderId="0" xfId="0" applyFont="1" applyFill="1" applyBorder="1" applyAlignment="1" applyProtection="1">
      <alignment horizontal="left" vertical="center"/>
      <protection hidden="1"/>
    </xf>
    <xf numFmtId="0" fontId="9" fillId="0" borderId="48" xfId="0" applyFont="1" applyFill="1" applyBorder="1" applyAlignment="1" applyProtection="1">
      <alignment horizontal="left" vertical="center"/>
      <protection locked="0" hidden="1"/>
    </xf>
    <xf numFmtId="0" fontId="9" fillId="0" borderId="51" xfId="0" applyFont="1" applyFill="1" applyBorder="1" applyAlignment="1" applyProtection="1">
      <alignment horizontal="left" vertical="center"/>
      <protection locked="0" hidden="1"/>
    </xf>
    <xf numFmtId="0" fontId="9" fillId="0" borderId="20" xfId="0" applyFont="1" applyFill="1" applyBorder="1" applyAlignment="1" applyProtection="1">
      <alignment horizontal="left" vertical="center"/>
      <protection locked="0" hidden="1"/>
    </xf>
    <xf numFmtId="0" fontId="22" fillId="2" borderId="21" xfId="0" applyFont="1" applyFill="1" applyBorder="1" applyAlignment="1" applyProtection="1">
      <alignment horizontal="left" vertical="center"/>
      <protection locked="0" hidden="1"/>
    </xf>
    <xf numFmtId="0" fontId="9" fillId="0" borderId="43" xfId="0" applyFont="1" applyFill="1" applyBorder="1" applyAlignment="1" applyProtection="1">
      <alignment horizontal="left"/>
      <protection locked="0" hidden="1"/>
    </xf>
    <xf numFmtId="0" fontId="9" fillId="0" borderId="44" xfId="0" applyFont="1" applyFill="1" applyBorder="1" applyAlignment="1" applyProtection="1">
      <alignment horizontal="left"/>
      <protection locked="0" hidden="1"/>
    </xf>
    <xf numFmtId="0" fontId="9" fillId="0" borderId="45" xfId="0" applyFont="1" applyFill="1" applyBorder="1" applyAlignment="1" applyProtection="1">
      <alignment horizontal="left"/>
      <protection locked="0" hidden="1"/>
    </xf>
    <xf numFmtId="0" fontId="9" fillId="4" borderId="48" xfId="0" applyFont="1" applyFill="1" applyBorder="1" applyAlignment="1" applyProtection="1">
      <alignment horizontal="left" vertical="center"/>
      <protection locked="0" hidden="1"/>
    </xf>
    <xf numFmtId="0" fontId="9" fillId="4" borderId="51" xfId="0" applyFont="1" applyFill="1" applyBorder="1" applyAlignment="1" applyProtection="1">
      <alignment horizontal="left" vertical="center"/>
      <protection locked="0" hidden="1"/>
    </xf>
    <xf numFmtId="0" fontId="9" fillId="4" borderId="20" xfId="0" applyFont="1" applyFill="1" applyBorder="1" applyAlignment="1" applyProtection="1">
      <alignment horizontal="left" vertical="center"/>
      <protection locked="0" hidden="1"/>
    </xf>
    <xf numFmtId="0" fontId="9" fillId="0" borderId="1" xfId="0" applyFont="1" applyFill="1" applyBorder="1" applyAlignment="1" applyProtection="1">
      <alignment horizontal="left" vertical="center"/>
      <protection locked="0" hidden="1"/>
    </xf>
    <xf numFmtId="0" fontId="14" fillId="2" borderId="15" xfId="0" applyFont="1" applyFill="1" applyBorder="1" applyAlignment="1" applyProtection="1">
      <alignment horizontal="left" vertical="center"/>
      <protection hidden="1"/>
    </xf>
    <xf numFmtId="0" fontId="14" fillId="2" borderId="61" xfId="0" applyFont="1" applyFill="1" applyBorder="1" applyAlignment="1" applyProtection="1">
      <alignment horizontal="left" vertical="center"/>
      <protection hidden="1"/>
    </xf>
    <xf numFmtId="0" fontId="14" fillId="2" borderId="16" xfId="0" applyFont="1" applyFill="1" applyBorder="1" applyAlignment="1" applyProtection="1">
      <alignment horizontal="left" vertical="center"/>
      <protection hidden="1"/>
    </xf>
    <xf numFmtId="0" fontId="14" fillId="2" borderId="14" xfId="0" applyFont="1" applyFill="1" applyBorder="1" applyAlignment="1" applyProtection="1">
      <alignment horizontal="left" vertical="center"/>
      <protection hidden="1"/>
    </xf>
    <xf numFmtId="0" fontId="14" fillId="2" borderId="0" xfId="0" applyFont="1" applyFill="1" applyBorder="1" applyAlignment="1" applyProtection="1">
      <alignment horizontal="left" vertical="center"/>
      <protection hidden="1"/>
    </xf>
    <xf numFmtId="0" fontId="14" fillId="2" borderId="56" xfId="0" applyFont="1" applyFill="1" applyBorder="1" applyAlignment="1" applyProtection="1">
      <alignment horizontal="left" vertical="center"/>
      <protection hidden="1"/>
    </xf>
    <xf numFmtId="0" fontId="39" fillId="2" borderId="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9" fillId="4" borderId="15" xfId="0" quotePrefix="1" applyFont="1" applyFill="1" applyBorder="1" applyAlignment="1" applyProtection="1">
      <alignment horizontal="left" vertical="top" wrapText="1"/>
      <protection locked="0"/>
    </xf>
    <xf numFmtId="0" fontId="9" fillId="4" borderId="61" xfId="0" applyFont="1" applyFill="1" applyBorder="1" applyAlignment="1" applyProtection="1">
      <alignment horizontal="left" vertical="top" wrapText="1"/>
      <protection locked="0"/>
    </xf>
    <xf numFmtId="0" fontId="9" fillId="4" borderId="16" xfId="0" applyFont="1" applyFill="1" applyBorder="1" applyAlignment="1" applyProtection="1">
      <alignment horizontal="left" vertical="top" wrapText="1"/>
      <protection locked="0"/>
    </xf>
    <xf numFmtId="0" fontId="9" fillId="4" borderId="14" xfId="0" applyFont="1" applyFill="1" applyBorder="1" applyAlignment="1" applyProtection="1">
      <alignment horizontal="left" vertical="top" wrapText="1"/>
      <protection locked="0"/>
    </xf>
    <xf numFmtId="0" fontId="9" fillId="4" borderId="0" xfId="0" applyFont="1" applyFill="1" applyBorder="1" applyAlignment="1" applyProtection="1">
      <alignment horizontal="left" vertical="top" wrapText="1"/>
      <protection locked="0"/>
    </xf>
    <xf numFmtId="0" fontId="9" fillId="4" borderId="56" xfId="0" applyFont="1" applyFill="1" applyBorder="1" applyAlignment="1" applyProtection="1">
      <alignment horizontal="left" vertical="top" wrapText="1"/>
      <protection locked="0"/>
    </xf>
    <xf numFmtId="0" fontId="9" fillId="4" borderId="17" xfId="0" applyFont="1" applyFill="1" applyBorder="1" applyAlignment="1" applyProtection="1">
      <alignment horizontal="left" vertical="top" wrapText="1"/>
      <protection locked="0"/>
    </xf>
    <xf numFmtId="0" fontId="9" fillId="4" borderId="18" xfId="0" applyFont="1" applyFill="1" applyBorder="1" applyAlignment="1" applyProtection="1">
      <alignment horizontal="left" vertical="top" wrapText="1"/>
      <protection locked="0"/>
    </xf>
    <xf numFmtId="0" fontId="9" fillId="4" borderId="19" xfId="0" applyFont="1" applyFill="1" applyBorder="1" applyAlignment="1" applyProtection="1">
      <alignment horizontal="left" vertical="top" wrapText="1"/>
      <protection locked="0"/>
    </xf>
    <xf numFmtId="0" fontId="34" fillId="2" borderId="41" xfId="0" applyFont="1" applyFill="1" applyBorder="1" applyAlignment="1" applyProtection="1">
      <alignment horizontal="center"/>
      <protection locked="0"/>
    </xf>
    <xf numFmtId="0" fontId="11" fillId="2" borderId="56" xfId="0" applyFont="1" applyFill="1" applyBorder="1" applyAlignment="1" applyProtection="1">
      <alignment horizontal="center" textRotation="90"/>
      <protection hidden="1"/>
    </xf>
    <xf numFmtId="0" fontId="11" fillId="2" borderId="19" xfId="0" applyFont="1" applyFill="1" applyBorder="1" applyAlignment="1" applyProtection="1">
      <alignment horizontal="center" textRotation="90"/>
      <protection hidden="1"/>
    </xf>
    <xf numFmtId="0" fontId="9" fillId="2" borderId="41" xfId="0" applyFont="1" applyFill="1" applyBorder="1" applyAlignment="1" applyProtection="1">
      <alignment horizontal="center"/>
      <protection hidden="1"/>
    </xf>
    <xf numFmtId="0" fontId="9" fillId="4" borderId="110" xfId="0" applyFont="1" applyFill="1" applyBorder="1" applyAlignment="1" applyProtection="1">
      <alignment horizontal="left"/>
      <protection locked="0" hidden="1"/>
    </xf>
    <xf numFmtId="0" fontId="9" fillId="4" borderId="111" xfId="0" applyFont="1" applyFill="1" applyBorder="1" applyAlignment="1" applyProtection="1">
      <alignment horizontal="left"/>
      <protection locked="0" hidden="1"/>
    </xf>
    <xf numFmtId="0" fontId="17" fillId="0" borderId="40" xfId="0" applyFont="1" applyFill="1" applyBorder="1" applyAlignment="1" applyProtection="1">
      <alignment horizontal="center" shrinkToFit="1"/>
      <protection locked="0" hidden="1"/>
    </xf>
    <xf numFmtId="0" fontId="30" fillId="4" borderId="79" xfId="0" applyFont="1" applyFill="1" applyBorder="1" applyAlignment="1" applyProtection="1">
      <alignment horizontal="left" wrapText="1"/>
      <protection hidden="1"/>
    </xf>
    <xf numFmtId="0" fontId="30" fillId="4" borderId="56" xfId="0" applyFont="1" applyFill="1" applyBorder="1" applyAlignment="1" applyProtection="1">
      <alignment horizontal="left" wrapText="1"/>
      <protection hidden="1"/>
    </xf>
    <xf numFmtId="0" fontId="30" fillId="4" borderId="80" xfId="0" applyFont="1" applyFill="1" applyBorder="1" applyAlignment="1" applyProtection="1">
      <alignment horizontal="left" wrapText="1"/>
      <protection hidden="1"/>
    </xf>
    <xf numFmtId="0" fontId="11" fillId="2" borderId="14" xfId="0" applyFont="1" applyFill="1" applyBorder="1" applyAlignment="1" applyProtection="1">
      <alignment horizontal="right" textRotation="90"/>
      <protection hidden="1"/>
    </xf>
    <xf numFmtId="0" fontId="11" fillId="2" borderId="17" xfId="0" applyFont="1" applyFill="1" applyBorder="1" applyAlignment="1" applyProtection="1">
      <alignment horizontal="right" textRotation="90"/>
      <protection hidden="1"/>
    </xf>
    <xf numFmtId="0" fontId="9" fillId="4" borderId="46" xfId="0" applyFont="1" applyFill="1" applyBorder="1" applyAlignment="1" applyProtection="1">
      <alignment horizontal="left" vertical="center"/>
      <protection locked="0" hidden="1"/>
    </xf>
    <xf numFmtId="0" fontId="9" fillId="4" borderId="66" xfId="0" applyFont="1" applyFill="1" applyBorder="1" applyAlignment="1" applyProtection="1">
      <alignment horizontal="left" vertical="center"/>
      <protection locked="0" hidden="1"/>
    </xf>
    <xf numFmtId="0" fontId="9" fillId="4" borderId="47" xfId="0" applyFont="1" applyFill="1" applyBorder="1" applyAlignment="1" applyProtection="1">
      <alignment horizontal="left" vertical="center"/>
      <protection locked="0" hidden="1"/>
    </xf>
    <xf numFmtId="0" fontId="22" fillId="2" borderId="0" xfId="0" applyFont="1" applyFill="1" applyBorder="1" applyAlignment="1" applyProtection="1">
      <alignment horizontal="left" vertical="top" wrapText="1"/>
      <protection hidden="1"/>
    </xf>
    <xf numFmtId="0" fontId="22" fillId="2" borderId="18" xfId="0" applyFont="1" applyFill="1" applyBorder="1" applyAlignment="1" applyProtection="1">
      <alignment horizontal="left" vertical="top" wrapText="1"/>
      <protection hidden="1"/>
    </xf>
    <xf numFmtId="0" fontId="11" fillId="0" borderId="57" xfId="0" applyFont="1" applyFill="1" applyBorder="1" applyAlignment="1" applyProtection="1">
      <alignment horizontal="center" vertical="center" textRotation="90"/>
      <protection locked="0" hidden="1"/>
    </xf>
    <xf numFmtId="0" fontId="11" fillId="0" borderId="58" xfId="0" applyFont="1" applyFill="1" applyBorder="1" applyAlignment="1" applyProtection="1">
      <alignment horizontal="center" vertical="center" textRotation="90"/>
      <protection locked="0" hidden="1"/>
    </xf>
    <xf numFmtId="0" fontId="11" fillId="0" borderId="59" xfId="0" applyFont="1" applyFill="1" applyBorder="1" applyAlignment="1" applyProtection="1">
      <alignment horizontal="center" vertical="center" textRotation="90"/>
      <protection locked="0" hidden="1"/>
    </xf>
    <xf numFmtId="0" fontId="20" fillId="2" borderId="18" xfId="0" applyFont="1" applyFill="1" applyBorder="1" applyAlignment="1" applyProtection="1">
      <alignment horizontal="left" vertical="center"/>
      <protection hidden="1"/>
    </xf>
    <xf numFmtId="0" fontId="9" fillId="4" borderId="43" xfId="0" applyFont="1" applyFill="1" applyBorder="1" applyAlignment="1" applyProtection="1">
      <alignment horizontal="left" vertical="center"/>
      <protection locked="0"/>
    </xf>
    <xf numFmtId="0" fontId="9" fillId="4" borderId="44"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11" fillId="2" borderId="0" xfId="0" applyFont="1" applyFill="1" applyBorder="1" applyAlignment="1" applyProtection="1">
      <alignment horizontal="right" wrapText="1"/>
      <protection hidden="1"/>
    </xf>
    <xf numFmtId="0" fontId="9" fillId="0" borderId="43" xfId="0" applyFont="1" applyFill="1" applyBorder="1" applyAlignment="1" applyProtection="1">
      <alignment horizontal="center" vertical="center"/>
      <protection locked="0" hidden="1"/>
    </xf>
    <xf numFmtId="0" fontId="9" fillId="0" borderId="45" xfId="0" applyFont="1" applyFill="1" applyBorder="1" applyAlignment="1" applyProtection="1">
      <alignment horizontal="center" vertical="center"/>
      <protection locked="0" hidden="1"/>
    </xf>
    <xf numFmtId="14" fontId="9" fillId="0" borderId="74" xfId="0" applyNumberFormat="1" applyFont="1" applyFill="1" applyBorder="1" applyAlignment="1" applyProtection="1">
      <alignment horizontal="left"/>
      <protection locked="0"/>
    </xf>
    <xf numFmtId="14" fontId="9" fillId="0" borderId="18" xfId="0" applyNumberFormat="1" applyFont="1" applyFill="1" applyBorder="1" applyAlignment="1" applyProtection="1">
      <alignment horizontal="left"/>
      <protection locked="0"/>
    </xf>
    <xf numFmtId="14" fontId="9" fillId="0" borderId="75" xfId="0" applyNumberFormat="1" applyFont="1" applyFill="1" applyBorder="1" applyAlignment="1" applyProtection="1">
      <alignment horizontal="left"/>
      <protection locked="0"/>
    </xf>
    <xf numFmtId="0" fontId="9" fillId="0" borderId="48" xfId="0" applyFont="1" applyFill="1" applyBorder="1" applyAlignment="1" applyProtection="1">
      <alignment horizontal="center" vertical="center" shrinkToFit="1"/>
      <protection locked="0"/>
    </xf>
    <xf numFmtId="0" fontId="9" fillId="0" borderId="20" xfId="0" applyFont="1" applyFill="1" applyBorder="1" applyAlignment="1" applyProtection="1">
      <alignment horizontal="center" vertical="center" shrinkToFit="1"/>
      <protection locked="0"/>
    </xf>
    <xf numFmtId="0" fontId="18" fillId="2" borderId="41" xfId="0" applyFont="1" applyFill="1" applyBorder="1" applyAlignment="1" applyProtection="1">
      <alignment horizontal="center"/>
      <protection hidden="1"/>
    </xf>
    <xf numFmtId="0" fontId="17" fillId="0" borderId="60" xfId="0" applyFont="1" applyFill="1" applyBorder="1" applyAlignment="1" applyProtection="1">
      <alignment horizontal="center" shrinkToFit="1"/>
      <protection locked="0" hidden="1"/>
    </xf>
    <xf numFmtId="0" fontId="11" fillId="2" borderId="15" xfId="0" applyFont="1" applyFill="1" applyBorder="1" applyAlignment="1" applyProtection="1">
      <alignment horizontal="left" shrinkToFit="1"/>
      <protection hidden="1"/>
    </xf>
    <xf numFmtId="0" fontId="11" fillId="2" borderId="61" xfId="0" applyFont="1" applyFill="1" applyBorder="1" applyAlignment="1" applyProtection="1">
      <alignment horizontal="left" shrinkToFit="1"/>
      <protection hidden="1"/>
    </xf>
    <xf numFmtId="0" fontId="11" fillId="2" borderId="76" xfId="0" applyFont="1" applyFill="1" applyBorder="1" applyAlignment="1" applyProtection="1">
      <alignment horizontal="left" shrinkToFit="1"/>
      <protection hidden="1"/>
    </xf>
    <xf numFmtId="49" fontId="9" fillId="0" borderId="53" xfId="0" applyNumberFormat="1" applyFont="1" applyFill="1" applyBorder="1" applyAlignment="1" applyProtection="1">
      <alignment horizontal="left"/>
      <protection locked="0"/>
    </xf>
    <xf numFmtId="49" fontId="9" fillId="0" borderId="54" xfId="0" applyNumberFormat="1" applyFont="1" applyFill="1" applyBorder="1" applyAlignment="1" applyProtection="1">
      <alignment horizontal="left"/>
      <protection locked="0"/>
    </xf>
    <xf numFmtId="49" fontId="9" fillId="0" borderId="55" xfId="0" applyNumberFormat="1" applyFont="1" applyFill="1" applyBorder="1" applyAlignment="1" applyProtection="1">
      <alignment horizontal="left"/>
      <protection locked="0"/>
    </xf>
    <xf numFmtId="0" fontId="9" fillId="4" borderId="53" xfId="0" applyFont="1" applyFill="1" applyBorder="1" applyAlignment="1" applyProtection="1">
      <alignment horizontal="left"/>
      <protection locked="0"/>
    </xf>
    <xf numFmtId="0" fontId="9" fillId="4" borderId="54" xfId="0" applyFont="1" applyFill="1" applyBorder="1" applyAlignment="1" applyProtection="1">
      <alignment horizontal="left"/>
      <protection locked="0"/>
    </xf>
    <xf numFmtId="0" fontId="9" fillId="4" borderId="55" xfId="0" applyFont="1" applyFill="1" applyBorder="1" applyAlignment="1" applyProtection="1">
      <alignment horizontal="left"/>
      <protection locked="0"/>
    </xf>
    <xf numFmtId="0" fontId="9" fillId="0" borderId="53" xfId="0" applyFont="1" applyFill="1" applyBorder="1" applyAlignment="1" applyProtection="1">
      <alignment horizontal="left"/>
      <protection locked="0"/>
    </xf>
    <xf numFmtId="0" fontId="9" fillId="0" borderId="54" xfId="0" applyFont="1" applyFill="1" applyBorder="1" applyAlignment="1" applyProtection="1">
      <alignment horizontal="left"/>
      <protection locked="0"/>
    </xf>
    <xf numFmtId="0" fontId="9" fillId="0" borderId="55" xfId="0" applyFont="1" applyFill="1" applyBorder="1" applyAlignment="1" applyProtection="1">
      <alignment horizontal="left"/>
      <protection locked="0"/>
    </xf>
    <xf numFmtId="1" fontId="9" fillId="0" borderId="53" xfId="0" applyNumberFormat="1" applyFont="1" applyFill="1" applyBorder="1" applyAlignment="1" applyProtection="1">
      <alignment horizontal="left"/>
      <protection locked="0"/>
    </xf>
    <xf numFmtId="1" fontId="9" fillId="0" borderId="54" xfId="0" applyNumberFormat="1" applyFont="1" applyFill="1" applyBorder="1" applyAlignment="1" applyProtection="1">
      <alignment horizontal="left"/>
      <protection locked="0"/>
    </xf>
    <xf numFmtId="1" fontId="9" fillId="0" borderId="55" xfId="0" applyNumberFormat="1" applyFont="1" applyFill="1" applyBorder="1" applyAlignment="1" applyProtection="1">
      <alignment horizontal="left"/>
      <protection locked="0"/>
    </xf>
    <xf numFmtId="0" fontId="9" fillId="0" borderId="48" xfId="0" applyFont="1" applyFill="1" applyBorder="1" applyAlignment="1" applyProtection="1">
      <alignment horizontal="left" vertical="center"/>
      <protection locked="0"/>
    </xf>
    <xf numFmtId="0" fontId="9" fillId="0" borderId="51" xfId="0" applyFont="1" applyFill="1" applyBorder="1" applyAlignment="1" applyProtection="1">
      <alignment horizontal="left" vertical="center"/>
      <protection locked="0"/>
    </xf>
    <xf numFmtId="0" fontId="9" fillId="0" borderId="20" xfId="0" applyFont="1" applyFill="1" applyBorder="1" applyAlignment="1" applyProtection="1">
      <alignment horizontal="left" vertical="center"/>
      <protection locked="0"/>
    </xf>
    <xf numFmtId="0" fontId="17" fillId="2" borderId="0" xfId="0" applyFont="1" applyFill="1" applyBorder="1" applyAlignment="1" applyProtection="1">
      <alignment horizontal="left" vertical="top" wrapText="1"/>
      <protection hidden="1"/>
    </xf>
    <xf numFmtId="0" fontId="17" fillId="2" borderId="56" xfId="0" applyFont="1" applyFill="1" applyBorder="1" applyAlignment="1" applyProtection="1">
      <alignment horizontal="left" vertical="top" wrapText="1"/>
      <protection hidden="1"/>
    </xf>
    <xf numFmtId="0" fontId="17" fillId="2" borderId="0" xfId="0" applyFont="1" applyFill="1" applyBorder="1" applyAlignment="1" applyProtection="1">
      <alignment horizontal="left" wrapText="1"/>
      <protection hidden="1"/>
    </xf>
    <xf numFmtId="0" fontId="17" fillId="2" borderId="56" xfId="0" applyFont="1" applyFill="1" applyBorder="1" applyAlignment="1" applyProtection="1">
      <alignment horizontal="left" wrapText="1"/>
      <protection hidden="1"/>
    </xf>
    <xf numFmtId="0" fontId="30" fillId="2" borderId="0" xfId="0" applyFont="1" applyFill="1" applyBorder="1" applyAlignment="1" applyProtection="1">
      <alignment horizontal="left" vertical="top" wrapText="1"/>
      <protection hidden="1"/>
    </xf>
    <xf numFmtId="0" fontId="5" fillId="4" borderId="48" xfId="0" applyFont="1" applyFill="1" applyBorder="1" applyAlignment="1" applyProtection="1">
      <alignment horizontal="left" vertical="center"/>
      <protection locked="0" hidden="1"/>
    </xf>
    <xf numFmtId="0" fontId="5" fillId="4" borderId="20" xfId="0" applyFont="1" applyFill="1" applyBorder="1" applyAlignment="1" applyProtection="1">
      <alignment horizontal="left" vertical="center"/>
      <protection locked="0" hidden="1"/>
    </xf>
    <xf numFmtId="49" fontId="1" fillId="4" borderId="43" xfId="0" applyNumberFormat="1" applyFont="1" applyFill="1" applyBorder="1" applyAlignment="1" applyProtection="1">
      <alignment horizontal="left" vertical="center"/>
      <protection locked="0" hidden="1"/>
    </xf>
    <xf numFmtId="49" fontId="5" fillId="4" borderId="45" xfId="0" applyNumberFormat="1" applyFont="1" applyFill="1" applyBorder="1" applyAlignment="1" applyProtection="1">
      <alignment horizontal="left" vertical="center"/>
      <protection locked="0" hidden="1"/>
    </xf>
    <xf numFmtId="0" fontId="5" fillId="4" borderId="51" xfId="0" applyFont="1" applyFill="1" applyBorder="1" applyAlignment="1" applyProtection="1">
      <alignment horizontal="left" vertical="center"/>
      <protection locked="0" hidden="1"/>
    </xf>
    <xf numFmtId="0" fontId="1" fillId="4" borderId="43" xfId="0" applyFont="1" applyFill="1" applyBorder="1" applyAlignment="1" applyProtection="1">
      <alignment horizontal="left" vertical="center"/>
      <protection locked="0"/>
    </xf>
    <xf numFmtId="0" fontId="5" fillId="4" borderId="44" xfId="0" applyFont="1" applyFill="1" applyBorder="1" applyAlignment="1" applyProtection="1">
      <alignment horizontal="left" vertical="center"/>
      <protection locked="0"/>
    </xf>
    <xf numFmtId="0" fontId="5" fillId="4" borderId="45" xfId="0" applyFont="1" applyFill="1" applyBorder="1" applyAlignment="1" applyProtection="1">
      <alignment horizontal="left" vertical="center"/>
      <protection locked="0"/>
    </xf>
    <xf numFmtId="0" fontId="9" fillId="2" borderId="18" xfId="0" applyFont="1" applyFill="1" applyBorder="1" applyAlignment="1" applyProtection="1">
      <alignment horizontal="center"/>
      <protection hidden="1"/>
    </xf>
    <xf numFmtId="0" fontId="9" fillId="4" borderId="48" xfId="0" applyFont="1" applyFill="1" applyBorder="1" applyAlignment="1" applyProtection="1">
      <alignment horizontal="left"/>
      <protection locked="0" hidden="1"/>
    </xf>
    <xf numFmtId="0" fontId="9" fillId="4" borderId="51" xfId="0" applyFont="1" applyFill="1" applyBorder="1" applyAlignment="1" applyProtection="1">
      <alignment horizontal="left"/>
      <protection locked="0" hidden="1"/>
    </xf>
    <xf numFmtId="0" fontId="9" fillId="4" borderId="20" xfId="0" applyFont="1" applyFill="1" applyBorder="1" applyAlignment="1" applyProtection="1">
      <alignment horizontal="left"/>
      <protection locked="0" hidden="1"/>
    </xf>
    <xf numFmtId="165" fontId="9" fillId="4" borderId="125" xfId="0" applyNumberFormat="1" applyFont="1" applyFill="1" applyBorder="1" applyAlignment="1" applyProtection="1">
      <alignment horizontal="left"/>
      <protection locked="0" hidden="1"/>
    </xf>
    <xf numFmtId="165" fontId="9" fillId="4" borderId="35" xfId="0" applyNumberFormat="1" applyFont="1" applyFill="1" applyBorder="1" applyAlignment="1" applyProtection="1">
      <alignment horizontal="left"/>
      <protection locked="0" hidden="1"/>
    </xf>
    <xf numFmtId="165" fontId="9" fillId="4" borderId="51" xfId="0" applyNumberFormat="1" applyFont="1" applyFill="1" applyBorder="1" applyAlignment="1" applyProtection="1">
      <alignment horizontal="left"/>
      <protection locked="0" hidden="1"/>
    </xf>
    <xf numFmtId="165" fontId="9" fillId="4" borderId="20" xfId="0" applyNumberFormat="1" applyFont="1" applyFill="1" applyBorder="1" applyAlignment="1" applyProtection="1">
      <alignment horizontal="left"/>
      <protection locked="0" hidden="1"/>
    </xf>
    <xf numFmtId="0" fontId="9" fillId="0" borderId="48" xfId="0" applyFont="1" applyFill="1" applyBorder="1" applyAlignment="1" applyProtection="1">
      <alignment horizontal="left" shrinkToFit="1"/>
      <protection locked="0" hidden="1"/>
    </xf>
    <xf numFmtId="0" fontId="9" fillId="0" borderId="51" xfId="0" applyFont="1" applyFill="1" applyBorder="1" applyAlignment="1" applyProtection="1">
      <alignment horizontal="left" shrinkToFit="1"/>
      <protection locked="0" hidden="1"/>
    </xf>
    <xf numFmtId="0" fontId="9" fillId="0" borderId="20" xfId="0" applyFont="1" applyFill="1" applyBorder="1" applyAlignment="1" applyProtection="1">
      <alignment horizontal="left" shrinkToFit="1"/>
      <protection locked="0" hidden="1"/>
    </xf>
    <xf numFmtId="0" fontId="1" fillId="0" borderId="98" xfId="0" applyFont="1" applyFill="1" applyBorder="1" applyAlignment="1">
      <alignment horizontal="center"/>
    </xf>
    <xf numFmtId="0" fontId="1" fillId="4" borderId="44" xfId="0" applyFont="1" applyFill="1" applyBorder="1" applyAlignment="1" applyProtection="1">
      <alignment horizontal="left" vertical="center"/>
      <protection locked="0"/>
    </xf>
    <xf numFmtId="0" fontId="1" fillId="4" borderId="45" xfId="0" applyFont="1" applyFill="1" applyBorder="1" applyAlignment="1" applyProtection="1">
      <alignment horizontal="left" vertical="center"/>
      <protection locked="0"/>
    </xf>
    <xf numFmtId="0" fontId="1" fillId="4" borderId="48" xfId="0" applyFont="1" applyFill="1" applyBorder="1" applyAlignment="1" applyProtection="1">
      <alignment horizontal="left" vertical="center"/>
      <protection locked="0" hidden="1"/>
    </xf>
    <xf numFmtId="0" fontId="1" fillId="4" borderId="20" xfId="0" applyFont="1" applyFill="1" applyBorder="1" applyAlignment="1" applyProtection="1">
      <alignment horizontal="left" vertical="center"/>
      <protection locked="0" hidden="1"/>
    </xf>
    <xf numFmtId="49" fontId="1" fillId="4" borderId="45" xfId="0" applyNumberFormat="1" applyFont="1" applyFill="1" applyBorder="1" applyAlignment="1" applyProtection="1">
      <alignment horizontal="left" vertical="center"/>
      <protection locked="0" hidden="1"/>
    </xf>
    <xf numFmtId="0" fontId="1" fillId="4" borderId="51" xfId="0" applyFont="1" applyFill="1" applyBorder="1" applyAlignment="1" applyProtection="1">
      <alignment horizontal="left" vertical="center"/>
      <protection locked="0" hidden="1"/>
    </xf>
    <xf numFmtId="0" fontId="1" fillId="4" borderId="48" xfId="0" applyFont="1" applyFill="1" applyBorder="1" applyAlignment="1" applyProtection="1">
      <alignment horizontal="left"/>
      <protection locked="0" hidden="1"/>
    </xf>
    <xf numFmtId="0" fontId="1" fillId="4" borderId="20" xfId="0" applyFont="1" applyFill="1" applyBorder="1" applyAlignment="1" applyProtection="1">
      <alignment horizontal="left"/>
      <protection locked="0" hidden="1"/>
    </xf>
    <xf numFmtId="0" fontId="46" fillId="7" borderId="61" xfId="0" applyFont="1" applyFill="1" applyBorder="1" applyAlignment="1" applyProtection="1">
      <alignment horizontal="left" vertical="center"/>
      <protection hidden="1"/>
    </xf>
    <xf numFmtId="0" fontId="46" fillId="7" borderId="35" xfId="0" applyFont="1" applyFill="1" applyBorder="1" applyAlignment="1" applyProtection="1">
      <alignment horizontal="left" vertical="center"/>
      <protection hidden="1"/>
    </xf>
  </cellXfs>
  <cellStyles count="3">
    <cellStyle name="Komma" xfId="1" builtinId="3"/>
    <cellStyle name="Link" xfId="2" builtinId="8"/>
    <cellStyle name="Standard" xfId="0" builtinId="0"/>
  </cellStyles>
  <dxfs count="1604">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border>
        <top style="thin">
          <color rgb="FFFF0000"/>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border>
        <top style="thin">
          <color rgb="FFFF0000"/>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border>
        <top style="thin">
          <color rgb="FFFF0000"/>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border>
        <top style="thin">
          <color rgb="FFFF0000"/>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right style="thin">
          <color auto="1"/>
        </right>
        <top style="thin">
          <color auto="1"/>
        </top>
        <bottom style="thin">
          <color auto="1"/>
        </bottom>
        <vertical/>
        <horizontal/>
      </border>
    </dxf>
    <dxf>
      <border>
        <left style="thin">
          <color auto="1"/>
        </left>
        <top style="thin">
          <color auto="1"/>
        </top>
        <bottom style="thin">
          <color auto="1"/>
        </bottom>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1"/>
      </font>
      <border>
        <left style="hair">
          <color auto="1"/>
        </left>
        <right style="hair">
          <color auto="1"/>
        </right>
        <top style="hair">
          <color auto="1"/>
        </top>
        <bottom style="hair">
          <color auto="1"/>
        </bottom>
        <vertical/>
        <horizontal/>
      </border>
    </dxf>
    <dxf>
      <border>
        <top style="thin">
          <color rgb="FFFF0000"/>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border>
        <bottom style="thin">
          <color rgb="FFFF0000"/>
        </bottom>
        <vertical/>
        <horizontal/>
      </border>
    </dxf>
    <dxf>
      <border>
        <top style="thin">
          <color rgb="FFFF0000"/>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font>
      <fill>
        <patternFill>
          <bgColor rgb="FFFF0000"/>
        </patternFill>
      </fill>
    </dxf>
    <dxf>
      <font>
        <b/>
        <i val="0"/>
      </font>
      <fill>
        <patternFill>
          <bgColor rgb="FFFF0000"/>
        </patternFill>
      </fill>
    </dxf>
    <dxf>
      <border>
        <left style="thin">
          <color auto="1"/>
        </left>
        <vertical/>
        <horizontal/>
      </border>
    </dxf>
    <dxf>
      <fill>
        <patternFill>
          <bgColor rgb="FFFF0000"/>
        </patternFill>
      </fill>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Sprachen &amp; Rückgabewerte'!$B$3:$B$6" fmlaRange="'Sprachen &amp; Rückgabewerte'!$C$3:$C$6" sel="1" val="0"/>
</file>

<file path=xl/ctrlProps/ctrlProp10.xml><?xml version="1.0" encoding="utf-8"?>
<formControlPr xmlns="http://schemas.microsoft.com/office/spreadsheetml/2009/9/main" objectType="CheckBox" fmlaLink="'Sprachen &amp; Rückgabewerte'!$I$15" lockText="1"/>
</file>

<file path=xl/ctrlProps/ctrlProp100.xml><?xml version="1.0" encoding="utf-8"?>
<formControlPr xmlns="http://schemas.microsoft.com/office/spreadsheetml/2009/9/main" objectType="CheckBox" fmlaLink="'Sprachen &amp; Rückgabewerte(2)'!$C$55" lockText="1"/>
</file>

<file path=xl/ctrlProps/ctrlProp101.xml><?xml version="1.0" encoding="utf-8"?>
<formControlPr xmlns="http://schemas.microsoft.com/office/spreadsheetml/2009/9/main" objectType="CheckBox" fmlaLink="'Sprachen &amp; Rückgabewerte(2)'!$C$56" lockText="1"/>
</file>

<file path=xl/ctrlProps/ctrlProp102.xml><?xml version="1.0" encoding="utf-8"?>
<formControlPr xmlns="http://schemas.microsoft.com/office/spreadsheetml/2009/9/main" objectType="CheckBox" checked="Checked" fmlaLink="'Sprachen &amp; Rückgabewerte(2)'!$C$53" lockText="1"/>
</file>

<file path=xl/ctrlProps/ctrlProp103.xml><?xml version="1.0" encoding="utf-8"?>
<formControlPr xmlns="http://schemas.microsoft.com/office/spreadsheetml/2009/9/main" objectType="CheckBox" fmlaLink="'Sprachen &amp; Rückgabewerte(2)'!$C$54" lockText="1"/>
</file>

<file path=xl/ctrlProps/ctrlProp104.xml><?xml version="1.0" encoding="utf-8"?>
<formControlPr xmlns="http://schemas.microsoft.com/office/spreadsheetml/2009/9/main" objectType="CheckBox" fmlaLink="'Sprachen &amp; Rückgabewerte(2)'!$I$125" lockText="1"/>
</file>

<file path=xl/ctrlProps/ctrlProp105.xml><?xml version="1.0" encoding="utf-8"?>
<formControlPr xmlns="http://schemas.microsoft.com/office/spreadsheetml/2009/9/main" objectType="CheckBox" checked="Checked" fmlaLink="'Sprachen &amp; Rückgabewerte(2)'!$I$36" lockText="1"/>
</file>

<file path=xl/ctrlProps/ctrlProp106.xml><?xml version="1.0" encoding="utf-8"?>
<formControlPr xmlns="http://schemas.microsoft.com/office/spreadsheetml/2009/9/main" objectType="CheckBox" fmlaLink="'Sprachen &amp; Rückgabewerte(2)'!$I$39" lockText="1"/>
</file>

<file path=xl/ctrlProps/ctrlProp107.xml><?xml version="1.0" encoding="utf-8"?>
<formControlPr xmlns="http://schemas.microsoft.com/office/spreadsheetml/2009/9/main" objectType="CheckBox" fmlaLink="'Sprachen &amp; Rückgabewerte(2)'!$I$45" lockText="1"/>
</file>

<file path=xl/ctrlProps/ctrlProp108.xml><?xml version="1.0" encoding="utf-8"?>
<formControlPr xmlns="http://schemas.microsoft.com/office/spreadsheetml/2009/9/main" objectType="CheckBox" fmlaLink="'Sprachen &amp; Rückgabewerte(2)'!$I$71" lockText="1"/>
</file>

<file path=xl/ctrlProps/ctrlProp109.xml><?xml version="1.0" encoding="utf-8"?>
<formControlPr xmlns="http://schemas.microsoft.com/office/spreadsheetml/2009/9/main" objectType="Drop" dropStyle="combo" dx="16" fmlaLink="'Sprachen &amp; Rückgabewerte(3)'!$B$3:$B$6" fmlaRange="'Sprachen &amp; Rückgabewerte(3)'!$C$3:$C$6" sel="1" val="0"/>
</file>

<file path=xl/ctrlProps/ctrlProp11.xml><?xml version="1.0" encoding="utf-8"?>
<formControlPr xmlns="http://schemas.microsoft.com/office/spreadsheetml/2009/9/main" objectType="CheckBox" fmlaLink="'Sprachen &amp; Rückgabewerte'!$I$25" lockText="1"/>
</file>

<file path=xl/ctrlProps/ctrlProp110.xml><?xml version="1.0" encoding="utf-8"?>
<formControlPr xmlns="http://schemas.microsoft.com/office/spreadsheetml/2009/9/main" objectType="CheckBox" fmlaLink="'Sprachen &amp; Rückgabewerte(3)'!$I$30" lockText="1"/>
</file>

<file path=xl/ctrlProps/ctrlProp111.xml><?xml version="1.0" encoding="utf-8"?>
<formControlPr xmlns="http://schemas.microsoft.com/office/spreadsheetml/2009/9/main" objectType="CheckBox" fmlaLink="'Sprachen &amp; Rückgabewerte(3)'!$I$31" lockText="1"/>
</file>

<file path=xl/ctrlProps/ctrlProp112.xml><?xml version="1.0" encoding="utf-8"?>
<formControlPr xmlns="http://schemas.microsoft.com/office/spreadsheetml/2009/9/main" objectType="CheckBox" fmlaLink="'Sprachen &amp; Rückgabewerte(3)'!$I$16" lockText="1"/>
</file>

<file path=xl/ctrlProps/ctrlProp113.xml><?xml version="1.0" encoding="utf-8"?>
<formControlPr xmlns="http://schemas.microsoft.com/office/spreadsheetml/2009/9/main" objectType="CheckBox" fmlaLink="'Sprachen &amp; Rückgabewerte(3)'!$I$17" lockText="1"/>
</file>

<file path=xl/ctrlProps/ctrlProp114.xml><?xml version="1.0" encoding="utf-8"?>
<formControlPr xmlns="http://schemas.microsoft.com/office/spreadsheetml/2009/9/main" objectType="CheckBox" fmlaLink="'Sprachen &amp; Rückgabewerte(3)'!$I$18" lockText="1"/>
</file>

<file path=xl/ctrlProps/ctrlProp115.xml><?xml version="1.0" encoding="utf-8"?>
<formControlPr xmlns="http://schemas.microsoft.com/office/spreadsheetml/2009/9/main" objectType="CheckBox" fmlaLink="'Sprachen &amp; Rückgabewerte(3)'!$I$19" lockText="1"/>
</file>

<file path=xl/ctrlProps/ctrlProp116.xml><?xml version="1.0" encoding="utf-8"?>
<formControlPr xmlns="http://schemas.microsoft.com/office/spreadsheetml/2009/9/main" objectType="CheckBox" fmlaLink="'Sprachen &amp; Rückgabewerte(3)'!$I$20" lockText="1"/>
</file>

<file path=xl/ctrlProps/ctrlProp117.xml><?xml version="1.0" encoding="utf-8"?>
<formControlPr xmlns="http://schemas.microsoft.com/office/spreadsheetml/2009/9/main" objectType="CheckBox" fmlaLink="'Sprachen &amp; Rückgabewerte(3)'!$I$22" lockText="1"/>
</file>

<file path=xl/ctrlProps/ctrlProp118.xml><?xml version="1.0" encoding="utf-8"?>
<formControlPr xmlns="http://schemas.microsoft.com/office/spreadsheetml/2009/9/main" objectType="CheckBox" fmlaLink="'Sprachen &amp; Rückgabewerte(3)'!$I$15" lockText="1"/>
</file>

<file path=xl/ctrlProps/ctrlProp119.xml><?xml version="1.0" encoding="utf-8"?>
<formControlPr xmlns="http://schemas.microsoft.com/office/spreadsheetml/2009/9/main" objectType="CheckBox" fmlaLink="'Sprachen &amp; Rückgabewerte(3)'!$I$25" lockText="1"/>
</file>

<file path=xl/ctrlProps/ctrlProp12.xml><?xml version="1.0" encoding="utf-8"?>
<formControlPr xmlns="http://schemas.microsoft.com/office/spreadsheetml/2009/9/main" objectType="CheckBox" fmlaLink="'Sprachen &amp; Rückgabewerte'!$I$10" lockText="1"/>
</file>

<file path=xl/ctrlProps/ctrlProp120.xml><?xml version="1.0" encoding="utf-8"?>
<formControlPr xmlns="http://schemas.microsoft.com/office/spreadsheetml/2009/9/main" objectType="CheckBox" fmlaLink="'Sprachen &amp; Rückgabewerte(3)'!$I$10" lockText="1"/>
</file>

<file path=xl/ctrlProps/ctrlProp121.xml><?xml version="1.0" encoding="utf-8"?>
<formControlPr xmlns="http://schemas.microsoft.com/office/spreadsheetml/2009/9/main" objectType="CheckBox" fmlaLink="'Sprachen &amp; Rückgabewerte(3)'!$I$11" lockText="1"/>
</file>

<file path=xl/ctrlProps/ctrlProp122.xml><?xml version="1.0" encoding="utf-8"?>
<formControlPr xmlns="http://schemas.microsoft.com/office/spreadsheetml/2009/9/main" objectType="CheckBox" fmlaLink="'Sprachen &amp; Rückgabewerte(3)'!$I$12" lockText="1"/>
</file>

<file path=xl/ctrlProps/ctrlProp123.xml><?xml version="1.0" encoding="utf-8"?>
<formControlPr xmlns="http://schemas.microsoft.com/office/spreadsheetml/2009/9/main" objectType="CheckBox" fmlaLink="'Sprachen &amp; Rückgabewerte(3)'!$I$13" lockText="1"/>
</file>

<file path=xl/ctrlProps/ctrlProp124.xml><?xml version="1.0" encoding="utf-8"?>
<formControlPr xmlns="http://schemas.microsoft.com/office/spreadsheetml/2009/9/main" objectType="CheckBox" fmlaLink="'Sprachen &amp; Rückgabewerte(3)'!$I$14" lockText="1"/>
</file>

<file path=xl/ctrlProps/ctrlProp125.xml><?xml version="1.0" encoding="utf-8"?>
<formControlPr xmlns="http://schemas.microsoft.com/office/spreadsheetml/2009/9/main" objectType="CheckBox" fmlaLink="'Sprachen &amp; Rückgabewerte(3)'!$I$5" lockText="1"/>
</file>

<file path=xl/ctrlProps/ctrlProp126.xml><?xml version="1.0" encoding="utf-8"?>
<formControlPr xmlns="http://schemas.microsoft.com/office/spreadsheetml/2009/9/main" objectType="CheckBox" fmlaLink="'Sprachen &amp; Rückgabewerte(3)'!$I$6" lockText="1"/>
</file>

<file path=xl/ctrlProps/ctrlProp127.xml><?xml version="1.0" encoding="utf-8"?>
<formControlPr xmlns="http://schemas.microsoft.com/office/spreadsheetml/2009/9/main" objectType="CheckBox" checked="Checked" fmlaLink="'Sprachen &amp; Rückgabewerte(3)'!$C$37" lockText="1"/>
</file>

<file path=xl/ctrlProps/ctrlProp128.xml><?xml version="1.0" encoding="utf-8"?>
<formControlPr xmlns="http://schemas.microsoft.com/office/spreadsheetml/2009/9/main" objectType="CheckBox" checked="Checked" fmlaLink="'Sprachen &amp; Rückgabewerte(3)'!$C$38" lockText="1"/>
</file>

<file path=xl/ctrlProps/ctrlProp129.xml><?xml version="1.0" encoding="utf-8"?>
<formControlPr xmlns="http://schemas.microsoft.com/office/spreadsheetml/2009/9/main" objectType="CheckBox" fmlaLink="'Sprachen &amp; Rückgabewerte(3)'!$C$39" lockText="1"/>
</file>

<file path=xl/ctrlProps/ctrlProp13.xml><?xml version="1.0" encoding="utf-8"?>
<formControlPr xmlns="http://schemas.microsoft.com/office/spreadsheetml/2009/9/main" objectType="CheckBox" fmlaLink="'Sprachen &amp; Rückgabewerte'!$I$11" lockText="1"/>
</file>

<file path=xl/ctrlProps/ctrlProp130.xml><?xml version="1.0" encoding="utf-8"?>
<formControlPr xmlns="http://schemas.microsoft.com/office/spreadsheetml/2009/9/main" objectType="CheckBox" fmlaLink="'Sprachen &amp; Rückgabewerte(3)'!$C$40" lockText="1"/>
</file>

<file path=xl/ctrlProps/ctrlProp131.xml><?xml version="1.0" encoding="utf-8"?>
<formControlPr xmlns="http://schemas.microsoft.com/office/spreadsheetml/2009/9/main" objectType="CheckBox" fmlaLink="'Sprachen &amp; Rückgabewerte(3)'!$I$43" lockText="1"/>
</file>

<file path=xl/ctrlProps/ctrlProp132.xml><?xml version="1.0" encoding="utf-8"?>
<formControlPr xmlns="http://schemas.microsoft.com/office/spreadsheetml/2009/9/main" objectType="CheckBox" fmlaLink="'Sprachen &amp; Rückgabewerte(3)'!$I$44" lockText="1"/>
</file>

<file path=xl/ctrlProps/ctrlProp133.xml><?xml version="1.0" encoding="utf-8"?>
<formControlPr xmlns="http://schemas.microsoft.com/office/spreadsheetml/2009/9/main" objectType="CheckBox" fmlaLink="'Sprachen &amp; Rückgabewerte(3)'!$C$60" lockText="1"/>
</file>

<file path=xl/ctrlProps/ctrlProp134.xml><?xml version="1.0" encoding="utf-8"?>
<formControlPr xmlns="http://schemas.microsoft.com/office/spreadsheetml/2009/9/main" objectType="CheckBox" fmlaLink="'Sprachen &amp; Rückgabewerte(3)'!$C$61" lockText="1"/>
</file>

<file path=xl/ctrlProps/ctrlProp135.xml><?xml version="1.0" encoding="utf-8"?>
<formControlPr xmlns="http://schemas.microsoft.com/office/spreadsheetml/2009/9/main" objectType="CheckBox" fmlaLink="'Sprachen &amp; Rückgabewerte(3)'!$C$62" lockText="1"/>
</file>

<file path=xl/ctrlProps/ctrlProp136.xml><?xml version="1.0" encoding="utf-8"?>
<formControlPr xmlns="http://schemas.microsoft.com/office/spreadsheetml/2009/9/main" objectType="CheckBox" fmlaLink="'Sprachen &amp; Rückgabewerte(3)'!$C$63" lockText="1"/>
</file>

<file path=xl/ctrlProps/ctrlProp137.xml><?xml version="1.0" encoding="utf-8"?>
<formControlPr xmlns="http://schemas.microsoft.com/office/spreadsheetml/2009/9/main" objectType="CheckBox" fmlaLink="'Sprachen &amp; Rückgabewerte(3)'!$I$50" lockText="1"/>
</file>

<file path=xl/ctrlProps/ctrlProp138.xml><?xml version="1.0" encoding="utf-8"?>
<formControlPr xmlns="http://schemas.microsoft.com/office/spreadsheetml/2009/9/main" objectType="CheckBox" fmlaLink="'Sprachen &amp; Rückgabewerte(3)'!$I$51" lockText="1"/>
</file>

<file path=xl/ctrlProps/ctrlProp139.xml><?xml version="1.0" encoding="utf-8"?>
<formControlPr xmlns="http://schemas.microsoft.com/office/spreadsheetml/2009/9/main" objectType="CheckBox" fmlaLink="'Sprachen &amp; Rückgabewerte(3)'!$I$110" lockText="1"/>
</file>

<file path=xl/ctrlProps/ctrlProp14.xml><?xml version="1.0" encoding="utf-8"?>
<formControlPr xmlns="http://schemas.microsoft.com/office/spreadsheetml/2009/9/main" objectType="CheckBox" fmlaLink="'Sprachen &amp; Rückgabewerte'!$I$12" lockText="1"/>
</file>

<file path=xl/ctrlProps/ctrlProp140.xml><?xml version="1.0" encoding="utf-8"?>
<formControlPr xmlns="http://schemas.microsoft.com/office/spreadsheetml/2009/9/main" objectType="CheckBox" fmlaLink="'Sprachen &amp; Rückgabewerte(3)'!$I$111" lockText="1"/>
</file>

<file path=xl/ctrlProps/ctrlProp141.xml><?xml version="1.0" encoding="utf-8"?>
<formControlPr xmlns="http://schemas.microsoft.com/office/spreadsheetml/2009/9/main" objectType="CheckBox" fmlaLink="'Sprachen &amp; Rückgabewerte(3)'!$C$41" lockText="1"/>
</file>

<file path=xl/ctrlProps/ctrlProp142.xml><?xml version="1.0" encoding="utf-8"?>
<formControlPr xmlns="http://schemas.microsoft.com/office/spreadsheetml/2009/9/main" objectType="CheckBox" fmlaLink="'Sprachen &amp; Rückgabewerte(3)'!$C$42" lockText="1"/>
</file>

<file path=xl/ctrlProps/ctrlProp143.xml><?xml version="1.0" encoding="utf-8"?>
<formControlPr xmlns="http://schemas.microsoft.com/office/spreadsheetml/2009/9/main" objectType="CheckBox" fmlaLink="'Sprachen &amp; Rückgabewerte(3)'!$C$43" lockText="1"/>
</file>

<file path=xl/ctrlProps/ctrlProp144.xml><?xml version="1.0" encoding="utf-8"?>
<formControlPr xmlns="http://schemas.microsoft.com/office/spreadsheetml/2009/9/main" objectType="CheckBox" fmlaLink="'Sprachen &amp; Rückgabewerte(3)'!$C$44" lockText="1"/>
</file>

<file path=xl/ctrlProps/ctrlProp145.xml><?xml version="1.0" encoding="utf-8"?>
<formControlPr xmlns="http://schemas.microsoft.com/office/spreadsheetml/2009/9/main" objectType="CheckBox" fmlaLink="'Sprachen &amp; Rückgabewerte(3)'!$C$45" lockText="1"/>
</file>

<file path=xl/ctrlProps/ctrlProp146.xml><?xml version="1.0" encoding="utf-8"?>
<formControlPr xmlns="http://schemas.microsoft.com/office/spreadsheetml/2009/9/main" objectType="CheckBox" fmlaLink="'Sprachen &amp; Rückgabewerte(3)'!$C$46" lockText="1"/>
</file>

<file path=xl/ctrlProps/ctrlProp147.xml><?xml version="1.0" encoding="utf-8"?>
<formControlPr xmlns="http://schemas.microsoft.com/office/spreadsheetml/2009/9/main" objectType="CheckBox" fmlaLink="'Sprachen &amp; Rückgabewerte(3)'!$C$47" lockText="1"/>
</file>

<file path=xl/ctrlProps/ctrlProp148.xml><?xml version="1.0" encoding="utf-8"?>
<formControlPr xmlns="http://schemas.microsoft.com/office/spreadsheetml/2009/9/main" objectType="CheckBox" fmlaLink="'Sprachen &amp; Rückgabewerte(3)'!$C$50" lockText="1"/>
</file>

<file path=xl/ctrlProps/ctrlProp149.xml><?xml version="1.0" encoding="utf-8"?>
<formControlPr xmlns="http://schemas.microsoft.com/office/spreadsheetml/2009/9/main" objectType="CheckBox" fmlaLink="'Sprachen &amp; Rückgabewerte(3)'!$C$51" lockText="1"/>
</file>

<file path=xl/ctrlProps/ctrlProp15.xml><?xml version="1.0" encoding="utf-8"?>
<formControlPr xmlns="http://schemas.microsoft.com/office/spreadsheetml/2009/9/main" objectType="CheckBox" fmlaLink="'Sprachen &amp; Rückgabewerte'!$I$13" lockText="1"/>
</file>

<file path=xl/ctrlProps/ctrlProp150.xml><?xml version="1.0" encoding="utf-8"?>
<formControlPr xmlns="http://schemas.microsoft.com/office/spreadsheetml/2009/9/main" objectType="CheckBox" fmlaLink="'Sprachen &amp; Rückgabewerte(3)'!$C$48" lockText="1"/>
</file>

<file path=xl/ctrlProps/ctrlProp151.xml><?xml version="1.0" encoding="utf-8"?>
<formControlPr xmlns="http://schemas.microsoft.com/office/spreadsheetml/2009/9/main" objectType="CheckBox" fmlaLink="'Sprachen &amp; Rückgabewerte(3)'!$C$49" lockText="1"/>
</file>

<file path=xl/ctrlProps/ctrlProp152.xml><?xml version="1.0" encoding="utf-8"?>
<formControlPr xmlns="http://schemas.microsoft.com/office/spreadsheetml/2009/9/main" objectType="CheckBox" fmlaLink="'Sprachen &amp; Rückgabewerte(3)'!$C$57" lockText="1"/>
</file>

<file path=xl/ctrlProps/ctrlProp153.xml><?xml version="1.0" encoding="utf-8"?>
<formControlPr xmlns="http://schemas.microsoft.com/office/spreadsheetml/2009/9/main" objectType="CheckBox" fmlaLink="'Sprachen &amp; Rückgabewerte(3)'!$C$58" lockText="1"/>
</file>

<file path=xl/ctrlProps/ctrlProp154.xml><?xml version="1.0" encoding="utf-8"?>
<formControlPr xmlns="http://schemas.microsoft.com/office/spreadsheetml/2009/9/main" objectType="CheckBox" fmlaLink="'Sprachen &amp; Rückgabewerte(3)'!$C$55" lockText="1"/>
</file>

<file path=xl/ctrlProps/ctrlProp155.xml><?xml version="1.0" encoding="utf-8"?>
<formControlPr xmlns="http://schemas.microsoft.com/office/spreadsheetml/2009/9/main" objectType="CheckBox" fmlaLink="'Sprachen &amp; Rückgabewerte(3)'!$C$56" lockText="1"/>
</file>

<file path=xl/ctrlProps/ctrlProp156.xml><?xml version="1.0" encoding="utf-8"?>
<formControlPr xmlns="http://schemas.microsoft.com/office/spreadsheetml/2009/9/main" objectType="CheckBox" checked="Checked" fmlaLink="'Sprachen &amp; Rückgabewerte(3)'!$C$53" lockText="1"/>
</file>

<file path=xl/ctrlProps/ctrlProp157.xml><?xml version="1.0" encoding="utf-8"?>
<formControlPr xmlns="http://schemas.microsoft.com/office/spreadsheetml/2009/9/main" objectType="CheckBox" fmlaLink="'Sprachen &amp; Rückgabewerte(3)'!$C$54" lockText="1"/>
</file>

<file path=xl/ctrlProps/ctrlProp158.xml><?xml version="1.0" encoding="utf-8"?>
<formControlPr xmlns="http://schemas.microsoft.com/office/spreadsheetml/2009/9/main" objectType="CheckBox" fmlaLink="'Sprachen &amp; Rückgabewerte(3)'!$I$125" lockText="1"/>
</file>

<file path=xl/ctrlProps/ctrlProp159.xml><?xml version="1.0" encoding="utf-8"?>
<formControlPr xmlns="http://schemas.microsoft.com/office/spreadsheetml/2009/9/main" objectType="CheckBox" checked="Checked" fmlaLink="'Sprachen &amp; Rückgabewerte(3)'!$I$36" lockText="1"/>
</file>

<file path=xl/ctrlProps/ctrlProp16.xml><?xml version="1.0" encoding="utf-8"?>
<formControlPr xmlns="http://schemas.microsoft.com/office/spreadsheetml/2009/9/main" objectType="CheckBox" fmlaLink="'Sprachen &amp; Rückgabewerte'!$I$14" lockText="1"/>
</file>

<file path=xl/ctrlProps/ctrlProp160.xml><?xml version="1.0" encoding="utf-8"?>
<formControlPr xmlns="http://schemas.microsoft.com/office/spreadsheetml/2009/9/main" objectType="CheckBox" fmlaLink="'Sprachen &amp; Rückgabewerte(3)'!$I$39" lockText="1"/>
</file>

<file path=xl/ctrlProps/ctrlProp161.xml><?xml version="1.0" encoding="utf-8"?>
<formControlPr xmlns="http://schemas.microsoft.com/office/spreadsheetml/2009/9/main" objectType="CheckBox" fmlaLink="'Sprachen &amp; Rückgabewerte(3)'!$I$45" lockText="1"/>
</file>

<file path=xl/ctrlProps/ctrlProp162.xml><?xml version="1.0" encoding="utf-8"?>
<formControlPr xmlns="http://schemas.microsoft.com/office/spreadsheetml/2009/9/main" objectType="CheckBox" fmlaLink="'Sprachen &amp; Rückgabewerte(3)'!$I$71" lockText="1"/>
</file>

<file path=xl/ctrlProps/ctrlProp163.xml><?xml version="1.0" encoding="utf-8"?>
<formControlPr xmlns="http://schemas.microsoft.com/office/spreadsheetml/2009/9/main" objectType="Drop" dropStyle="combo" dx="16" fmlaLink="'Sprachen &amp; Rückgabewerte(4)'!$B$3:$B$6" fmlaRange="'Sprachen &amp; Rückgabewerte(4)'!$C$3:$C$6" sel="1" val="0"/>
</file>

<file path=xl/ctrlProps/ctrlProp164.xml><?xml version="1.0" encoding="utf-8"?>
<formControlPr xmlns="http://schemas.microsoft.com/office/spreadsheetml/2009/9/main" objectType="CheckBox" fmlaLink="'Sprachen &amp; Rückgabewerte(4)'!$I$30" lockText="1"/>
</file>

<file path=xl/ctrlProps/ctrlProp165.xml><?xml version="1.0" encoding="utf-8"?>
<formControlPr xmlns="http://schemas.microsoft.com/office/spreadsheetml/2009/9/main" objectType="CheckBox" fmlaLink="'Sprachen &amp; Rückgabewerte(4)'!$I$31" lockText="1"/>
</file>

<file path=xl/ctrlProps/ctrlProp166.xml><?xml version="1.0" encoding="utf-8"?>
<formControlPr xmlns="http://schemas.microsoft.com/office/spreadsheetml/2009/9/main" objectType="CheckBox" fmlaLink="'Sprachen &amp; Rückgabewerte(4)'!$I$16" lockText="1"/>
</file>

<file path=xl/ctrlProps/ctrlProp167.xml><?xml version="1.0" encoding="utf-8"?>
<formControlPr xmlns="http://schemas.microsoft.com/office/spreadsheetml/2009/9/main" objectType="CheckBox" fmlaLink="'Sprachen &amp; Rückgabewerte(4)'!$I$17" lockText="1"/>
</file>

<file path=xl/ctrlProps/ctrlProp168.xml><?xml version="1.0" encoding="utf-8"?>
<formControlPr xmlns="http://schemas.microsoft.com/office/spreadsheetml/2009/9/main" objectType="CheckBox" fmlaLink="'Sprachen &amp; Rückgabewerte(4)'!$I$18" lockText="1"/>
</file>

<file path=xl/ctrlProps/ctrlProp169.xml><?xml version="1.0" encoding="utf-8"?>
<formControlPr xmlns="http://schemas.microsoft.com/office/spreadsheetml/2009/9/main" objectType="CheckBox" fmlaLink="'Sprachen &amp; Rückgabewerte(4)'!$I$19" lockText="1"/>
</file>

<file path=xl/ctrlProps/ctrlProp17.xml><?xml version="1.0" encoding="utf-8"?>
<formControlPr xmlns="http://schemas.microsoft.com/office/spreadsheetml/2009/9/main" objectType="CheckBox" fmlaLink="'Sprachen &amp; Rückgabewerte'!$I$5" lockText="1"/>
</file>

<file path=xl/ctrlProps/ctrlProp170.xml><?xml version="1.0" encoding="utf-8"?>
<formControlPr xmlns="http://schemas.microsoft.com/office/spreadsheetml/2009/9/main" objectType="CheckBox" fmlaLink="'Sprachen &amp; Rückgabewerte(4)'!$I$20" lockText="1"/>
</file>

<file path=xl/ctrlProps/ctrlProp171.xml><?xml version="1.0" encoding="utf-8"?>
<formControlPr xmlns="http://schemas.microsoft.com/office/spreadsheetml/2009/9/main" objectType="CheckBox" fmlaLink="'Sprachen &amp; Rückgabewerte(4)'!$I$22" lockText="1"/>
</file>

<file path=xl/ctrlProps/ctrlProp172.xml><?xml version="1.0" encoding="utf-8"?>
<formControlPr xmlns="http://schemas.microsoft.com/office/spreadsheetml/2009/9/main" objectType="CheckBox" fmlaLink="'Sprachen &amp; Rückgabewerte(4)'!$I$15" lockText="1"/>
</file>

<file path=xl/ctrlProps/ctrlProp173.xml><?xml version="1.0" encoding="utf-8"?>
<formControlPr xmlns="http://schemas.microsoft.com/office/spreadsheetml/2009/9/main" objectType="CheckBox" fmlaLink="'Sprachen &amp; Rückgabewerte(4)'!$I$25" lockText="1"/>
</file>

<file path=xl/ctrlProps/ctrlProp174.xml><?xml version="1.0" encoding="utf-8"?>
<formControlPr xmlns="http://schemas.microsoft.com/office/spreadsheetml/2009/9/main" objectType="CheckBox" fmlaLink="'Sprachen &amp; Rückgabewerte(4)'!$I$10" lockText="1"/>
</file>

<file path=xl/ctrlProps/ctrlProp175.xml><?xml version="1.0" encoding="utf-8"?>
<formControlPr xmlns="http://schemas.microsoft.com/office/spreadsheetml/2009/9/main" objectType="CheckBox" fmlaLink="'Sprachen &amp; Rückgabewerte(4)'!$I$11" lockText="1"/>
</file>

<file path=xl/ctrlProps/ctrlProp176.xml><?xml version="1.0" encoding="utf-8"?>
<formControlPr xmlns="http://schemas.microsoft.com/office/spreadsheetml/2009/9/main" objectType="CheckBox" fmlaLink="'Sprachen &amp; Rückgabewerte(4)'!$I$12" lockText="1"/>
</file>

<file path=xl/ctrlProps/ctrlProp177.xml><?xml version="1.0" encoding="utf-8"?>
<formControlPr xmlns="http://schemas.microsoft.com/office/spreadsheetml/2009/9/main" objectType="CheckBox" fmlaLink="'Sprachen &amp; Rückgabewerte(4)'!$I$13" lockText="1"/>
</file>

<file path=xl/ctrlProps/ctrlProp178.xml><?xml version="1.0" encoding="utf-8"?>
<formControlPr xmlns="http://schemas.microsoft.com/office/spreadsheetml/2009/9/main" objectType="CheckBox" fmlaLink="'Sprachen &amp; Rückgabewerte(4)'!$I$14" lockText="1"/>
</file>

<file path=xl/ctrlProps/ctrlProp179.xml><?xml version="1.0" encoding="utf-8"?>
<formControlPr xmlns="http://schemas.microsoft.com/office/spreadsheetml/2009/9/main" objectType="CheckBox" fmlaLink="'Sprachen &amp; Rückgabewerte(4)'!$I$5" lockText="1"/>
</file>

<file path=xl/ctrlProps/ctrlProp18.xml><?xml version="1.0" encoding="utf-8"?>
<formControlPr xmlns="http://schemas.microsoft.com/office/spreadsheetml/2009/9/main" objectType="CheckBox" fmlaLink="'Sprachen &amp; Rückgabewerte'!$I$6" lockText="1"/>
</file>

<file path=xl/ctrlProps/ctrlProp180.xml><?xml version="1.0" encoding="utf-8"?>
<formControlPr xmlns="http://schemas.microsoft.com/office/spreadsheetml/2009/9/main" objectType="CheckBox" fmlaLink="'Sprachen &amp; Rückgabewerte(4)'!$I$6" lockText="1"/>
</file>

<file path=xl/ctrlProps/ctrlProp181.xml><?xml version="1.0" encoding="utf-8"?>
<formControlPr xmlns="http://schemas.microsoft.com/office/spreadsheetml/2009/9/main" objectType="CheckBox" checked="Checked" fmlaLink="'Sprachen &amp; Rückgabewerte(4)'!$C$37" lockText="1"/>
</file>

<file path=xl/ctrlProps/ctrlProp182.xml><?xml version="1.0" encoding="utf-8"?>
<formControlPr xmlns="http://schemas.microsoft.com/office/spreadsheetml/2009/9/main" objectType="CheckBox" checked="Checked" fmlaLink="'Sprachen &amp; Rückgabewerte(4)'!$C$38" lockText="1"/>
</file>

<file path=xl/ctrlProps/ctrlProp183.xml><?xml version="1.0" encoding="utf-8"?>
<formControlPr xmlns="http://schemas.microsoft.com/office/spreadsheetml/2009/9/main" objectType="CheckBox" fmlaLink="'Sprachen &amp; Rückgabewerte(4)'!$C$39" lockText="1"/>
</file>

<file path=xl/ctrlProps/ctrlProp184.xml><?xml version="1.0" encoding="utf-8"?>
<formControlPr xmlns="http://schemas.microsoft.com/office/spreadsheetml/2009/9/main" objectType="CheckBox" fmlaLink="'Sprachen &amp; Rückgabewerte(4)'!$C$40" lockText="1"/>
</file>

<file path=xl/ctrlProps/ctrlProp185.xml><?xml version="1.0" encoding="utf-8"?>
<formControlPr xmlns="http://schemas.microsoft.com/office/spreadsheetml/2009/9/main" objectType="CheckBox" fmlaLink="'Sprachen &amp; Rückgabewerte(4)'!$I$43" lockText="1"/>
</file>

<file path=xl/ctrlProps/ctrlProp186.xml><?xml version="1.0" encoding="utf-8"?>
<formControlPr xmlns="http://schemas.microsoft.com/office/spreadsheetml/2009/9/main" objectType="CheckBox" fmlaLink="'Sprachen &amp; Rückgabewerte(4)'!$I$44" lockText="1"/>
</file>

<file path=xl/ctrlProps/ctrlProp187.xml><?xml version="1.0" encoding="utf-8"?>
<formControlPr xmlns="http://schemas.microsoft.com/office/spreadsheetml/2009/9/main" objectType="CheckBox" fmlaLink="'Sprachen &amp; Rückgabewerte(4)'!$C$60" lockText="1"/>
</file>

<file path=xl/ctrlProps/ctrlProp188.xml><?xml version="1.0" encoding="utf-8"?>
<formControlPr xmlns="http://schemas.microsoft.com/office/spreadsheetml/2009/9/main" objectType="CheckBox" fmlaLink="'Sprachen &amp; Rückgabewerte(4)'!$C$61" lockText="1"/>
</file>

<file path=xl/ctrlProps/ctrlProp189.xml><?xml version="1.0" encoding="utf-8"?>
<formControlPr xmlns="http://schemas.microsoft.com/office/spreadsheetml/2009/9/main" objectType="CheckBox" fmlaLink="'Sprachen &amp; Rückgabewerte(4)'!$C$62" lockText="1"/>
</file>

<file path=xl/ctrlProps/ctrlProp19.xml><?xml version="1.0" encoding="utf-8"?>
<formControlPr xmlns="http://schemas.microsoft.com/office/spreadsheetml/2009/9/main" objectType="CheckBox" checked="Checked" fmlaLink="'Sprachen &amp; Rückgabewerte'!$C$37" lockText="1"/>
</file>

<file path=xl/ctrlProps/ctrlProp190.xml><?xml version="1.0" encoding="utf-8"?>
<formControlPr xmlns="http://schemas.microsoft.com/office/spreadsheetml/2009/9/main" objectType="CheckBox" fmlaLink="'Sprachen &amp; Rückgabewerte(4)'!$C$63" lockText="1"/>
</file>

<file path=xl/ctrlProps/ctrlProp191.xml><?xml version="1.0" encoding="utf-8"?>
<formControlPr xmlns="http://schemas.microsoft.com/office/spreadsheetml/2009/9/main" objectType="CheckBox" fmlaLink="'Sprachen &amp; Rückgabewerte(4)'!$I$50" lockText="1"/>
</file>

<file path=xl/ctrlProps/ctrlProp192.xml><?xml version="1.0" encoding="utf-8"?>
<formControlPr xmlns="http://schemas.microsoft.com/office/spreadsheetml/2009/9/main" objectType="CheckBox" fmlaLink="'Sprachen &amp; Rückgabewerte(4)'!$I$51" lockText="1"/>
</file>

<file path=xl/ctrlProps/ctrlProp193.xml><?xml version="1.0" encoding="utf-8"?>
<formControlPr xmlns="http://schemas.microsoft.com/office/spreadsheetml/2009/9/main" objectType="CheckBox" fmlaLink="'Sprachen &amp; Rückgabewerte(4)'!$I$110" lockText="1"/>
</file>

<file path=xl/ctrlProps/ctrlProp194.xml><?xml version="1.0" encoding="utf-8"?>
<formControlPr xmlns="http://schemas.microsoft.com/office/spreadsheetml/2009/9/main" objectType="CheckBox" fmlaLink="'Sprachen &amp; Rückgabewerte(4)'!$I$111" lockText="1"/>
</file>

<file path=xl/ctrlProps/ctrlProp195.xml><?xml version="1.0" encoding="utf-8"?>
<formControlPr xmlns="http://schemas.microsoft.com/office/spreadsheetml/2009/9/main" objectType="CheckBox" fmlaLink="'Sprachen &amp; Rückgabewerte(4)'!$C$41" lockText="1"/>
</file>

<file path=xl/ctrlProps/ctrlProp196.xml><?xml version="1.0" encoding="utf-8"?>
<formControlPr xmlns="http://schemas.microsoft.com/office/spreadsheetml/2009/9/main" objectType="CheckBox" fmlaLink="'Sprachen &amp; Rückgabewerte(4)'!$C$42" lockText="1"/>
</file>

<file path=xl/ctrlProps/ctrlProp197.xml><?xml version="1.0" encoding="utf-8"?>
<formControlPr xmlns="http://schemas.microsoft.com/office/spreadsheetml/2009/9/main" objectType="CheckBox" fmlaLink="'Sprachen &amp; Rückgabewerte(4)'!$C$43" lockText="1"/>
</file>

<file path=xl/ctrlProps/ctrlProp198.xml><?xml version="1.0" encoding="utf-8"?>
<formControlPr xmlns="http://schemas.microsoft.com/office/spreadsheetml/2009/9/main" objectType="CheckBox" fmlaLink="'Sprachen &amp; Rückgabewerte(4)'!$C$44" lockText="1"/>
</file>

<file path=xl/ctrlProps/ctrlProp199.xml><?xml version="1.0" encoding="utf-8"?>
<formControlPr xmlns="http://schemas.microsoft.com/office/spreadsheetml/2009/9/main" objectType="CheckBox" fmlaLink="'Sprachen &amp; Rückgabewerte(4)'!$C$45" lockText="1"/>
</file>

<file path=xl/ctrlProps/ctrlProp2.xml><?xml version="1.0" encoding="utf-8"?>
<formControlPr xmlns="http://schemas.microsoft.com/office/spreadsheetml/2009/9/main" objectType="CheckBox" fmlaLink="'Sprachen &amp; Rückgabewerte'!$I$30" lockText="1"/>
</file>

<file path=xl/ctrlProps/ctrlProp20.xml><?xml version="1.0" encoding="utf-8"?>
<formControlPr xmlns="http://schemas.microsoft.com/office/spreadsheetml/2009/9/main" objectType="CheckBox" checked="Checked" fmlaLink="'Sprachen &amp; Rückgabewerte'!$C$38" lockText="1"/>
</file>

<file path=xl/ctrlProps/ctrlProp200.xml><?xml version="1.0" encoding="utf-8"?>
<formControlPr xmlns="http://schemas.microsoft.com/office/spreadsheetml/2009/9/main" objectType="CheckBox" fmlaLink="'Sprachen &amp; Rückgabewerte(4)'!$C$46" lockText="1"/>
</file>

<file path=xl/ctrlProps/ctrlProp201.xml><?xml version="1.0" encoding="utf-8"?>
<formControlPr xmlns="http://schemas.microsoft.com/office/spreadsheetml/2009/9/main" objectType="CheckBox" fmlaLink="'Sprachen &amp; Rückgabewerte(4)'!$C$47" lockText="1"/>
</file>

<file path=xl/ctrlProps/ctrlProp202.xml><?xml version="1.0" encoding="utf-8"?>
<formControlPr xmlns="http://schemas.microsoft.com/office/spreadsheetml/2009/9/main" objectType="CheckBox" fmlaLink="'Sprachen &amp; Rückgabewerte(4)'!$C$50" lockText="1"/>
</file>

<file path=xl/ctrlProps/ctrlProp203.xml><?xml version="1.0" encoding="utf-8"?>
<formControlPr xmlns="http://schemas.microsoft.com/office/spreadsheetml/2009/9/main" objectType="CheckBox" fmlaLink="'Sprachen &amp; Rückgabewerte(4)'!$C$51" lockText="1"/>
</file>

<file path=xl/ctrlProps/ctrlProp204.xml><?xml version="1.0" encoding="utf-8"?>
<formControlPr xmlns="http://schemas.microsoft.com/office/spreadsheetml/2009/9/main" objectType="CheckBox" fmlaLink="'Sprachen &amp; Rückgabewerte(4)'!$C$48" lockText="1"/>
</file>

<file path=xl/ctrlProps/ctrlProp205.xml><?xml version="1.0" encoding="utf-8"?>
<formControlPr xmlns="http://schemas.microsoft.com/office/spreadsheetml/2009/9/main" objectType="CheckBox" fmlaLink="'Sprachen &amp; Rückgabewerte(4)'!$C$49" lockText="1"/>
</file>

<file path=xl/ctrlProps/ctrlProp206.xml><?xml version="1.0" encoding="utf-8"?>
<formControlPr xmlns="http://schemas.microsoft.com/office/spreadsheetml/2009/9/main" objectType="CheckBox" fmlaLink="'Sprachen &amp; Rückgabewerte(4)'!$C$57" lockText="1"/>
</file>

<file path=xl/ctrlProps/ctrlProp207.xml><?xml version="1.0" encoding="utf-8"?>
<formControlPr xmlns="http://schemas.microsoft.com/office/spreadsheetml/2009/9/main" objectType="CheckBox" fmlaLink="'Sprachen &amp; Rückgabewerte(4)'!$C$58" lockText="1"/>
</file>

<file path=xl/ctrlProps/ctrlProp208.xml><?xml version="1.0" encoding="utf-8"?>
<formControlPr xmlns="http://schemas.microsoft.com/office/spreadsheetml/2009/9/main" objectType="CheckBox" fmlaLink="'Sprachen &amp; Rückgabewerte(4)'!$C$55" lockText="1"/>
</file>

<file path=xl/ctrlProps/ctrlProp209.xml><?xml version="1.0" encoding="utf-8"?>
<formControlPr xmlns="http://schemas.microsoft.com/office/spreadsheetml/2009/9/main" objectType="CheckBox" fmlaLink="'Sprachen &amp; Rückgabewerte(4)'!$C$56" lockText="1"/>
</file>

<file path=xl/ctrlProps/ctrlProp21.xml><?xml version="1.0" encoding="utf-8"?>
<formControlPr xmlns="http://schemas.microsoft.com/office/spreadsheetml/2009/9/main" objectType="CheckBox" fmlaLink="'Sprachen &amp; Rückgabewerte'!$C$39" lockText="1"/>
</file>

<file path=xl/ctrlProps/ctrlProp210.xml><?xml version="1.0" encoding="utf-8"?>
<formControlPr xmlns="http://schemas.microsoft.com/office/spreadsheetml/2009/9/main" objectType="CheckBox" checked="Checked" fmlaLink="'Sprachen &amp; Rückgabewerte(4)'!$C$53" lockText="1"/>
</file>

<file path=xl/ctrlProps/ctrlProp211.xml><?xml version="1.0" encoding="utf-8"?>
<formControlPr xmlns="http://schemas.microsoft.com/office/spreadsheetml/2009/9/main" objectType="CheckBox" fmlaLink="'Sprachen &amp; Rückgabewerte(4)'!$C$54" lockText="1"/>
</file>

<file path=xl/ctrlProps/ctrlProp212.xml><?xml version="1.0" encoding="utf-8"?>
<formControlPr xmlns="http://schemas.microsoft.com/office/spreadsheetml/2009/9/main" objectType="CheckBox" fmlaLink="'Sprachen &amp; Rückgabewerte(4)'!$I$125" lockText="1"/>
</file>

<file path=xl/ctrlProps/ctrlProp213.xml><?xml version="1.0" encoding="utf-8"?>
<formControlPr xmlns="http://schemas.microsoft.com/office/spreadsheetml/2009/9/main" objectType="CheckBox" checked="Checked" fmlaLink="'Sprachen &amp; Rückgabewerte(4)'!$I$36" lockText="1"/>
</file>

<file path=xl/ctrlProps/ctrlProp214.xml><?xml version="1.0" encoding="utf-8"?>
<formControlPr xmlns="http://schemas.microsoft.com/office/spreadsheetml/2009/9/main" objectType="CheckBox" fmlaLink="'Sprachen &amp; Rückgabewerte(4)'!$I$39" lockText="1"/>
</file>

<file path=xl/ctrlProps/ctrlProp215.xml><?xml version="1.0" encoding="utf-8"?>
<formControlPr xmlns="http://schemas.microsoft.com/office/spreadsheetml/2009/9/main" objectType="CheckBox" fmlaLink="'Sprachen &amp; Rückgabewerte(4)'!$I$45" lockText="1"/>
</file>

<file path=xl/ctrlProps/ctrlProp216.xml><?xml version="1.0" encoding="utf-8"?>
<formControlPr xmlns="http://schemas.microsoft.com/office/spreadsheetml/2009/9/main" objectType="CheckBox" fmlaLink="'Sprachen &amp; Rückgabewerte(4)'!$I$71" lockText="1"/>
</file>

<file path=xl/ctrlProps/ctrlProp217.xml><?xml version="1.0" encoding="utf-8"?>
<formControlPr xmlns="http://schemas.microsoft.com/office/spreadsheetml/2009/9/main" objectType="Drop" dropStyle="combo" dx="16" fmlaLink="'Sprachen &amp; Rückgabewerte(5)'!$B$3:$B$6" fmlaRange="'Sprachen &amp; Rückgabewerte(5)'!$C$3:$C$6" sel="1" val="0"/>
</file>

<file path=xl/ctrlProps/ctrlProp218.xml><?xml version="1.0" encoding="utf-8"?>
<formControlPr xmlns="http://schemas.microsoft.com/office/spreadsheetml/2009/9/main" objectType="CheckBox" fmlaLink="'Sprachen &amp; Rückgabewerte(5)'!$I$30" lockText="1"/>
</file>

<file path=xl/ctrlProps/ctrlProp219.xml><?xml version="1.0" encoding="utf-8"?>
<formControlPr xmlns="http://schemas.microsoft.com/office/spreadsheetml/2009/9/main" objectType="CheckBox" fmlaLink="'Sprachen &amp; Rückgabewerte(5)'!$I$31" lockText="1"/>
</file>

<file path=xl/ctrlProps/ctrlProp22.xml><?xml version="1.0" encoding="utf-8"?>
<formControlPr xmlns="http://schemas.microsoft.com/office/spreadsheetml/2009/9/main" objectType="CheckBox" fmlaLink="'Sprachen &amp; Rückgabewerte'!$C$40" lockText="1"/>
</file>

<file path=xl/ctrlProps/ctrlProp220.xml><?xml version="1.0" encoding="utf-8"?>
<formControlPr xmlns="http://schemas.microsoft.com/office/spreadsheetml/2009/9/main" objectType="CheckBox" fmlaLink="'Sprachen &amp; Rückgabewerte(5)'!$I$16" lockText="1"/>
</file>

<file path=xl/ctrlProps/ctrlProp221.xml><?xml version="1.0" encoding="utf-8"?>
<formControlPr xmlns="http://schemas.microsoft.com/office/spreadsheetml/2009/9/main" objectType="CheckBox" fmlaLink="'Sprachen &amp; Rückgabewerte(5)'!$I$17" lockText="1"/>
</file>

<file path=xl/ctrlProps/ctrlProp222.xml><?xml version="1.0" encoding="utf-8"?>
<formControlPr xmlns="http://schemas.microsoft.com/office/spreadsheetml/2009/9/main" objectType="CheckBox" fmlaLink="'Sprachen &amp; Rückgabewerte(5)'!$I$18" lockText="1"/>
</file>

<file path=xl/ctrlProps/ctrlProp223.xml><?xml version="1.0" encoding="utf-8"?>
<formControlPr xmlns="http://schemas.microsoft.com/office/spreadsheetml/2009/9/main" objectType="CheckBox" fmlaLink="'Sprachen &amp; Rückgabewerte(5)'!$I$19" lockText="1"/>
</file>

<file path=xl/ctrlProps/ctrlProp224.xml><?xml version="1.0" encoding="utf-8"?>
<formControlPr xmlns="http://schemas.microsoft.com/office/spreadsheetml/2009/9/main" objectType="CheckBox" fmlaLink="'Sprachen &amp; Rückgabewerte(5)'!$I$20" lockText="1"/>
</file>

<file path=xl/ctrlProps/ctrlProp225.xml><?xml version="1.0" encoding="utf-8"?>
<formControlPr xmlns="http://schemas.microsoft.com/office/spreadsheetml/2009/9/main" objectType="CheckBox" fmlaLink="'Sprachen &amp; Rückgabewerte(5)'!$I$22" lockText="1"/>
</file>

<file path=xl/ctrlProps/ctrlProp226.xml><?xml version="1.0" encoding="utf-8"?>
<formControlPr xmlns="http://schemas.microsoft.com/office/spreadsheetml/2009/9/main" objectType="CheckBox" fmlaLink="'Sprachen &amp; Rückgabewerte(5)'!$I$15" lockText="1"/>
</file>

<file path=xl/ctrlProps/ctrlProp227.xml><?xml version="1.0" encoding="utf-8"?>
<formControlPr xmlns="http://schemas.microsoft.com/office/spreadsheetml/2009/9/main" objectType="CheckBox" fmlaLink="'Sprachen &amp; Rückgabewerte(5)'!$I$25" lockText="1"/>
</file>

<file path=xl/ctrlProps/ctrlProp228.xml><?xml version="1.0" encoding="utf-8"?>
<formControlPr xmlns="http://schemas.microsoft.com/office/spreadsheetml/2009/9/main" objectType="CheckBox" fmlaLink="'Sprachen &amp; Rückgabewerte(5)'!$I$10" lockText="1"/>
</file>

<file path=xl/ctrlProps/ctrlProp229.xml><?xml version="1.0" encoding="utf-8"?>
<formControlPr xmlns="http://schemas.microsoft.com/office/spreadsheetml/2009/9/main" objectType="CheckBox" fmlaLink="'Sprachen &amp; Rückgabewerte(5)'!$I$11" lockText="1"/>
</file>

<file path=xl/ctrlProps/ctrlProp23.xml><?xml version="1.0" encoding="utf-8"?>
<formControlPr xmlns="http://schemas.microsoft.com/office/spreadsheetml/2009/9/main" objectType="CheckBox" fmlaLink="'Sprachen &amp; Rückgabewerte'!$I$43" lockText="1"/>
</file>

<file path=xl/ctrlProps/ctrlProp230.xml><?xml version="1.0" encoding="utf-8"?>
<formControlPr xmlns="http://schemas.microsoft.com/office/spreadsheetml/2009/9/main" objectType="CheckBox" fmlaLink="'Sprachen &amp; Rückgabewerte(5)'!$I$12" lockText="1"/>
</file>

<file path=xl/ctrlProps/ctrlProp231.xml><?xml version="1.0" encoding="utf-8"?>
<formControlPr xmlns="http://schemas.microsoft.com/office/spreadsheetml/2009/9/main" objectType="CheckBox" fmlaLink="'Sprachen &amp; Rückgabewerte(5)'!$I$13" lockText="1"/>
</file>

<file path=xl/ctrlProps/ctrlProp232.xml><?xml version="1.0" encoding="utf-8"?>
<formControlPr xmlns="http://schemas.microsoft.com/office/spreadsheetml/2009/9/main" objectType="CheckBox" fmlaLink="'Sprachen &amp; Rückgabewerte(5)'!$I$14" lockText="1"/>
</file>

<file path=xl/ctrlProps/ctrlProp233.xml><?xml version="1.0" encoding="utf-8"?>
<formControlPr xmlns="http://schemas.microsoft.com/office/spreadsheetml/2009/9/main" objectType="CheckBox" fmlaLink="'Sprachen &amp; Rückgabewerte(5)'!$I$5" lockText="1"/>
</file>

<file path=xl/ctrlProps/ctrlProp234.xml><?xml version="1.0" encoding="utf-8"?>
<formControlPr xmlns="http://schemas.microsoft.com/office/spreadsheetml/2009/9/main" objectType="CheckBox" fmlaLink="'Sprachen &amp; Rückgabewerte(5)'!$I$6" lockText="1"/>
</file>

<file path=xl/ctrlProps/ctrlProp235.xml><?xml version="1.0" encoding="utf-8"?>
<formControlPr xmlns="http://schemas.microsoft.com/office/spreadsheetml/2009/9/main" objectType="CheckBox" checked="Checked" fmlaLink="'Sprachen &amp; Rückgabewerte(5)'!$C$37" lockText="1"/>
</file>

<file path=xl/ctrlProps/ctrlProp236.xml><?xml version="1.0" encoding="utf-8"?>
<formControlPr xmlns="http://schemas.microsoft.com/office/spreadsheetml/2009/9/main" objectType="CheckBox" checked="Checked" fmlaLink="'Sprachen &amp; Rückgabewerte(5)'!$C$38" lockText="1"/>
</file>

<file path=xl/ctrlProps/ctrlProp237.xml><?xml version="1.0" encoding="utf-8"?>
<formControlPr xmlns="http://schemas.microsoft.com/office/spreadsheetml/2009/9/main" objectType="CheckBox" fmlaLink="'Sprachen &amp; Rückgabewerte(5)'!$C$39" lockText="1"/>
</file>

<file path=xl/ctrlProps/ctrlProp238.xml><?xml version="1.0" encoding="utf-8"?>
<formControlPr xmlns="http://schemas.microsoft.com/office/spreadsheetml/2009/9/main" objectType="CheckBox" fmlaLink="'Sprachen &amp; Rückgabewerte(5)'!$C$40" lockText="1"/>
</file>

<file path=xl/ctrlProps/ctrlProp239.xml><?xml version="1.0" encoding="utf-8"?>
<formControlPr xmlns="http://schemas.microsoft.com/office/spreadsheetml/2009/9/main" objectType="CheckBox" fmlaLink="'Sprachen &amp; Rückgabewerte(5)'!$I$43" lockText="1"/>
</file>

<file path=xl/ctrlProps/ctrlProp24.xml><?xml version="1.0" encoding="utf-8"?>
<formControlPr xmlns="http://schemas.microsoft.com/office/spreadsheetml/2009/9/main" objectType="CheckBox" fmlaLink="'Sprachen &amp; Rückgabewerte'!$I$44" lockText="1"/>
</file>

<file path=xl/ctrlProps/ctrlProp240.xml><?xml version="1.0" encoding="utf-8"?>
<formControlPr xmlns="http://schemas.microsoft.com/office/spreadsheetml/2009/9/main" objectType="CheckBox" fmlaLink="'Sprachen &amp; Rückgabewerte(5)'!$I$44" lockText="1"/>
</file>

<file path=xl/ctrlProps/ctrlProp241.xml><?xml version="1.0" encoding="utf-8"?>
<formControlPr xmlns="http://schemas.microsoft.com/office/spreadsheetml/2009/9/main" objectType="CheckBox" fmlaLink="'Sprachen &amp; Rückgabewerte(5)'!$C$60" lockText="1"/>
</file>

<file path=xl/ctrlProps/ctrlProp242.xml><?xml version="1.0" encoding="utf-8"?>
<formControlPr xmlns="http://schemas.microsoft.com/office/spreadsheetml/2009/9/main" objectType="CheckBox" fmlaLink="'Sprachen &amp; Rückgabewerte(5)'!$C$61" lockText="1"/>
</file>

<file path=xl/ctrlProps/ctrlProp243.xml><?xml version="1.0" encoding="utf-8"?>
<formControlPr xmlns="http://schemas.microsoft.com/office/spreadsheetml/2009/9/main" objectType="CheckBox" fmlaLink="'Sprachen &amp; Rückgabewerte(5)'!$C$62" lockText="1"/>
</file>

<file path=xl/ctrlProps/ctrlProp244.xml><?xml version="1.0" encoding="utf-8"?>
<formControlPr xmlns="http://schemas.microsoft.com/office/spreadsheetml/2009/9/main" objectType="CheckBox" fmlaLink="'Sprachen &amp; Rückgabewerte(5)'!$C$63" lockText="1"/>
</file>

<file path=xl/ctrlProps/ctrlProp245.xml><?xml version="1.0" encoding="utf-8"?>
<formControlPr xmlns="http://schemas.microsoft.com/office/spreadsheetml/2009/9/main" objectType="CheckBox" fmlaLink="'Sprachen &amp; Rückgabewerte(5)'!$I$50" lockText="1"/>
</file>

<file path=xl/ctrlProps/ctrlProp246.xml><?xml version="1.0" encoding="utf-8"?>
<formControlPr xmlns="http://schemas.microsoft.com/office/spreadsheetml/2009/9/main" objectType="CheckBox" fmlaLink="'Sprachen &amp; Rückgabewerte(5)'!$I$51" lockText="1"/>
</file>

<file path=xl/ctrlProps/ctrlProp247.xml><?xml version="1.0" encoding="utf-8"?>
<formControlPr xmlns="http://schemas.microsoft.com/office/spreadsheetml/2009/9/main" objectType="CheckBox" fmlaLink="'Sprachen &amp; Rückgabewerte(5)'!$I$110" lockText="1"/>
</file>

<file path=xl/ctrlProps/ctrlProp248.xml><?xml version="1.0" encoding="utf-8"?>
<formControlPr xmlns="http://schemas.microsoft.com/office/spreadsheetml/2009/9/main" objectType="CheckBox" fmlaLink="'Sprachen &amp; Rückgabewerte(5)'!$I$111" lockText="1"/>
</file>

<file path=xl/ctrlProps/ctrlProp249.xml><?xml version="1.0" encoding="utf-8"?>
<formControlPr xmlns="http://schemas.microsoft.com/office/spreadsheetml/2009/9/main" objectType="CheckBox" fmlaLink="'Sprachen &amp; Rückgabewerte(5)'!$C$41" lockText="1"/>
</file>

<file path=xl/ctrlProps/ctrlProp25.xml><?xml version="1.0" encoding="utf-8"?>
<formControlPr xmlns="http://schemas.microsoft.com/office/spreadsheetml/2009/9/main" objectType="CheckBox" fmlaLink="'Sprachen &amp; Rückgabewerte'!$C$60" lockText="1"/>
</file>

<file path=xl/ctrlProps/ctrlProp250.xml><?xml version="1.0" encoding="utf-8"?>
<formControlPr xmlns="http://schemas.microsoft.com/office/spreadsheetml/2009/9/main" objectType="CheckBox" fmlaLink="'Sprachen &amp; Rückgabewerte(5)'!$C$42" lockText="1"/>
</file>

<file path=xl/ctrlProps/ctrlProp251.xml><?xml version="1.0" encoding="utf-8"?>
<formControlPr xmlns="http://schemas.microsoft.com/office/spreadsheetml/2009/9/main" objectType="CheckBox" fmlaLink="'Sprachen &amp; Rückgabewerte(5)'!$C$43" lockText="1"/>
</file>

<file path=xl/ctrlProps/ctrlProp252.xml><?xml version="1.0" encoding="utf-8"?>
<formControlPr xmlns="http://schemas.microsoft.com/office/spreadsheetml/2009/9/main" objectType="CheckBox" fmlaLink="'Sprachen &amp; Rückgabewerte(5)'!$C$44" lockText="1"/>
</file>

<file path=xl/ctrlProps/ctrlProp253.xml><?xml version="1.0" encoding="utf-8"?>
<formControlPr xmlns="http://schemas.microsoft.com/office/spreadsheetml/2009/9/main" objectType="CheckBox" fmlaLink="'Sprachen &amp; Rückgabewerte(5)'!$C$45" lockText="1"/>
</file>

<file path=xl/ctrlProps/ctrlProp254.xml><?xml version="1.0" encoding="utf-8"?>
<formControlPr xmlns="http://schemas.microsoft.com/office/spreadsheetml/2009/9/main" objectType="CheckBox" fmlaLink="'Sprachen &amp; Rückgabewerte(5)'!$C$46" lockText="1"/>
</file>

<file path=xl/ctrlProps/ctrlProp255.xml><?xml version="1.0" encoding="utf-8"?>
<formControlPr xmlns="http://schemas.microsoft.com/office/spreadsheetml/2009/9/main" objectType="CheckBox" fmlaLink="'Sprachen &amp; Rückgabewerte(5)'!$C$47" lockText="1"/>
</file>

<file path=xl/ctrlProps/ctrlProp256.xml><?xml version="1.0" encoding="utf-8"?>
<formControlPr xmlns="http://schemas.microsoft.com/office/spreadsheetml/2009/9/main" objectType="CheckBox" fmlaLink="'Sprachen &amp; Rückgabewerte(5)'!$C$50" lockText="1"/>
</file>

<file path=xl/ctrlProps/ctrlProp257.xml><?xml version="1.0" encoding="utf-8"?>
<formControlPr xmlns="http://schemas.microsoft.com/office/spreadsheetml/2009/9/main" objectType="CheckBox" fmlaLink="'Sprachen &amp; Rückgabewerte(5)'!$C$51" lockText="1"/>
</file>

<file path=xl/ctrlProps/ctrlProp258.xml><?xml version="1.0" encoding="utf-8"?>
<formControlPr xmlns="http://schemas.microsoft.com/office/spreadsheetml/2009/9/main" objectType="CheckBox" fmlaLink="'Sprachen &amp; Rückgabewerte(5)'!$C$48" lockText="1"/>
</file>

<file path=xl/ctrlProps/ctrlProp259.xml><?xml version="1.0" encoding="utf-8"?>
<formControlPr xmlns="http://schemas.microsoft.com/office/spreadsheetml/2009/9/main" objectType="CheckBox" fmlaLink="'Sprachen &amp; Rückgabewerte(5)'!$C$49" lockText="1"/>
</file>

<file path=xl/ctrlProps/ctrlProp26.xml><?xml version="1.0" encoding="utf-8"?>
<formControlPr xmlns="http://schemas.microsoft.com/office/spreadsheetml/2009/9/main" objectType="CheckBox" fmlaLink="'Sprachen &amp; Rückgabewerte'!$C$61" lockText="1"/>
</file>

<file path=xl/ctrlProps/ctrlProp260.xml><?xml version="1.0" encoding="utf-8"?>
<formControlPr xmlns="http://schemas.microsoft.com/office/spreadsheetml/2009/9/main" objectType="CheckBox" fmlaLink="'Sprachen &amp; Rückgabewerte(5)'!$C$57" lockText="1"/>
</file>

<file path=xl/ctrlProps/ctrlProp261.xml><?xml version="1.0" encoding="utf-8"?>
<formControlPr xmlns="http://schemas.microsoft.com/office/spreadsheetml/2009/9/main" objectType="CheckBox" fmlaLink="'Sprachen &amp; Rückgabewerte(5)'!$C$58" lockText="1"/>
</file>

<file path=xl/ctrlProps/ctrlProp262.xml><?xml version="1.0" encoding="utf-8"?>
<formControlPr xmlns="http://schemas.microsoft.com/office/spreadsheetml/2009/9/main" objectType="CheckBox" fmlaLink="'Sprachen &amp; Rückgabewerte(5)'!$C$55" lockText="1"/>
</file>

<file path=xl/ctrlProps/ctrlProp263.xml><?xml version="1.0" encoding="utf-8"?>
<formControlPr xmlns="http://schemas.microsoft.com/office/spreadsheetml/2009/9/main" objectType="CheckBox" fmlaLink="'Sprachen &amp; Rückgabewerte(5)'!$C$56" lockText="1"/>
</file>

<file path=xl/ctrlProps/ctrlProp264.xml><?xml version="1.0" encoding="utf-8"?>
<formControlPr xmlns="http://schemas.microsoft.com/office/spreadsheetml/2009/9/main" objectType="CheckBox" checked="Checked" fmlaLink="'Sprachen &amp; Rückgabewerte(5)'!$C$53" lockText="1"/>
</file>

<file path=xl/ctrlProps/ctrlProp265.xml><?xml version="1.0" encoding="utf-8"?>
<formControlPr xmlns="http://schemas.microsoft.com/office/spreadsheetml/2009/9/main" objectType="CheckBox" fmlaLink="'Sprachen &amp; Rückgabewerte(5)'!$C$54" lockText="1"/>
</file>

<file path=xl/ctrlProps/ctrlProp266.xml><?xml version="1.0" encoding="utf-8"?>
<formControlPr xmlns="http://schemas.microsoft.com/office/spreadsheetml/2009/9/main" objectType="CheckBox" fmlaLink="'Sprachen &amp; Rückgabewerte(5)'!$I$125" lockText="1"/>
</file>

<file path=xl/ctrlProps/ctrlProp267.xml><?xml version="1.0" encoding="utf-8"?>
<formControlPr xmlns="http://schemas.microsoft.com/office/spreadsheetml/2009/9/main" objectType="CheckBox" checked="Checked" fmlaLink="'Sprachen &amp; Rückgabewerte(5)'!$I$36" lockText="1"/>
</file>

<file path=xl/ctrlProps/ctrlProp268.xml><?xml version="1.0" encoding="utf-8"?>
<formControlPr xmlns="http://schemas.microsoft.com/office/spreadsheetml/2009/9/main" objectType="CheckBox" fmlaLink="'Sprachen &amp; Rückgabewerte(5)'!$I$39" lockText="1"/>
</file>

<file path=xl/ctrlProps/ctrlProp269.xml><?xml version="1.0" encoding="utf-8"?>
<formControlPr xmlns="http://schemas.microsoft.com/office/spreadsheetml/2009/9/main" objectType="CheckBox" fmlaLink="'Sprachen &amp; Rückgabewerte(5)'!$I$45" lockText="1"/>
</file>

<file path=xl/ctrlProps/ctrlProp27.xml><?xml version="1.0" encoding="utf-8"?>
<formControlPr xmlns="http://schemas.microsoft.com/office/spreadsheetml/2009/9/main" objectType="CheckBox" fmlaLink="'Sprachen &amp; Rückgabewerte'!$C$62" lockText="1"/>
</file>

<file path=xl/ctrlProps/ctrlProp270.xml><?xml version="1.0" encoding="utf-8"?>
<formControlPr xmlns="http://schemas.microsoft.com/office/spreadsheetml/2009/9/main" objectType="CheckBox" fmlaLink="'Sprachen &amp; Rückgabewerte(5)'!$I$71" lockText="1"/>
</file>

<file path=xl/ctrlProps/ctrlProp28.xml><?xml version="1.0" encoding="utf-8"?>
<formControlPr xmlns="http://schemas.microsoft.com/office/spreadsheetml/2009/9/main" objectType="CheckBox" fmlaLink="'Sprachen &amp; Rückgabewerte'!$C$63" lockText="1"/>
</file>

<file path=xl/ctrlProps/ctrlProp29.xml><?xml version="1.0" encoding="utf-8"?>
<formControlPr xmlns="http://schemas.microsoft.com/office/spreadsheetml/2009/9/main" objectType="CheckBox" fmlaLink="'Sprachen &amp; Rückgabewerte'!$I$50" lockText="1"/>
</file>

<file path=xl/ctrlProps/ctrlProp3.xml><?xml version="1.0" encoding="utf-8"?>
<formControlPr xmlns="http://schemas.microsoft.com/office/spreadsheetml/2009/9/main" objectType="CheckBox" fmlaLink="'Sprachen &amp; Rückgabewerte'!$I$31" lockText="1"/>
</file>

<file path=xl/ctrlProps/ctrlProp30.xml><?xml version="1.0" encoding="utf-8"?>
<formControlPr xmlns="http://schemas.microsoft.com/office/spreadsheetml/2009/9/main" objectType="CheckBox" fmlaLink="'Sprachen &amp; Rückgabewerte'!$I$51" lockText="1"/>
</file>

<file path=xl/ctrlProps/ctrlProp31.xml><?xml version="1.0" encoding="utf-8"?>
<formControlPr xmlns="http://schemas.microsoft.com/office/spreadsheetml/2009/9/main" objectType="CheckBox" fmlaLink="'Sprachen &amp; Rückgabewerte'!$I$110" lockText="1"/>
</file>

<file path=xl/ctrlProps/ctrlProp32.xml><?xml version="1.0" encoding="utf-8"?>
<formControlPr xmlns="http://schemas.microsoft.com/office/spreadsheetml/2009/9/main" objectType="CheckBox" fmlaLink="'Sprachen &amp; Rückgabewerte'!$I$111" lockText="1"/>
</file>

<file path=xl/ctrlProps/ctrlProp33.xml><?xml version="1.0" encoding="utf-8"?>
<formControlPr xmlns="http://schemas.microsoft.com/office/spreadsheetml/2009/9/main" objectType="CheckBox" fmlaLink="'Sprachen &amp; Rückgabewerte'!$C$41" lockText="1"/>
</file>

<file path=xl/ctrlProps/ctrlProp34.xml><?xml version="1.0" encoding="utf-8"?>
<formControlPr xmlns="http://schemas.microsoft.com/office/spreadsheetml/2009/9/main" objectType="CheckBox" fmlaLink="'Sprachen &amp; Rückgabewerte'!$C$42" lockText="1"/>
</file>

<file path=xl/ctrlProps/ctrlProp35.xml><?xml version="1.0" encoding="utf-8"?>
<formControlPr xmlns="http://schemas.microsoft.com/office/spreadsheetml/2009/9/main" objectType="CheckBox" fmlaLink="'Sprachen &amp; Rückgabewerte'!$C$43" lockText="1"/>
</file>

<file path=xl/ctrlProps/ctrlProp36.xml><?xml version="1.0" encoding="utf-8"?>
<formControlPr xmlns="http://schemas.microsoft.com/office/spreadsheetml/2009/9/main" objectType="CheckBox" fmlaLink="'Sprachen &amp; Rückgabewerte'!$C$44" lockText="1"/>
</file>

<file path=xl/ctrlProps/ctrlProp37.xml><?xml version="1.0" encoding="utf-8"?>
<formControlPr xmlns="http://schemas.microsoft.com/office/spreadsheetml/2009/9/main" objectType="CheckBox" fmlaLink="'Sprachen &amp; Rückgabewerte'!$C$45" lockText="1"/>
</file>

<file path=xl/ctrlProps/ctrlProp38.xml><?xml version="1.0" encoding="utf-8"?>
<formControlPr xmlns="http://schemas.microsoft.com/office/spreadsheetml/2009/9/main" objectType="CheckBox" fmlaLink="'Sprachen &amp; Rückgabewerte'!$C$46" lockText="1"/>
</file>

<file path=xl/ctrlProps/ctrlProp39.xml><?xml version="1.0" encoding="utf-8"?>
<formControlPr xmlns="http://schemas.microsoft.com/office/spreadsheetml/2009/9/main" objectType="CheckBox" fmlaLink="'Sprachen &amp; Rückgabewerte'!$C$47" lockText="1"/>
</file>

<file path=xl/ctrlProps/ctrlProp4.xml><?xml version="1.0" encoding="utf-8"?>
<formControlPr xmlns="http://schemas.microsoft.com/office/spreadsheetml/2009/9/main" objectType="CheckBox" fmlaLink="'Sprachen &amp; Rückgabewerte'!$I$16" lockText="1"/>
</file>

<file path=xl/ctrlProps/ctrlProp40.xml><?xml version="1.0" encoding="utf-8"?>
<formControlPr xmlns="http://schemas.microsoft.com/office/spreadsheetml/2009/9/main" objectType="CheckBox" fmlaLink="'Sprachen &amp; Rückgabewerte'!$C$50" lockText="1"/>
</file>

<file path=xl/ctrlProps/ctrlProp41.xml><?xml version="1.0" encoding="utf-8"?>
<formControlPr xmlns="http://schemas.microsoft.com/office/spreadsheetml/2009/9/main" objectType="CheckBox" fmlaLink="'Sprachen &amp; Rückgabewerte'!$C$51" lockText="1"/>
</file>

<file path=xl/ctrlProps/ctrlProp42.xml><?xml version="1.0" encoding="utf-8"?>
<formControlPr xmlns="http://schemas.microsoft.com/office/spreadsheetml/2009/9/main" objectType="CheckBox" fmlaLink="'Sprachen &amp; Rückgabewerte'!$C$48" lockText="1"/>
</file>

<file path=xl/ctrlProps/ctrlProp43.xml><?xml version="1.0" encoding="utf-8"?>
<formControlPr xmlns="http://schemas.microsoft.com/office/spreadsheetml/2009/9/main" objectType="CheckBox" fmlaLink="'Sprachen &amp; Rückgabewerte'!$C$49" lockText="1"/>
</file>

<file path=xl/ctrlProps/ctrlProp44.xml><?xml version="1.0" encoding="utf-8"?>
<formControlPr xmlns="http://schemas.microsoft.com/office/spreadsheetml/2009/9/main" objectType="CheckBox" fmlaLink="'Sprachen &amp; Rückgabewerte'!$C$57" lockText="1"/>
</file>

<file path=xl/ctrlProps/ctrlProp45.xml><?xml version="1.0" encoding="utf-8"?>
<formControlPr xmlns="http://schemas.microsoft.com/office/spreadsheetml/2009/9/main" objectType="CheckBox" fmlaLink="'Sprachen &amp; Rückgabewerte'!$C$58" lockText="1"/>
</file>

<file path=xl/ctrlProps/ctrlProp46.xml><?xml version="1.0" encoding="utf-8"?>
<formControlPr xmlns="http://schemas.microsoft.com/office/spreadsheetml/2009/9/main" objectType="CheckBox" fmlaLink="'Sprachen &amp; Rückgabewerte'!$C$55" lockText="1"/>
</file>

<file path=xl/ctrlProps/ctrlProp47.xml><?xml version="1.0" encoding="utf-8"?>
<formControlPr xmlns="http://schemas.microsoft.com/office/spreadsheetml/2009/9/main" objectType="CheckBox" fmlaLink="'Sprachen &amp; Rückgabewerte'!$C$56" lockText="1"/>
</file>

<file path=xl/ctrlProps/ctrlProp48.xml><?xml version="1.0" encoding="utf-8"?>
<formControlPr xmlns="http://schemas.microsoft.com/office/spreadsheetml/2009/9/main" objectType="CheckBox" checked="Checked" fmlaLink="'Sprachen &amp; Rückgabewerte'!$C$53" lockText="1"/>
</file>

<file path=xl/ctrlProps/ctrlProp49.xml><?xml version="1.0" encoding="utf-8"?>
<formControlPr xmlns="http://schemas.microsoft.com/office/spreadsheetml/2009/9/main" objectType="CheckBox" fmlaLink="'Sprachen &amp; Rückgabewerte'!$C$54" lockText="1"/>
</file>

<file path=xl/ctrlProps/ctrlProp5.xml><?xml version="1.0" encoding="utf-8"?>
<formControlPr xmlns="http://schemas.microsoft.com/office/spreadsheetml/2009/9/main" objectType="CheckBox" fmlaLink="'Sprachen &amp; Rückgabewerte'!$I$17" lockText="1"/>
</file>

<file path=xl/ctrlProps/ctrlProp50.xml><?xml version="1.0" encoding="utf-8"?>
<formControlPr xmlns="http://schemas.microsoft.com/office/spreadsheetml/2009/9/main" objectType="CheckBox" fmlaLink="'Sprachen &amp; Rückgabewerte'!$I$125" lockText="1"/>
</file>

<file path=xl/ctrlProps/ctrlProp51.xml><?xml version="1.0" encoding="utf-8"?>
<formControlPr xmlns="http://schemas.microsoft.com/office/spreadsheetml/2009/9/main" objectType="CheckBox" checked="Checked" fmlaLink="'Sprachen &amp; Rückgabewerte'!$I$36" lockText="1"/>
</file>

<file path=xl/ctrlProps/ctrlProp52.xml><?xml version="1.0" encoding="utf-8"?>
<formControlPr xmlns="http://schemas.microsoft.com/office/spreadsheetml/2009/9/main" objectType="CheckBox" fmlaLink="'Sprachen &amp; Rückgabewerte'!$I$39" lockText="1"/>
</file>

<file path=xl/ctrlProps/ctrlProp53.xml><?xml version="1.0" encoding="utf-8"?>
<formControlPr xmlns="http://schemas.microsoft.com/office/spreadsheetml/2009/9/main" objectType="CheckBox" fmlaLink="'Sprachen &amp; Rückgabewerte'!$I$45" lockText="1"/>
</file>

<file path=xl/ctrlProps/ctrlProp54.xml><?xml version="1.0" encoding="utf-8"?>
<formControlPr xmlns="http://schemas.microsoft.com/office/spreadsheetml/2009/9/main" objectType="CheckBox" fmlaLink="'Sprachen &amp; Rückgabewerte'!$I$71" lockText="1"/>
</file>

<file path=xl/ctrlProps/ctrlProp55.xml><?xml version="1.0" encoding="utf-8"?>
<formControlPr xmlns="http://schemas.microsoft.com/office/spreadsheetml/2009/9/main" objectType="Drop" dropStyle="combo" dx="16" fmlaLink="'Sprachen &amp; Rückgabewerte(2)'!$B$3:$B$6" fmlaRange="'Sprachen &amp; Rückgabewerte(2)'!$C$3:$C$6" sel="1" val="0"/>
</file>

<file path=xl/ctrlProps/ctrlProp56.xml><?xml version="1.0" encoding="utf-8"?>
<formControlPr xmlns="http://schemas.microsoft.com/office/spreadsheetml/2009/9/main" objectType="CheckBox" fmlaLink="'Sprachen &amp; Rückgabewerte(2)'!$I$30" lockText="1"/>
</file>

<file path=xl/ctrlProps/ctrlProp57.xml><?xml version="1.0" encoding="utf-8"?>
<formControlPr xmlns="http://schemas.microsoft.com/office/spreadsheetml/2009/9/main" objectType="CheckBox" fmlaLink="'Sprachen &amp; Rückgabewerte(2)'!$I$31" lockText="1"/>
</file>

<file path=xl/ctrlProps/ctrlProp58.xml><?xml version="1.0" encoding="utf-8"?>
<formControlPr xmlns="http://schemas.microsoft.com/office/spreadsheetml/2009/9/main" objectType="CheckBox" fmlaLink="'Sprachen &amp; Rückgabewerte(2)'!$I$16" lockText="1"/>
</file>

<file path=xl/ctrlProps/ctrlProp59.xml><?xml version="1.0" encoding="utf-8"?>
<formControlPr xmlns="http://schemas.microsoft.com/office/spreadsheetml/2009/9/main" objectType="CheckBox" fmlaLink="'Sprachen &amp; Rückgabewerte(2)'!$I$17" lockText="1"/>
</file>

<file path=xl/ctrlProps/ctrlProp6.xml><?xml version="1.0" encoding="utf-8"?>
<formControlPr xmlns="http://schemas.microsoft.com/office/spreadsheetml/2009/9/main" objectType="CheckBox" fmlaLink="'Sprachen &amp; Rückgabewerte'!$I$18" lockText="1"/>
</file>

<file path=xl/ctrlProps/ctrlProp60.xml><?xml version="1.0" encoding="utf-8"?>
<formControlPr xmlns="http://schemas.microsoft.com/office/spreadsheetml/2009/9/main" objectType="CheckBox" fmlaLink="'Sprachen &amp; Rückgabewerte(2)'!$I$18" lockText="1"/>
</file>

<file path=xl/ctrlProps/ctrlProp61.xml><?xml version="1.0" encoding="utf-8"?>
<formControlPr xmlns="http://schemas.microsoft.com/office/spreadsheetml/2009/9/main" objectType="CheckBox" fmlaLink="'Sprachen &amp; Rückgabewerte(2)'!$I$19" lockText="1"/>
</file>

<file path=xl/ctrlProps/ctrlProp62.xml><?xml version="1.0" encoding="utf-8"?>
<formControlPr xmlns="http://schemas.microsoft.com/office/spreadsheetml/2009/9/main" objectType="CheckBox" fmlaLink="'Sprachen &amp; Rückgabewerte(2)'!$I$20" lockText="1"/>
</file>

<file path=xl/ctrlProps/ctrlProp63.xml><?xml version="1.0" encoding="utf-8"?>
<formControlPr xmlns="http://schemas.microsoft.com/office/spreadsheetml/2009/9/main" objectType="CheckBox" fmlaLink="'Sprachen &amp; Rückgabewerte(2)'!$I$22" lockText="1"/>
</file>

<file path=xl/ctrlProps/ctrlProp64.xml><?xml version="1.0" encoding="utf-8"?>
<formControlPr xmlns="http://schemas.microsoft.com/office/spreadsheetml/2009/9/main" objectType="CheckBox" fmlaLink="'Sprachen &amp; Rückgabewerte(2)'!$I$15" lockText="1"/>
</file>

<file path=xl/ctrlProps/ctrlProp65.xml><?xml version="1.0" encoding="utf-8"?>
<formControlPr xmlns="http://schemas.microsoft.com/office/spreadsheetml/2009/9/main" objectType="CheckBox" fmlaLink="'Sprachen &amp; Rückgabewerte(2)'!$I$25" lockText="1"/>
</file>

<file path=xl/ctrlProps/ctrlProp66.xml><?xml version="1.0" encoding="utf-8"?>
<formControlPr xmlns="http://schemas.microsoft.com/office/spreadsheetml/2009/9/main" objectType="CheckBox" fmlaLink="'Sprachen &amp; Rückgabewerte(2)'!$I$10" lockText="1"/>
</file>

<file path=xl/ctrlProps/ctrlProp67.xml><?xml version="1.0" encoding="utf-8"?>
<formControlPr xmlns="http://schemas.microsoft.com/office/spreadsheetml/2009/9/main" objectType="CheckBox" fmlaLink="'Sprachen &amp; Rückgabewerte(2)'!$I$11" lockText="1"/>
</file>

<file path=xl/ctrlProps/ctrlProp68.xml><?xml version="1.0" encoding="utf-8"?>
<formControlPr xmlns="http://schemas.microsoft.com/office/spreadsheetml/2009/9/main" objectType="CheckBox" fmlaLink="'Sprachen &amp; Rückgabewerte(2)'!$I$12" lockText="1"/>
</file>

<file path=xl/ctrlProps/ctrlProp69.xml><?xml version="1.0" encoding="utf-8"?>
<formControlPr xmlns="http://schemas.microsoft.com/office/spreadsheetml/2009/9/main" objectType="CheckBox" fmlaLink="'Sprachen &amp; Rückgabewerte(2)'!$I$13" lockText="1"/>
</file>

<file path=xl/ctrlProps/ctrlProp7.xml><?xml version="1.0" encoding="utf-8"?>
<formControlPr xmlns="http://schemas.microsoft.com/office/spreadsheetml/2009/9/main" objectType="CheckBox" fmlaLink="'Sprachen &amp; Rückgabewerte'!$I$19" lockText="1"/>
</file>

<file path=xl/ctrlProps/ctrlProp70.xml><?xml version="1.0" encoding="utf-8"?>
<formControlPr xmlns="http://schemas.microsoft.com/office/spreadsheetml/2009/9/main" objectType="CheckBox" fmlaLink="'Sprachen &amp; Rückgabewerte(2)'!$I$14" lockText="1"/>
</file>

<file path=xl/ctrlProps/ctrlProp71.xml><?xml version="1.0" encoding="utf-8"?>
<formControlPr xmlns="http://schemas.microsoft.com/office/spreadsheetml/2009/9/main" objectType="CheckBox" fmlaLink="'Sprachen &amp; Rückgabewerte(2)'!$I$5" lockText="1"/>
</file>

<file path=xl/ctrlProps/ctrlProp72.xml><?xml version="1.0" encoding="utf-8"?>
<formControlPr xmlns="http://schemas.microsoft.com/office/spreadsheetml/2009/9/main" objectType="CheckBox" fmlaLink="'Sprachen &amp; Rückgabewerte(2)'!$I$6" lockText="1"/>
</file>

<file path=xl/ctrlProps/ctrlProp73.xml><?xml version="1.0" encoding="utf-8"?>
<formControlPr xmlns="http://schemas.microsoft.com/office/spreadsheetml/2009/9/main" objectType="CheckBox" checked="Checked" fmlaLink="'Sprachen &amp; Rückgabewerte(2)'!$C$37" lockText="1"/>
</file>

<file path=xl/ctrlProps/ctrlProp74.xml><?xml version="1.0" encoding="utf-8"?>
<formControlPr xmlns="http://schemas.microsoft.com/office/spreadsheetml/2009/9/main" objectType="CheckBox" checked="Checked" fmlaLink="'Sprachen &amp; Rückgabewerte(2)'!$C$38" lockText="1"/>
</file>

<file path=xl/ctrlProps/ctrlProp75.xml><?xml version="1.0" encoding="utf-8"?>
<formControlPr xmlns="http://schemas.microsoft.com/office/spreadsheetml/2009/9/main" objectType="CheckBox" fmlaLink="'Sprachen &amp; Rückgabewerte(2)'!$C$39" lockText="1"/>
</file>

<file path=xl/ctrlProps/ctrlProp76.xml><?xml version="1.0" encoding="utf-8"?>
<formControlPr xmlns="http://schemas.microsoft.com/office/spreadsheetml/2009/9/main" objectType="CheckBox" fmlaLink="'Sprachen &amp; Rückgabewerte(2)'!$C$40" lockText="1"/>
</file>

<file path=xl/ctrlProps/ctrlProp77.xml><?xml version="1.0" encoding="utf-8"?>
<formControlPr xmlns="http://schemas.microsoft.com/office/spreadsheetml/2009/9/main" objectType="CheckBox" fmlaLink="'Sprachen &amp; Rückgabewerte(2)'!$I$43" lockText="1"/>
</file>

<file path=xl/ctrlProps/ctrlProp78.xml><?xml version="1.0" encoding="utf-8"?>
<formControlPr xmlns="http://schemas.microsoft.com/office/spreadsheetml/2009/9/main" objectType="CheckBox" fmlaLink="'Sprachen &amp; Rückgabewerte(2)'!$I$44" lockText="1"/>
</file>

<file path=xl/ctrlProps/ctrlProp79.xml><?xml version="1.0" encoding="utf-8"?>
<formControlPr xmlns="http://schemas.microsoft.com/office/spreadsheetml/2009/9/main" objectType="CheckBox" fmlaLink="'Sprachen &amp; Rückgabewerte(2)'!$C$60" lockText="1"/>
</file>

<file path=xl/ctrlProps/ctrlProp8.xml><?xml version="1.0" encoding="utf-8"?>
<formControlPr xmlns="http://schemas.microsoft.com/office/spreadsheetml/2009/9/main" objectType="CheckBox" fmlaLink="'Sprachen &amp; Rückgabewerte'!$I$20" lockText="1"/>
</file>

<file path=xl/ctrlProps/ctrlProp80.xml><?xml version="1.0" encoding="utf-8"?>
<formControlPr xmlns="http://schemas.microsoft.com/office/spreadsheetml/2009/9/main" objectType="CheckBox" fmlaLink="'Sprachen &amp; Rückgabewerte(2)'!$C$61" lockText="1"/>
</file>

<file path=xl/ctrlProps/ctrlProp81.xml><?xml version="1.0" encoding="utf-8"?>
<formControlPr xmlns="http://schemas.microsoft.com/office/spreadsheetml/2009/9/main" objectType="CheckBox" fmlaLink="'Sprachen &amp; Rückgabewerte(2)'!$C$62" lockText="1"/>
</file>

<file path=xl/ctrlProps/ctrlProp82.xml><?xml version="1.0" encoding="utf-8"?>
<formControlPr xmlns="http://schemas.microsoft.com/office/spreadsheetml/2009/9/main" objectType="CheckBox" fmlaLink="'Sprachen &amp; Rückgabewerte(2)'!$C$63" lockText="1"/>
</file>

<file path=xl/ctrlProps/ctrlProp83.xml><?xml version="1.0" encoding="utf-8"?>
<formControlPr xmlns="http://schemas.microsoft.com/office/spreadsheetml/2009/9/main" objectType="CheckBox" fmlaLink="'Sprachen &amp; Rückgabewerte(2)'!$I$50" lockText="1"/>
</file>

<file path=xl/ctrlProps/ctrlProp84.xml><?xml version="1.0" encoding="utf-8"?>
<formControlPr xmlns="http://schemas.microsoft.com/office/spreadsheetml/2009/9/main" objectType="CheckBox" fmlaLink="'Sprachen &amp; Rückgabewerte(2)'!$I$51" lockText="1"/>
</file>

<file path=xl/ctrlProps/ctrlProp85.xml><?xml version="1.0" encoding="utf-8"?>
<formControlPr xmlns="http://schemas.microsoft.com/office/spreadsheetml/2009/9/main" objectType="CheckBox" fmlaLink="'Sprachen &amp; Rückgabewerte(2)'!$I$110" lockText="1"/>
</file>

<file path=xl/ctrlProps/ctrlProp86.xml><?xml version="1.0" encoding="utf-8"?>
<formControlPr xmlns="http://schemas.microsoft.com/office/spreadsheetml/2009/9/main" objectType="CheckBox" fmlaLink="'Sprachen &amp; Rückgabewerte(2)'!$I$111" lockText="1"/>
</file>

<file path=xl/ctrlProps/ctrlProp87.xml><?xml version="1.0" encoding="utf-8"?>
<formControlPr xmlns="http://schemas.microsoft.com/office/spreadsheetml/2009/9/main" objectType="CheckBox" fmlaLink="'Sprachen &amp; Rückgabewerte(2)'!$C$41" lockText="1"/>
</file>

<file path=xl/ctrlProps/ctrlProp88.xml><?xml version="1.0" encoding="utf-8"?>
<formControlPr xmlns="http://schemas.microsoft.com/office/spreadsheetml/2009/9/main" objectType="CheckBox" fmlaLink="'Sprachen &amp; Rückgabewerte(2)'!$C$42" lockText="1"/>
</file>

<file path=xl/ctrlProps/ctrlProp89.xml><?xml version="1.0" encoding="utf-8"?>
<formControlPr xmlns="http://schemas.microsoft.com/office/spreadsheetml/2009/9/main" objectType="CheckBox" fmlaLink="'Sprachen &amp; Rückgabewerte(2)'!$C$43" lockText="1"/>
</file>

<file path=xl/ctrlProps/ctrlProp9.xml><?xml version="1.0" encoding="utf-8"?>
<formControlPr xmlns="http://schemas.microsoft.com/office/spreadsheetml/2009/9/main" objectType="CheckBox" fmlaLink="'Sprachen &amp; Rückgabewerte'!$I$22" lockText="1"/>
</file>

<file path=xl/ctrlProps/ctrlProp90.xml><?xml version="1.0" encoding="utf-8"?>
<formControlPr xmlns="http://schemas.microsoft.com/office/spreadsheetml/2009/9/main" objectType="CheckBox" fmlaLink="'Sprachen &amp; Rückgabewerte(2)'!$C$44" lockText="1"/>
</file>

<file path=xl/ctrlProps/ctrlProp91.xml><?xml version="1.0" encoding="utf-8"?>
<formControlPr xmlns="http://schemas.microsoft.com/office/spreadsheetml/2009/9/main" objectType="CheckBox" fmlaLink="'Sprachen &amp; Rückgabewerte(2)'!$C$45" lockText="1"/>
</file>

<file path=xl/ctrlProps/ctrlProp92.xml><?xml version="1.0" encoding="utf-8"?>
<formControlPr xmlns="http://schemas.microsoft.com/office/spreadsheetml/2009/9/main" objectType="CheckBox" fmlaLink="'Sprachen &amp; Rückgabewerte(2)'!$C$46" lockText="1"/>
</file>

<file path=xl/ctrlProps/ctrlProp93.xml><?xml version="1.0" encoding="utf-8"?>
<formControlPr xmlns="http://schemas.microsoft.com/office/spreadsheetml/2009/9/main" objectType="CheckBox" fmlaLink="'Sprachen &amp; Rückgabewerte(2)'!$C$47" lockText="1"/>
</file>

<file path=xl/ctrlProps/ctrlProp94.xml><?xml version="1.0" encoding="utf-8"?>
<formControlPr xmlns="http://schemas.microsoft.com/office/spreadsheetml/2009/9/main" objectType="CheckBox" fmlaLink="'Sprachen &amp; Rückgabewerte(2)'!$C$50" lockText="1"/>
</file>

<file path=xl/ctrlProps/ctrlProp95.xml><?xml version="1.0" encoding="utf-8"?>
<formControlPr xmlns="http://schemas.microsoft.com/office/spreadsheetml/2009/9/main" objectType="CheckBox" fmlaLink="'Sprachen &amp; Rückgabewerte(2)'!$C$51" lockText="1"/>
</file>

<file path=xl/ctrlProps/ctrlProp96.xml><?xml version="1.0" encoding="utf-8"?>
<formControlPr xmlns="http://schemas.microsoft.com/office/spreadsheetml/2009/9/main" objectType="CheckBox" fmlaLink="'Sprachen &amp; Rückgabewerte(2)'!$C$48" lockText="1"/>
</file>

<file path=xl/ctrlProps/ctrlProp97.xml><?xml version="1.0" encoding="utf-8"?>
<formControlPr xmlns="http://schemas.microsoft.com/office/spreadsheetml/2009/9/main" objectType="CheckBox" fmlaLink="'Sprachen &amp; Rückgabewerte(2)'!$C$49" lockText="1"/>
</file>

<file path=xl/ctrlProps/ctrlProp98.xml><?xml version="1.0" encoding="utf-8"?>
<formControlPr xmlns="http://schemas.microsoft.com/office/spreadsheetml/2009/9/main" objectType="CheckBox" fmlaLink="'Sprachen &amp; Rückgabewerte(2)'!$C$57" lockText="1"/>
</file>

<file path=xl/ctrlProps/ctrlProp99.xml><?xml version="1.0" encoding="utf-8"?>
<formControlPr xmlns="http://schemas.microsoft.com/office/spreadsheetml/2009/9/main" objectType="CheckBox" fmlaLink="'Sprachen &amp; Rückgabewerte(2)'!$C$58"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7.wdp"/><Relationship Id="rId42" Type="http://schemas.openxmlformats.org/officeDocument/2006/relationships/image" Target="../media/image23.png"/><Relationship Id="rId47" Type="http://schemas.microsoft.com/office/2007/relationships/hdphoto" Target="../media/hdphoto21.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9.wdp"/><Relationship Id="rId46" Type="http://schemas.openxmlformats.org/officeDocument/2006/relationships/image" Target="../media/image25.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tif"/><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png"/><Relationship Id="rId40" Type="http://schemas.openxmlformats.org/officeDocument/2006/relationships/image" Target="../media/image1.jpeg"/><Relationship Id="rId45" Type="http://schemas.openxmlformats.org/officeDocument/2006/relationships/hyperlink" Target="https://skyframeswiss.sharepoint.com/sites/b2bportal" TargetMode="External"/><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4.wdp"/><Relationship Id="rId36" Type="http://schemas.microsoft.com/office/2007/relationships/hdphoto" Target="../media/hdphoto18.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openxmlformats.org/officeDocument/2006/relationships/image" Target="../media/image24.tif"/><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microsoft.com/office/2007/relationships/hdphoto" Target="../media/hdphoto15.wdp"/><Relationship Id="rId35" Type="http://schemas.openxmlformats.org/officeDocument/2006/relationships/image" Target="../media/image19.png"/><Relationship Id="rId43" Type="http://schemas.microsoft.com/office/2007/relationships/hdphoto" Target="../media/hdphoto20.wdp"/></Relationships>
</file>

<file path=xl/drawings/_rels/drawing3.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7.wdp"/><Relationship Id="rId42" Type="http://schemas.openxmlformats.org/officeDocument/2006/relationships/image" Target="../media/image23.png"/><Relationship Id="rId47" Type="http://schemas.microsoft.com/office/2007/relationships/hdphoto" Target="../media/hdphoto21.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9.wdp"/><Relationship Id="rId46" Type="http://schemas.openxmlformats.org/officeDocument/2006/relationships/image" Target="../media/image25.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tif"/><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png"/><Relationship Id="rId40" Type="http://schemas.openxmlformats.org/officeDocument/2006/relationships/image" Target="../media/image1.jpeg"/><Relationship Id="rId45" Type="http://schemas.openxmlformats.org/officeDocument/2006/relationships/hyperlink" Target="https://skyframeswiss.sharepoint.com/sites/b2bportal" TargetMode="External"/><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4.wdp"/><Relationship Id="rId36" Type="http://schemas.microsoft.com/office/2007/relationships/hdphoto" Target="../media/hdphoto18.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openxmlformats.org/officeDocument/2006/relationships/image" Target="../media/image24.tif"/><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microsoft.com/office/2007/relationships/hdphoto" Target="../media/hdphoto15.wdp"/><Relationship Id="rId35" Type="http://schemas.openxmlformats.org/officeDocument/2006/relationships/image" Target="../media/image19.png"/><Relationship Id="rId43" Type="http://schemas.microsoft.com/office/2007/relationships/hdphoto" Target="../media/hdphoto20.wdp"/></Relationships>
</file>

<file path=xl/drawings/_rels/drawing4.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7.wdp"/><Relationship Id="rId42" Type="http://schemas.openxmlformats.org/officeDocument/2006/relationships/image" Target="../media/image23.png"/><Relationship Id="rId47" Type="http://schemas.microsoft.com/office/2007/relationships/hdphoto" Target="../media/hdphoto21.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9.wdp"/><Relationship Id="rId46" Type="http://schemas.openxmlformats.org/officeDocument/2006/relationships/image" Target="../media/image25.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tif"/><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png"/><Relationship Id="rId40" Type="http://schemas.openxmlformats.org/officeDocument/2006/relationships/image" Target="../media/image1.jpeg"/><Relationship Id="rId45" Type="http://schemas.openxmlformats.org/officeDocument/2006/relationships/hyperlink" Target="https://skyframeswiss.sharepoint.com/sites/b2bportal" TargetMode="External"/><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4.wdp"/><Relationship Id="rId36" Type="http://schemas.microsoft.com/office/2007/relationships/hdphoto" Target="../media/hdphoto18.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openxmlformats.org/officeDocument/2006/relationships/image" Target="../media/image24.tif"/><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microsoft.com/office/2007/relationships/hdphoto" Target="../media/hdphoto15.wdp"/><Relationship Id="rId35" Type="http://schemas.openxmlformats.org/officeDocument/2006/relationships/image" Target="../media/image19.png"/><Relationship Id="rId43" Type="http://schemas.microsoft.com/office/2007/relationships/hdphoto" Target="../media/hdphoto20.wdp"/></Relationships>
</file>

<file path=xl/drawings/_rels/drawing5.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7.wdp"/><Relationship Id="rId42" Type="http://schemas.openxmlformats.org/officeDocument/2006/relationships/image" Target="../media/image23.png"/><Relationship Id="rId47" Type="http://schemas.microsoft.com/office/2007/relationships/hdphoto" Target="../media/hdphoto21.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9.wdp"/><Relationship Id="rId46" Type="http://schemas.openxmlformats.org/officeDocument/2006/relationships/image" Target="../media/image25.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tif"/><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png"/><Relationship Id="rId40" Type="http://schemas.openxmlformats.org/officeDocument/2006/relationships/image" Target="../media/image1.jpeg"/><Relationship Id="rId45" Type="http://schemas.openxmlformats.org/officeDocument/2006/relationships/hyperlink" Target="https://skyframeswiss.sharepoint.com/sites/b2bportal" TargetMode="External"/><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4.wdp"/><Relationship Id="rId36" Type="http://schemas.microsoft.com/office/2007/relationships/hdphoto" Target="../media/hdphoto18.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openxmlformats.org/officeDocument/2006/relationships/image" Target="../media/image24.tif"/><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microsoft.com/office/2007/relationships/hdphoto" Target="../media/hdphoto15.wdp"/><Relationship Id="rId35" Type="http://schemas.openxmlformats.org/officeDocument/2006/relationships/image" Target="../media/image19.png"/><Relationship Id="rId43" Type="http://schemas.microsoft.com/office/2007/relationships/hdphoto" Target="../media/hdphoto20.wdp"/></Relationships>
</file>

<file path=xl/drawings/_rels/drawing6.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7.wdp"/><Relationship Id="rId42" Type="http://schemas.openxmlformats.org/officeDocument/2006/relationships/image" Target="../media/image23.png"/><Relationship Id="rId47" Type="http://schemas.microsoft.com/office/2007/relationships/hdphoto" Target="../media/hdphoto21.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9.wdp"/><Relationship Id="rId46" Type="http://schemas.openxmlformats.org/officeDocument/2006/relationships/image" Target="../media/image25.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tif"/><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png"/><Relationship Id="rId40" Type="http://schemas.openxmlformats.org/officeDocument/2006/relationships/image" Target="../media/image1.jpeg"/><Relationship Id="rId45" Type="http://schemas.openxmlformats.org/officeDocument/2006/relationships/hyperlink" Target="https://skyframeswiss.sharepoint.com/sites/b2bportal" TargetMode="External"/><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microsoft.com/office/2007/relationships/hdphoto" Target="../media/hdphoto14.wdp"/><Relationship Id="rId36" Type="http://schemas.microsoft.com/office/2007/relationships/hdphoto" Target="../media/hdphoto18.wdp"/><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png"/><Relationship Id="rId44" Type="http://schemas.openxmlformats.org/officeDocument/2006/relationships/image" Target="../media/image24.tif"/><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png"/><Relationship Id="rId30" Type="http://schemas.microsoft.com/office/2007/relationships/hdphoto" Target="../media/hdphoto15.wdp"/><Relationship Id="rId35" Type="http://schemas.openxmlformats.org/officeDocument/2006/relationships/image" Target="../media/image19.png"/><Relationship Id="rId43" Type="http://schemas.microsoft.com/office/2007/relationships/hdphoto" Target="../media/hdphoto20.wdp"/></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microsoft.com/office/2007/relationships/hdphoto" Target="../media/hdphoto22.wdp"/><Relationship Id="rId7" Type="http://schemas.openxmlformats.org/officeDocument/2006/relationships/image" Target="../media/image30.png"/><Relationship Id="rId12" Type="http://schemas.openxmlformats.org/officeDocument/2006/relationships/image" Target="../media/image34.png"/><Relationship Id="rId2" Type="http://schemas.openxmlformats.org/officeDocument/2006/relationships/image" Target="../media/image26.png"/><Relationship Id="rId1" Type="http://schemas.openxmlformats.org/officeDocument/2006/relationships/image" Target="../media/image1.jpeg"/><Relationship Id="rId6" Type="http://schemas.openxmlformats.org/officeDocument/2006/relationships/image" Target="../media/image29.png"/><Relationship Id="rId11" Type="http://schemas.openxmlformats.org/officeDocument/2006/relationships/image" Target="../media/image33.png"/><Relationship Id="rId5" Type="http://schemas.openxmlformats.org/officeDocument/2006/relationships/image" Target="../media/image28.png"/><Relationship Id="rId10" Type="http://schemas.microsoft.com/office/2007/relationships/hdphoto" Target="../media/hdphoto23.wdp"/><Relationship Id="rId4" Type="http://schemas.openxmlformats.org/officeDocument/2006/relationships/image" Target="../media/image27.png"/><Relationship Id="rId9"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xdr:row>
      <xdr:rowOff>145677</xdr:rowOff>
    </xdr:from>
    <xdr:to>
      <xdr:col>5</xdr:col>
      <xdr:colOff>437030</xdr:colOff>
      <xdr:row>2</xdr:row>
      <xdr:rowOff>313068</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76326" y="317127"/>
          <a:ext cx="2723029" cy="338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21773</xdr:colOff>
      <xdr:row>90</xdr:row>
      <xdr:rowOff>19050</xdr:rowOff>
    </xdr:from>
    <xdr:to>
      <xdr:col>24</xdr:col>
      <xdr:colOff>115957</xdr:colOff>
      <xdr:row>93</xdr:row>
      <xdr:rowOff>107302</xdr:rowOff>
    </xdr:to>
    <xdr:pic>
      <xdr:nvPicPr>
        <xdr:cNvPr id="43" name="Grafik 42">
          <a:extLst>
            <a:ext uri="{FF2B5EF4-FFF2-40B4-BE49-F238E27FC236}">
              <a16:creationId xmlns:a16="http://schemas.microsoft.com/office/drawing/2014/main" id="{00000000-0008-0000-0300-00002B000000}"/>
            </a:ext>
          </a:extLst>
        </xdr:cNvPr>
        <xdr:cNvPicPr>
          <a:picLocks noChangeAspect="1"/>
        </xdr:cNvPicPr>
      </xdr:nvPicPr>
      <xdr:blipFill rotWithShape="1">
        <a:blip xmlns:r="http://schemas.openxmlformats.org/officeDocument/2006/relationships" r:embed="rId1">
          <a:duotone>
            <a:prstClr val="black"/>
            <a:schemeClr val="bg1">
              <a:lumMod val="65000"/>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r="33602"/>
        <a:stretch/>
      </xdr:blipFill>
      <xdr:spPr>
        <a:xfrm>
          <a:off x="4011067" y="14172079"/>
          <a:ext cx="766537" cy="573514"/>
        </a:xfrm>
        <a:prstGeom prst="rect">
          <a:avLst/>
        </a:prstGeom>
      </xdr:spPr>
    </xdr:pic>
    <xdr:clientData/>
  </xdr:twoCellAnchor>
  <xdr:twoCellAnchor editAs="oneCell">
    <xdr:from>
      <xdr:col>21</xdr:col>
      <xdr:colOff>9527</xdr:colOff>
      <xdr:row>85</xdr:row>
      <xdr:rowOff>47626</xdr:rowOff>
    </xdr:from>
    <xdr:to>
      <xdr:col>24</xdr:col>
      <xdr:colOff>115957</xdr:colOff>
      <xdr:row>88</xdr:row>
      <xdr:rowOff>121615</xdr:rowOff>
    </xdr:to>
    <xdr:pic>
      <xdr:nvPicPr>
        <xdr:cNvPr id="42" name="Grafik 41">
          <a:extLst>
            <a:ext uri="{FF2B5EF4-FFF2-40B4-BE49-F238E27FC236}">
              <a16:creationId xmlns:a16="http://schemas.microsoft.com/office/drawing/2014/main" id="{00000000-0008-0000-0300-00002A000000}"/>
            </a:ext>
          </a:extLst>
        </xdr:cNvPr>
        <xdr:cNvPicPr>
          <a:picLocks noChangeAspect="1"/>
        </xdr:cNvPicPr>
      </xdr:nvPicPr>
      <xdr:blipFill rotWithShape="1">
        <a:blip xmlns:r="http://schemas.openxmlformats.org/officeDocument/2006/relationships" r:embed="rId3">
          <a:duotone>
            <a:prstClr val="black"/>
            <a:schemeClr val="bg1">
              <a:lumMod val="65000"/>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rcRect r="37323"/>
        <a:stretch/>
      </xdr:blipFill>
      <xdr:spPr>
        <a:xfrm>
          <a:off x="3836092" y="13879583"/>
          <a:ext cx="752474" cy="570949"/>
        </a:xfrm>
        <a:prstGeom prst="rect">
          <a:avLst/>
        </a:prstGeom>
      </xdr:spPr>
    </xdr:pic>
    <xdr:clientData/>
  </xdr:twoCellAnchor>
  <xdr:twoCellAnchor editAs="oneCell">
    <xdr:from>
      <xdr:col>11</xdr:col>
      <xdr:colOff>187016</xdr:colOff>
      <xdr:row>86</xdr:row>
      <xdr:rowOff>34778</xdr:rowOff>
    </xdr:from>
    <xdr:to>
      <xdr:col>19</xdr:col>
      <xdr:colOff>66675</xdr:colOff>
      <xdr:row>93</xdr:row>
      <xdr:rowOff>14408</xdr:rowOff>
    </xdr:to>
    <xdr:pic>
      <xdr:nvPicPr>
        <xdr:cNvPr id="41" name="Grafik 40">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5">
          <a:duotone>
            <a:prstClr val="black"/>
            <a:schemeClr val="bg1">
              <a:lumMod val="65000"/>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044516" y="14487930"/>
          <a:ext cx="1602442" cy="1139195"/>
        </a:xfrm>
        <a:prstGeom prst="rect">
          <a:avLst/>
        </a:prstGeom>
      </xdr:spPr>
    </xdr:pic>
    <xdr:clientData/>
  </xdr:twoCellAnchor>
  <xdr:twoCellAnchor editAs="oneCell">
    <xdr:from>
      <xdr:col>4</xdr:col>
      <xdr:colOff>215161</xdr:colOff>
      <xdr:row>86</xdr:row>
      <xdr:rowOff>36868</xdr:rowOff>
    </xdr:from>
    <xdr:to>
      <xdr:col>10</xdr:col>
      <xdr:colOff>178527</xdr:colOff>
      <xdr:row>92</xdr:row>
      <xdr:rowOff>48794</xdr:rowOff>
    </xdr:to>
    <xdr:pic>
      <xdr:nvPicPr>
        <xdr:cNvPr id="38" name="Grafik 37">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7">
          <a:duotone>
            <a:prstClr val="black"/>
            <a:schemeClr val="bg1">
              <a:lumMod val="65000"/>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1565226" y="14490020"/>
          <a:ext cx="1255453" cy="1005840"/>
        </a:xfrm>
        <a:prstGeom prst="rect">
          <a:avLst/>
        </a:prstGeom>
      </xdr:spPr>
    </xdr:pic>
    <xdr:clientData/>
  </xdr:twoCellAnchor>
  <xdr:twoCellAnchor editAs="oneCell">
    <xdr:from>
      <xdr:col>20</xdr:col>
      <xdr:colOff>1</xdr:colOff>
      <xdr:row>72</xdr:row>
      <xdr:rowOff>28575</xdr:rowOff>
    </xdr:from>
    <xdr:to>
      <xdr:col>24</xdr:col>
      <xdr:colOff>95251</xdr:colOff>
      <xdr:row>82</xdr:row>
      <xdr:rowOff>130926</xdr:rowOff>
    </xdr:to>
    <xdr:pic>
      <xdr:nvPicPr>
        <xdr:cNvPr id="37" name="Grafik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9">
          <a:duotone>
            <a:prstClr val="black"/>
            <a:schemeClr val="bg1">
              <a:lumMod val="65000"/>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3676651" y="11496675"/>
          <a:ext cx="971550" cy="1727814"/>
        </a:xfrm>
        <a:prstGeom prst="rect">
          <a:avLst/>
        </a:prstGeom>
      </xdr:spPr>
    </xdr:pic>
    <xdr:clientData/>
  </xdr:twoCellAnchor>
  <xdr:twoCellAnchor editAs="oneCell">
    <xdr:from>
      <xdr:col>13</xdr:col>
      <xdr:colOff>28575</xdr:colOff>
      <xdr:row>72</xdr:row>
      <xdr:rowOff>78106</xdr:rowOff>
    </xdr:from>
    <xdr:to>
      <xdr:col>17</xdr:col>
      <xdr:colOff>85726</xdr:colOff>
      <xdr:row>82</xdr:row>
      <xdr:rowOff>83559</xdr:rowOff>
    </xdr:to>
    <xdr:pic>
      <xdr:nvPicPr>
        <xdr:cNvPr id="36" name="Grafik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11">
          <a:duotone>
            <a:prstClr val="black"/>
            <a:schemeClr val="bg1">
              <a:lumMod val="65000"/>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2171700" y="11546206"/>
          <a:ext cx="933450" cy="1630916"/>
        </a:xfrm>
        <a:prstGeom prst="rect">
          <a:avLst/>
        </a:prstGeom>
      </xdr:spPr>
    </xdr:pic>
    <xdr:clientData/>
  </xdr:twoCellAnchor>
  <xdr:twoCellAnchor editAs="oneCell">
    <xdr:from>
      <xdr:col>5</xdr:col>
      <xdr:colOff>19049</xdr:colOff>
      <xdr:row>73</xdr:row>
      <xdr:rowOff>28575</xdr:rowOff>
    </xdr:from>
    <xdr:to>
      <xdr:col>10</xdr:col>
      <xdr:colOff>91522</xdr:colOff>
      <xdr:row>81</xdr:row>
      <xdr:rowOff>24727</xdr:rowOff>
    </xdr:to>
    <xdr:pic>
      <xdr:nvPicPr>
        <xdr:cNvPr id="35" name="Grafik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13">
          <a:duotone>
            <a:prstClr val="black"/>
            <a:schemeClr val="bg1">
              <a:lumMod val="65000"/>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1584462" y="12328249"/>
          <a:ext cx="1149212" cy="1321370"/>
        </a:xfrm>
        <a:prstGeom prst="rect">
          <a:avLst/>
        </a:prstGeom>
      </xdr:spPr>
    </xdr:pic>
    <xdr:clientData/>
  </xdr:twoCellAnchor>
  <xdr:twoCellAnchor editAs="oneCell">
    <xdr:from>
      <xdr:col>23</xdr:col>
      <xdr:colOff>22412</xdr:colOff>
      <xdr:row>61</xdr:row>
      <xdr:rowOff>135447</xdr:rowOff>
    </xdr:from>
    <xdr:to>
      <xdr:col>26</xdr:col>
      <xdr:colOff>179294</xdr:colOff>
      <xdr:row>70</xdr:row>
      <xdr:rowOff>564</xdr:rowOff>
    </xdr:to>
    <xdr:pic>
      <xdr:nvPicPr>
        <xdr:cNvPr id="34" name="Grafik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15">
          <a:duotone>
            <a:prstClr val="black"/>
            <a:schemeClr val="bg1">
              <a:lumMod val="65000"/>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5464086" y="10447295"/>
          <a:ext cx="802925" cy="1355985"/>
        </a:xfrm>
        <a:prstGeom prst="rect">
          <a:avLst/>
        </a:prstGeom>
      </xdr:spPr>
    </xdr:pic>
    <xdr:clientData/>
  </xdr:twoCellAnchor>
  <xdr:twoCellAnchor editAs="oneCell">
    <xdr:from>
      <xdr:col>17</xdr:col>
      <xdr:colOff>11206</xdr:colOff>
      <xdr:row>61</xdr:row>
      <xdr:rowOff>157859</xdr:rowOff>
    </xdr:from>
    <xdr:to>
      <xdr:col>20</xdr:col>
      <xdr:colOff>127103</xdr:colOff>
      <xdr:row>69</xdr:row>
      <xdr:rowOff>93061</xdr:rowOff>
    </xdr:to>
    <xdr:pic>
      <xdr:nvPicPr>
        <xdr:cNvPr id="33" name="Grafik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17">
          <a:duotone>
            <a:prstClr val="black"/>
            <a:schemeClr val="bg1">
              <a:lumMod val="65000"/>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4160793" y="10469707"/>
          <a:ext cx="761940" cy="1260418"/>
        </a:xfrm>
        <a:prstGeom prst="rect">
          <a:avLst/>
        </a:prstGeom>
      </xdr:spPr>
    </xdr:pic>
    <xdr:clientData/>
  </xdr:twoCellAnchor>
  <xdr:twoCellAnchor editAs="oneCell">
    <xdr:from>
      <xdr:col>10</xdr:col>
      <xdr:colOff>201706</xdr:colOff>
      <xdr:row>62</xdr:row>
      <xdr:rowOff>59440</xdr:rowOff>
    </xdr:from>
    <xdr:to>
      <xdr:col>14</xdr:col>
      <xdr:colOff>156883</xdr:colOff>
      <xdr:row>69</xdr:row>
      <xdr:rowOff>86280</xdr:rowOff>
    </xdr:to>
    <xdr:pic>
      <xdr:nvPicPr>
        <xdr:cNvPr id="30" name="Grafik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9">
          <a:duotone>
            <a:prstClr val="black"/>
            <a:schemeClr val="bg1">
              <a:lumMod val="65000"/>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2843858" y="10536940"/>
          <a:ext cx="816568" cy="1186405"/>
        </a:xfrm>
        <a:prstGeom prst="rect">
          <a:avLst/>
        </a:prstGeom>
        <a:noFill/>
      </xdr:spPr>
    </xdr:pic>
    <xdr:clientData/>
  </xdr:twoCellAnchor>
  <xdr:twoCellAnchor editAs="oneCell">
    <xdr:from>
      <xdr:col>4</xdr:col>
      <xdr:colOff>123265</xdr:colOff>
      <xdr:row>62</xdr:row>
      <xdr:rowOff>104264</xdr:rowOff>
    </xdr:from>
    <xdr:to>
      <xdr:col>9</xdr:col>
      <xdr:colOff>44824</xdr:colOff>
      <xdr:row>68</xdr:row>
      <xdr:rowOff>100352</xdr:rowOff>
    </xdr:to>
    <xdr:pic>
      <xdr:nvPicPr>
        <xdr:cNvPr id="28" name="Grafik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21">
          <a:duotone>
            <a:prstClr val="black"/>
            <a:schemeClr val="bg1">
              <a:lumMod val="65000"/>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473330" y="10581764"/>
          <a:ext cx="998298" cy="990001"/>
        </a:xfrm>
        <a:prstGeom prst="rect">
          <a:avLst/>
        </a:prstGeom>
        <a:solidFill>
          <a:schemeClr val="bg1">
            <a:lumMod val="85000"/>
          </a:schemeClr>
        </a:solidFill>
      </xdr:spPr>
    </xdr:pic>
    <xdr:clientData/>
  </xdr:twoCellAnchor>
  <xdr:twoCellAnchor editAs="oneCell">
    <xdr:from>
      <xdr:col>16</xdr:col>
      <xdr:colOff>27984</xdr:colOff>
      <xdr:row>45</xdr:row>
      <xdr:rowOff>33619</xdr:rowOff>
    </xdr:from>
    <xdr:to>
      <xdr:col>22</xdr:col>
      <xdr:colOff>213813</xdr:colOff>
      <xdr:row>59</xdr:row>
      <xdr:rowOff>523</xdr:rowOff>
    </xdr:to>
    <xdr:pic>
      <xdr:nvPicPr>
        <xdr:cNvPr id="21" name="Grafik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3">
          <a:duotone>
            <a:prstClr val="black"/>
            <a:schemeClr val="bg1">
              <a:lumMod val="65000"/>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tretch>
          <a:fillRect/>
        </a:stretch>
      </xdr:blipFill>
      <xdr:spPr>
        <a:xfrm>
          <a:off x="4073308" y="7418295"/>
          <a:ext cx="1530534" cy="2239263"/>
        </a:xfrm>
        <a:prstGeom prst="rect">
          <a:avLst/>
        </a:prstGeom>
      </xdr:spPr>
    </xdr:pic>
    <xdr:clientData/>
  </xdr:twoCellAnchor>
  <xdr:twoCellAnchor editAs="oneCell">
    <xdr:from>
      <xdr:col>16</xdr:col>
      <xdr:colOff>29035</xdr:colOff>
      <xdr:row>35</xdr:row>
      <xdr:rowOff>70356</xdr:rowOff>
    </xdr:from>
    <xdr:to>
      <xdr:col>23</xdr:col>
      <xdr:colOff>11947</xdr:colOff>
      <xdr:row>43</xdr:row>
      <xdr:rowOff>40958</xdr:rowOff>
    </xdr:to>
    <xdr:pic>
      <xdr:nvPicPr>
        <xdr:cNvPr id="20" name="Grafik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Lst>
        </a:blip>
        <a:stretch>
          <a:fillRect/>
        </a:stretch>
      </xdr:blipFill>
      <xdr:spPr>
        <a:xfrm>
          <a:off x="2778861" y="5503747"/>
          <a:ext cx="1490347" cy="1284235"/>
        </a:xfrm>
        <a:prstGeom prst="rect">
          <a:avLst/>
        </a:prstGeom>
      </xdr:spPr>
    </xdr:pic>
    <xdr:clientData/>
  </xdr:twoCellAnchor>
  <xdr:twoCellAnchor editAs="oneCell">
    <xdr:from>
      <xdr:col>3</xdr:col>
      <xdr:colOff>48590</xdr:colOff>
      <xdr:row>49</xdr:row>
      <xdr:rowOff>60184</xdr:rowOff>
    </xdr:from>
    <xdr:to>
      <xdr:col>8</xdr:col>
      <xdr:colOff>75207</xdr:colOff>
      <xdr:row>58</xdr:row>
      <xdr:rowOff>105625</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7">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Effect>
                    <a14:saturation sat="400000"/>
                  </a14:imgEffect>
                </a14:imgLayer>
              </a14:imgProps>
            </a:ext>
          </a:extLst>
        </a:blip>
        <a:stretch>
          <a:fillRect/>
        </a:stretch>
      </xdr:blipFill>
      <xdr:spPr>
        <a:xfrm>
          <a:off x="135676" y="7919670"/>
          <a:ext cx="984559" cy="1516988"/>
        </a:xfrm>
        <a:prstGeom prst="rect">
          <a:avLst/>
        </a:prstGeom>
      </xdr:spPr>
    </xdr:pic>
    <xdr:clientData/>
  </xdr:twoCellAnchor>
  <xdr:twoCellAnchor editAs="oneCell">
    <xdr:from>
      <xdr:col>10</xdr:col>
      <xdr:colOff>35068</xdr:colOff>
      <xdr:row>49</xdr:row>
      <xdr:rowOff>61549</xdr:rowOff>
    </xdr:from>
    <xdr:to>
      <xdr:col>14</xdr:col>
      <xdr:colOff>206607</xdr:colOff>
      <xdr:row>58</xdr:row>
      <xdr:rowOff>105079</xdr:rowOff>
    </xdr:to>
    <xdr:pic>
      <xdr:nvPicPr>
        <xdr:cNvPr id="7" name="Grafik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9">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Effect>
                    <a14:saturation sat="400000"/>
                  </a14:imgEffect>
                </a14:imgLayer>
              </a14:imgProps>
            </a:ext>
          </a:extLst>
        </a:blip>
        <a:stretch>
          <a:fillRect/>
        </a:stretch>
      </xdr:blipFill>
      <xdr:spPr>
        <a:xfrm>
          <a:off x="2688930" y="8325308"/>
          <a:ext cx="1038643" cy="1521548"/>
        </a:xfrm>
        <a:prstGeom prst="rect">
          <a:avLst/>
        </a:prstGeom>
      </xdr:spPr>
    </xdr:pic>
    <xdr:clientData/>
  </xdr:twoCellAnchor>
  <xdr:twoCellAnchor editAs="oneCell">
    <xdr:from>
      <xdr:col>3</xdr:col>
      <xdr:colOff>63213</xdr:colOff>
      <xdr:row>40</xdr:row>
      <xdr:rowOff>84287</xdr:rowOff>
    </xdr:from>
    <xdr:to>
      <xdr:col>6</xdr:col>
      <xdr:colOff>434</xdr:colOff>
      <xdr:row>47</xdr:row>
      <xdr:rowOff>21907</xdr:rowOff>
    </xdr:to>
    <xdr:pic>
      <xdr:nvPicPr>
        <xdr:cNvPr id="4" name="Grafik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Effect>
                    <a14:saturation sat="400000"/>
                  </a14:imgEffect>
                </a14:imgLayer>
              </a14:imgProps>
            </a:ext>
          </a:extLst>
        </a:blip>
        <a:stretch>
          <a:fillRect/>
        </a:stretch>
      </xdr:blipFill>
      <xdr:spPr>
        <a:xfrm>
          <a:off x="146039" y="6337657"/>
          <a:ext cx="450743" cy="1113013"/>
        </a:xfrm>
        <a:prstGeom prst="rect">
          <a:avLst/>
        </a:prstGeom>
      </xdr:spPr>
    </xdr:pic>
    <xdr:clientData/>
  </xdr:twoCellAnchor>
  <xdr:twoCellAnchor editAs="oneCell">
    <xdr:from>
      <xdr:col>12</xdr:col>
      <xdr:colOff>168853</xdr:colOff>
      <xdr:row>40</xdr:row>
      <xdr:rowOff>90826</xdr:rowOff>
    </xdr:from>
    <xdr:to>
      <xdr:col>14</xdr:col>
      <xdr:colOff>180734</xdr:colOff>
      <xdr:row>47</xdr:row>
      <xdr:rowOff>45391</xdr:rowOff>
    </xdr:to>
    <xdr:pic>
      <xdr:nvPicPr>
        <xdr:cNvPr id="5" name="Grafik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2103932" y="6206879"/>
          <a:ext cx="453038" cy="1089345"/>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0" name="Rechteck 9">
          <a:extLst>
            <a:ext uri="{FF2B5EF4-FFF2-40B4-BE49-F238E27FC236}">
              <a16:creationId xmlns:a16="http://schemas.microsoft.com/office/drawing/2014/main" id="{00000000-0008-0000-0300-00000A000000}"/>
            </a:ext>
          </a:extLst>
        </xdr:cNvPr>
        <xdr:cNvSpPr/>
      </xdr:nvSpPr>
      <xdr:spPr>
        <a:xfrm>
          <a:off x="3666783" y="7649559"/>
          <a:ext cx="132011" cy="59060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51" name="Rechteck 50">
          <a:extLst>
            <a:ext uri="{FF2B5EF4-FFF2-40B4-BE49-F238E27FC236}">
              <a16:creationId xmlns:a16="http://schemas.microsoft.com/office/drawing/2014/main" id="{00000000-0008-0000-0300-000033000000}"/>
            </a:ext>
          </a:extLst>
        </xdr:cNvPr>
        <xdr:cNvSpPr/>
      </xdr:nvSpPr>
      <xdr:spPr>
        <a:xfrm>
          <a:off x="116824" y="7498109"/>
          <a:ext cx="189305" cy="57364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67" name="Gerader Verbinder 66">
          <a:extLst>
            <a:ext uri="{FF2B5EF4-FFF2-40B4-BE49-F238E27FC236}">
              <a16:creationId xmlns:a16="http://schemas.microsoft.com/office/drawing/2014/main" id="{00000000-0008-0000-0300-000043000000}"/>
            </a:ext>
          </a:extLst>
        </xdr:cNvPr>
        <xdr:cNvCxnSpPr/>
      </xdr:nvCxnSpPr>
      <xdr:spPr>
        <a:xfrm>
          <a:off x="131319" y="7672814"/>
          <a:ext cx="2498702"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85112</xdr:rowOff>
    </xdr:from>
    <xdr:to>
      <xdr:col>26</xdr:col>
      <xdr:colOff>111141</xdr:colOff>
      <xdr:row>58</xdr:row>
      <xdr:rowOff>78280</xdr:rowOff>
    </xdr:to>
    <xdr:cxnSp macro="">
      <xdr:nvCxnSpPr>
        <xdr:cNvPr id="72" name="Gerader Verbinder 71">
          <a:extLst>
            <a:ext uri="{FF2B5EF4-FFF2-40B4-BE49-F238E27FC236}">
              <a16:creationId xmlns:a16="http://schemas.microsoft.com/office/drawing/2014/main" id="{00000000-0008-0000-0300-000048000000}"/>
            </a:ext>
          </a:extLst>
        </xdr:cNvPr>
        <xdr:cNvCxnSpPr/>
      </xdr:nvCxnSpPr>
      <xdr:spPr>
        <a:xfrm>
          <a:off x="5082726" y="8713368"/>
          <a:ext cx="0" cy="7087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73" name="Gerader Verbinder 72">
          <a:extLst>
            <a:ext uri="{FF2B5EF4-FFF2-40B4-BE49-F238E27FC236}">
              <a16:creationId xmlns:a16="http://schemas.microsoft.com/office/drawing/2014/main" id="{00000000-0008-0000-0300-000049000000}"/>
            </a:ext>
          </a:extLst>
        </xdr:cNvPr>
        <xdr:cNvCxnSpPr/>
      </xdr:nvCxnSpPr>
      <xdr:spPr>
        <a:xfrm>
          <a:off x="4204918" y="9340736"/>
          <a:ext cx="96290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144037</xdr:rowOff>
    </xdr:to>
    <xdr:cxnSp macro="">
      <xdr:nvCxnSpPr>
        <xdr:cNvPr id="74" name="Gerader Verbinder 73">
          <a:extLst>
            <a:ext uri="{FF2B5EF4-FFF2-40B4-BE49-F238E27FC236}">
              <a16:creationId xmlns:a16="http://schemas.microsoft.com/office/drawing/2014/main" id="{00000000-0008-0000-0300-00004A000000}"/>
            </a:ext>
          </a:extLst>
        </xdr:cNvPr>
        <xdr:cNvCxnSpPr/>
      </xdr:nvCxnSpPr>
      <xdr:spPr>
        <a:xfrm>
          <a:off x="5082318" y="5601470"/>
          <a:ext cx="0" cy="30082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53</xdr:row>
      <xdr:rowOff>57454</xdr:rowOff>
    </xdr:from>
    <xdr:to>
      <xdr:col>26</xdr:col>
      <xdr:colOff>197625</xdr:colOff>
      <xdr:row>53</xdr:row>
      <xdr:rowOff>57454</xdr:rowOff>
    </xdr:to>
    <xdr:cxnSp macro="">
      <xdr:nvCxnSpPr>
        <xdr:cNvPr id="75" name="Gerader Verbinder 74">
          <a:extLst>
            <a:ext uri="{FF2B5EF4-FFF2-40B4-BE49-F238E27FC236}">
              <a16:creationId xmlns:a16="http://schemas.microsoft.com/office/drawing/2014/main" id="{00000000-0008-0000-0300-00004B000000}"/>
            </a:ext>
          </a:extLst>
        </xdr:cNvPr>
        <xdr:cNvCxnSpPr/>
      </xdr:nvCxnSpPr>
      <xdr:spPr>
        <a:xfrm>
          <a:off x="4206308" y="8523088"/>
          <a:ext cx="96290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76" name="Gerader Verbinder 75">
          <a:extLst>
            <a:ext uri="{FF2B5EF4-FFF2-40B4-BE49-F238E27FC236}">
              <a16:creationId xmlns:a16="http://schemas.microsoft.com/office/drawing/2014/main" id="{00000000-0008-0000-0300-00004C000000}"/>
            </a:ext>
          </a:extLst>
        </xdr:cNvPr>
        <xdr:cNvCxnSpPr/>
      </xdr:nvCxnSpPr>
      <xdr:spPr>
        <a:xfrm>
          <a:off x="4162579" y="5524173"/>
          <a:ext cx="95649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77" name="Gerader Verbinder 76">
          <a:extLst>
            <a:ext uri="{FF2B5EF4-FFF2-40B4-BE49-F238E27FC236}">
              <a16:creationId xmlns:a16="http://schemas.microsoft.com/office/drawing/2014/main" id="{00000000-0008-0000-0300-00004D000000}"/>
            </a:ext>
          </a:extLst>
        </xdr:cNvPr>
        <xdr:cNvCxnSpPr/>
      </xdr:nvCxnSpPr>
      <xdr:spPr>
        <a:xfrm flipV="1">
          <a:off x="5031501" y="9273571"/>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160104</xdr:rowOff>
    </xdr:from>
    <xdr:to>
      <xdr:col>26</xdr:col>
      <xdr:colOff>172696</xdr:colOff>
      <xdr:row>53</xdr:row>
      <xdr:rowOff>110583</xdr:rowOff>
    </xdr:to>
    <xdr:cxnSp macro="">
      <xdr:nvCxnSpPr>
        <xdr:cNvPr id="78" name="Gerader Verbinder 77">
          <a:extLst>
            <a:ext uri="{FF2B5EF4-FFF2-40B4-BE49-F238E27FC236}">
              <a16:creationId xmlns:a16="http://schemas.microsoft.com/office/drawing/2014/main" id="{00000000-0008-0000-0300-00004E000000}"/>
            </a:ext>
          </a:extLst>
        </xdr:cNvPr>
        <xdr:cNvCxnSpPr/>
      </xdr:nvCxnSpPr>
      <xdr:spPr>
        <a:xfrm flipV="1">
          <a:off x="5029577" y="8463116"/>
          <a:ext cx="114704" cy="1131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79" name="Gerader Verbinder 78">
          <a:extLst>
            <a:ext uri="{FF2B5EF4-FFF2-40B4-BE49-F238E27FC236}">
              <a16:creationId xmlns:a16="http://schemas.microsoft.com/office/drawing/2014/main" id="{00000000-0008-0000-0300-00004F000000}"/>
            </a:ext>
          </a:extLst>
        </xdr:cNvPr>
        <xdr:cNvCxnSpPr/>
      </xdr:nvCxnSpPr>
      <xdr:spPr>
        <a:xfrm flipV="1">
          <a:off x="4993223" y="5469220"/>
          <a:ext cx="114704" cy="1147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066" name="Grafik 2065">
          <a:extLst>
            <a:ext uri="{FF2B5EF4-FFF2-40B4-BE49-F238E27FC236}">
              <a16:creationId xmlns:a16="http://schemas.microsoft.com/office/drawing/2014/main" id="{00000000-0008-0000-0300-000012080000}"/>
            </a:ext>
          </a:extLst>
        </xdr:cNvPr>
        <xdr:cNvPicPr>
          <a:picLocks noChangeAspect="1"/>
        </xdr:cNvPicPr>
      </xdr:nvPicPr>
      <xdr:blipFill rotWithShape="1">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rcRect t="3845" b="7693"/>
        <a:stretch/>
      </xdr:blipFill>
      <xdr:spPr>
        <a:xfrm>
          <a:off x="1580027" y="5188324"/>
          <a:ext cx="1040239" cy="51547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787</xdr:rowOff>
    </xdr:to>
    <xdr:pic>
      <xdr:nvPicPr>
        <xdr:cNvPr id="2067" name="Grafik 2066">
          <a:extLst>
            <a:ext uri="{FF2B5EF4-FFF2-40B4-BE49-F238E27FC236}">
              <a16:creationId xmlns:a16="http://schemas.microsoft.com/office/drawing/2014/main" id="{00000000-0008-0000-0300-00001308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56884" y="5177120"/>
          <a:ext cx="1030940" cy="55413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3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3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3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3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3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3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2" name="Check Box 18" hidden="1">
              <a:extLst>
                <a:ext uri="{63B3BB69-23CF-44E3-9099-C40C66FF867C}">
                  <a14:compatExt spid="_x0000_s2066"/>
                </a:ext>
                <a:ext uri="{FF2B5EF4-FFF2-40B4-BE49-F238E27FC236}">
                  <a16:creationId xmlns:a16="http://schemas.microsoft.com/office/drawing/2014/main" id="{00000000-0008-0000-03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3" name="Check Box 19" hidden="1">
              <a:extLst>
                <a:ext uri="{63B3BB69-23CF-44E3-9099-C40C66FF867C}">
                  <a14:compatExt spid="_x0000_s2067"/>
                </a:ext>
                <a:ext uri="{FF2B5EF4-FFF2-40B4-BE49-F238E27FC236}">
                  <a16:creationId xmlns:a16="http://schemas.microsoft.com/office/drawing/2014/main" id="{00000000-0008-0000-0300-000003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3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0</xdr:colOff>
          <xdr:row>32</xdr:row>
          <xdr:rowOff>0</xdr:rowOff>
        </xdr:from>
        <xdr:to>
          <xdr:col>41</xdr:col>
          <xdr:colOff>0</xdr:colOff>
          <xdr:row>33</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3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4</xdr:row>
          <xdr:rowOff>171450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3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3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6</xdr:row>
          <xdr:rowOff>0</xdr:rowOff>
        </xdr:from>
        <xdr:to>
          <xdr:col>43</xdr:col>
          <xdr:colOff>0</xdr:colOff>
          <xdr:row>7</xdr:row>
          <xdr:rowOff>19050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3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3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3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3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28575</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3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96" name="Gerader Verbinder 95">
          <a:extLst>
            <a:ext uri="{FF2B5EF4-FFF2-40B4-BE49-F238E27FC236}">
              <a16:creationId xmlns:a16="http://schemas.microsoft.com/office/drawing/2014/main" id="{00000000-0008-0000-0300-000060000000}"/>
            </a:ext>
          </a:extLst>
        </xdr:cNvPr>
        <xdr:cNvCxnSpPr/>
      </xdr:nvCxnSpPr>
      <xdr:spPr>
        <a:xfrm flipV="1">
          <a:off x="132493" y="7841673"/>
          <a:ext cx="115413" cy="11331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68" name="Gerader Verbinder 67">
          <a:extLst>
            <a:ext uri="{FF2B5EF4-FFF2-40B4-BE49-F238E27FC236}">
              <a16:creationId xmlns:a16="http://schemas.microsoft.com/office/drawing/2014/main" id="{00000000-0008-0000-0300-000044000000}"/>
            </a:ext>
          </a:extLst>
        </xdr:cNvPr>
        <xdr:cNvCxnSpPr/>
      </xdr:nvCxnSpPr>
      <xdr:spPr>
        <a:xfrm flipV="1">
          <a:off x="2445538" y="7837588"/>
          <a:ext cx="111672" cy="115609"/>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28575</xdr:colOff>
          <xdr:row>44</xdr:row>
          <xdr:rowOff>57150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3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3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3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114300</xdr:rowOff>
        </xdr:from>
        <xdr:to>
          <xdr:col>10</xdr:col>
          <xdr:colOff>76200</xdr:colOff>
          <xdr:row>53</xdr:row>
          <xdr:rowOff>114300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3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66" name="Gerader Verbinder 65">
          <a:extLst>
            <a:ext uri="{FF2B5EF4-FFF2-40B4-BE49-F238E27FC236}">
              <a16:creationId xmlns:a16="http://schemas.microsoft.com/office/drawing/2014/main" id="{00000000-0008-0000-0300-000042000000}"/>
            </a:ext>
          </a:extLst>
        </xdr:cNvPr>
        <xdr:cNvCxnSpPr/>
      </xdr:nvCxnSpPr>
      <xdr:spPr>
        <a:xfrm>
          <a:off x="2503714" y="7172296"/>
          <a:ext cx="0" cy="92123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65" name="Gerader Verbinder 64">
          <a:extLst>
            <a:ext uri="{FF2B5EF4-FFF2-40B4-BE49-F238E27FC236}">
              <a16:creationId xmlns:a16="http://schemas.microsoft.com/office/drawing/2014/main" id="{00000000-0008-0000-0300-000041000000}"/>
            </a:ext>
          </a:extLst>
        </xdr:cNvPr>
        <xdr:cNvCxnSpPr/>
      </xdr:nvCxnSpPr>
      <xdr:spPr>
        <a:xfrm>
          <a:off x="193221" y="7122647"/>
          <a:ext cx="0" cy="959996"/>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3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3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30</xdr:col>
      <xdr:colOff>41413</xdr:colOff>
      <xdr:row>60</xdr:row>
      <xdr:rowOff>11207</xdr:rowOff>
    </xdr:from>
    <xdr:to>
      <xdr:col>45</xdr:col>
      <xdr:colOff>731</xdr:colOff>
      <xdr:row>67</xdr:row>
      <xdr:rowOff>84863</xdr:rowOff>
    </xdr:to>
    <xdr:pic>
      <xdr:nvPicPr>
        <xdr:cNvPr id="8" name="Grafik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9">
          <a:duotone>
            <a:prstClr val="black"/>
            <a:schemeClr val="bg1">
              <a:lumMod val="65000"/>
              <a:tint val="45000"/>
              <a:satMod val="400000"/>
            </a:schemeClr>
          </a:duotone>
        </a:blip>
        <a:stretch>
          <a:fillRect/>
        </a:stretch>
      </xdr:blipFill>
      <xdr:spPr>
        <a:xfrm>
          <a:off x="6990522" y="10240229"/>
          <a:ext cx="3069437" cy="12332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3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3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161925</xdr:colOff>
          <xdr:row>63</xdr:row>
          <xdr:rowOff>19050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3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3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3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3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3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3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300-000045000000}"/>
            </a:ext>
          </a:extLst>
        </xdr:cNvPr>
        <xdr:cNvCxnSpPr/>
      </xdr:nvCxnSpPr>
      <xdr:spPr>
        <a:xfrm>
          <a:off x="4266661" y="7546705"/>
          <a:ext cx="23433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300-000046000000}"/>
            </a:ext>
          </a:extLst>
        </xdr:cNvPr>
        <xdr:cNvCxnSpPr/>
      </xdr:nvCxnSpPr>
      <xdr:spPr>
        <a:xfrm>
          <a:off x="4422181" y="6936988"/>
          <a:ext cx="0" cy="6830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300-000047000000}"/>
            </a:ext>
          </a:extLst>
        </xdr:cNvPr>
        <xdr:cNvCxnSpPr/>
      </xdr:nvCxnSpPr>
      <xdr:spPr>
        <a:xfrm>
          <a:off x="3897643" y="6870581"/>
          <a:ext cx="637186"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81" name="Gerader Verbinder 80">
          <a:extLst>
            <a:ext uri="{FF2B5EF4-FFF2-40B4-BE49-F238E27FC236}">
              <a16:creationId xmlns:a16="http://schemas.microsoft.com/office/drawing/2014/main" id="{00000000-0008-0000-0300-000051000000}"/>
            </a:ext>
          </a:extLst>
        </xdr:cNvPr>
        <xdr:cNvCxnSpPr/>
      </xdr:nvCxnSpPr>
      <xdr:spPr>
        <a:xfrm flipV="1">
          <a:off x="4366018" y="681248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82" name="Gerader Verbinder 81">
          <a:extLst>
            <a:ext uri="{FF2B5EF4-FFF2-40B4-BE49-F238E27FC236}">
              <a16:creationId xmlns:a16="http://schemas.microsoft.com/office/drawing/2014/main" id="{00000000-0008-0000-0300-000052000000}"/>
            </a:ext>
          </a:extLst>
        </xdr:cNvPr>
        <xdr:cNvCxnSpPr/>
      </xdr:nvCxnSpPr>
      <xdr:spPr>
        <a:xfrm flipV="1">
          <a:off x="4366018" y="748620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3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3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3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3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3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3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3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3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94</xdr:row>
          <xdr:rowOff>152400</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3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118" name="Rechteck 117">
          <a:extLst>
            <a:ext uri="{FF2B5EF4-FFF2-40B4-BE49-F238E27FC236}">
              <a16:creationId xmlns:a16="http://schemas.microsoft.com/office/drawing/2014/main" id="{00000000-0008-0000-0300-000076000000}"/>
            </a:ext>
          </a:extLst>
        </xdr:cNvPr>
        <xdr:cNvSpPr/>
      </xdr:nvSpPr>
      <xdr:spPr>
        <a:xfrm>
          <a:off x="4023451" y="11878234"/>
          <a:ext cx="178755" cy="48121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3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3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73</xdr:row>
          <xdr:rowOff>152400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3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119" name="Rechteck 118">
          <a:extLst>
            <a:ext uri="{FF2B5EF4-FFF2-40B4-BE49-F238E27FC236}">
              <a16:creationId xmlns:a16="http://schemas.microsoft.com/office/drawing/2014/main" id="{00000000-0008-0000-0300-000077000000}"/>
            </a:ext>
          </a:extLst>
        </xdr:cNvPr>
        <xdr:cNvSpPr/>
      </xdr:nvSpPr>
      <xdr:spPr>
        <a:xfrm>
          <a:off x="3133704" y="12302240"/>
          <a:ext cx="191594" cy="57940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81</xdr:row>
          <xdr:rowOff>152400</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3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120" name="Rechteck 119">
          <a:extLst>
            <a:ext uri="{FF2B5EF4-FFF2-40B4-BE49-F238E27FC236}">
              <a16:creationId xmlns:a16="http://schemas.microsoft.com/office/drawing/2014/main" id="{00000000-0008-0000-0300-000078000000}"/>
            </a:ext>
          </a:extLst>
        </xdr:cNvPr>
        <xdr:cNvSpPr/>
      </xdr:nvSpPr>
      <xdr:spPr>
        <a:xfrm>
          <a:off x="3374631" y="10296805"/>
          <a:ext cx="172031" cy="25646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28575</xdr:colOff>
          <xdr:row>62</xdr:row>
          <xdr:rowOff>57150</xdr:rowOff>
        </xdr:from>
        <xdr:to>
          <xdr:col>14</xdr:col>
          <xdr:colOff>28575</xdr:colOff>
          <xdr:row>63</xdr:row>
          <xdr:rowOff>57150</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3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68</xdr:row>
      <xdr:rowOff>51546</xdr:rowOff>
    </xdr:from>
    <xdr:to>
      <xdr:col>12</xdr:col>
      <xdr:colOff>29135</xdr:colOff>
      <xdr:row>69</xdr:row>
      <xdr:rowOff>147276</xdr:rowOff>
    </xdr:to>
    <xdr:sp macro="" textlink="">
      <xdr:nvSpPr>
        <xdr:cNvPr id="121" name="Rechteck 120">
          <a:extLst>
            <a:ext uri="{FF2B5EF4-FFF2-40B4-BE49-F238E27FC236}">
              <a16:creationId xmlns:a16="http://schemas.microsoft.com/office/drawing/2014/main" id="{00000000-0008-0000-0300-000079000000}"/>
            </a:ext>
          </a:extLst>
        </xdr:cNvPr>
        <xdr:cNvSpPr/>
      </xdr:nvSpPr>
      <xdr:spPr>
        <a:xfrm>
          <a:off x="2658575" y="10629899"/>
          <a:ext cx="172031" cy="25261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28575</xdr:colOff>
          <xdr:row>68</xdr:row>
          <xdr:rowOff>47625</xdr:rowOff>
        </xdr:from>
        <xdr:to>
          <xdr:col>12</xdr:col>
          <xdr:colOff>28575</xdr:colOff>
          <xdr:row>69</xdr:row>
          <xdr:rowOff>47625</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3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28575</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3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3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7" name="Gerader Verbinder 96">
          <a:extLst>
            <a:ext uri="{FF2B5EF4-FFF2-40B4-BE49-F238E27FC236}">
              <a16:creationId xmlns:a16="http://schemas.microsoft.com/office/drawing/2014/main" id="{00000000-0008-0000-0300-000061000000}"/>
            </a:ext>
          </a:extLst>
        </xdr:cNvPr>
        <xdr:cNvCxnSpPr/>
      </xdr:nvCxnSpPr>
      <xdr:spPr>
        <a:xfrm flipV="1">
          <a:off x="1059775" y="4487896"/>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40</xdr:col>
          <xdr:colOff>0</xdr:colOff>
          <xdr:row>33</xdr:row>
          <xdr:rowOff>0</xdr:rowOff>
        </xdr:from>
        <xdr:to>
          <xdr:col>41</xdr:col>
          <xdr:colOff>0</xdr:colOff>
          <xdr:row>34</xdr:row>
          <xdr:rowOff>0</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3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100" name="Gerader Verbinder 99">
          <a:extLst>
            <a:ext uri="{FF2B5EF4-FFF2-40B4-BE49-F238E27FC236}">
              <a16:creationId xmlns:a16="http://schemas.microsoft.com/office/drawing/2014/main" id="{00000000-0008-0000-0300-000064000000}"/>
            </a:ext>
          </a:extLst>
        </xdr:cNvPr>
        <xdr:cNvCxnSpPr/>
      </xdr:nvCxnSpPr>
      <xdr:spPr>
        <a:xfrm flipV="1">
          <a:off x="1934473" y="449384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101" name="Gerader Verbinder 100">
          <a:extLst>
            <a:ext uri="{FF2B5EF4-FFF2-40B4-BE49-F238E27FC236}">
              <a16:creationId xmlns:a16="http://schemas.microsoft.com/office/drawing/2014/main" id="{00000000-0008-0000-0300-000065000000}"/>
            </a:ext>
          </a:extLst>
        </xdr:cNvPr>
        <xdr:cNvCxnSpPr/>
      </xdr:nvCxnSpPr>
      <xdr:spPr>
        <a:xfrm flipV="1">
          <a:off x="2813154" y="449742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102" name="Gerader Verbinder 101">
          <a:extLst>
            <a:ext uri="{FF2B5EF4-FFF2-40B4-BE49-F238E27FC236}">
              <a16:creationId xmlns:a16="http://schemas.microsoft.com/office/drawing/2014/main" id="{00000000-0008-0000-0300-000066000000}"/>
            </a:ext>
          </a:extLst>
        </xdr:cNvPr>
        <xdr:cNvCxnSpPr/>
      </xdr:nvCxnSpPr>
      <xdr:spPr>
        <a:xfrm flipV="1">
          <a:off x="3697788" y="449504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3" name="Gerader Verbinder 102">
          <a:extLst>
            <a:ext uri="{FF2B5EF4-FFF2-40B4-BE49-F238E27FC236}">
              <a16:creationId xmlns:a16="http://schemas.microsoft.com/office/drawing/2014/main" id="{00000000-0008-0000-0300-000067000000}"/>
            </a:ext>
          </a:extLst>
        </xdr:cNvPr>
        <xdr:cNvCxnSpPr/>
      </xdr:nvCxnSpPr>
      <xdr:spPr>
        <a:xfrm flipV="1">
          <a:off x="4576469" y="449265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4" name="Gerader Verbinder 103">
          <a:extLst>
            <a:ext uri="{FF2B5EF4-FFF2-40B4-BE49-F238E27FC236}">
              <a16:creationId xmlns:a16="http://schemas.microsoft.com/office/drawing/2014/main" id="{00000000-0008-0000-0300-000068000000}"/>
            </a:ext>
          </a:extLst>
        </xdr:cNvPr>
        <xdr:cNvCxnSpPr/>
      </xdr:nvCxnSpPr>
      <xdr:spPr>
        <a:xfrm flipV="1">
          <a:off x="5461103" y="449623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5" name="Gerader Verbinder 104">
          <a:extLst>
            <a:ext uri="{FF2B5EF4-FFF2-40B4-BE49-F238E27FC236}">
              <a16:creationId xmlns:a16="http://schemas.microsoft.com/office/drawing/2014/main" id="{00000000-0008-0000-0300-000069000000}"/>
            </a:ext>
          </a:extLst>
        </xdr:cNvPr>
        <xdr:cNvCxnSpPr/>
      </xdr:nvCxnSpPr>
      <xdr:spPr>
        <a:xfrm flipV="1">
          <a:off x="6339784" y="449385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6" name="Gerader Verbinder 105">
          <a:extLst>
            <a:ext uri="{FF2B5EF4-FFF2-40B4-BE49-F238E27FC236}">
              <a16:creationId xmlns:a16="http://schemas.microsoft.com/office/drawing/2014/main" id="{00000000-0008-0000-0300-00006A000000}"/>
            </a:ext>
          </a:extLst>
        </xdr:cNvPr>
        <xdr:cNvCxnSpPr/>
      </xdr:nvCxnSpPr>
      <xdr:spPr>
        <a:xfrm flipV="1">
          <a:off x="7224418" y="449146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7" name="Gerader Verbinder 106">
          <a:extLst>
            <a:ext uri="{FF2B5EF4-FFF2-40B4-BE49-F238E27FC236}">
              <a16:creationId xmlns:a16="http://schemas.microsoft.com/office/drawing/2014/main" id="{00000000-0008-0000-0300-00006B000000}"/>
            </a:ext>
          </a:extLst>
        </xdr:cNvPr>
        <xdr:cNvCxnSpPr/>
      </xdr:nvCxnSpPr>
      <xdr:spPr>
        <a:xfrm flipV="1">
          <a:off x="8103099" y="449504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8" name="Gerader Verbinder 107">
          <a:extLst>
            <a:ext uri="{FF2B5EF4-FFF2-40B4-BE49-F238E27FC236}">
              <a16:creationId xmlns:a16="http://schemas.microsoft.com/office/drawing/2014/main" id="{00000000-0008-0000-0300-00006C000000}"/>
            </a:ext>
          </a:extLst>
        </xdr:cNvPr>
        <xdr:cNvCxnSpPr/>
      </xdr:nvCxnSpPr>
      <xdr:spPr>
        <a:xfrm flipV="1">
          <a:off x="8981780" y="4486707"/>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9" name="Gerader Verbinder 108">
          <a:extLst>
            <a:ext uri="{FF2B5EF4-FFF2-40B4-BE49-F238E27FC236}">
              <a16:creationId xmlns:a16="http://schemas.microsoft.com/office/drawing/2014/main" id="{00000000-0008-0000-0300-00006D000000}"/>
            </a:ext>
          </a:extLst>
        </xdr:cNvPr>
        <xdr:cNvCxnSpPr/>
      </xdr:nvCxnSpPr>
      <xdr:spPr>
        <a:xfrm flipV="1">
          <a:off x="9866415" y="4496232"/>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1" name="Grafik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40"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6971" y="302558"/>
          <a:ext cx="2723029" cy="3354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3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300-00007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300-00007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300-00008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 name="Grafik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77" t="10351" r="77528" b="74663"/>
        <a:stretch/>
      </xdr:blipFill>
      <xdr:spPr>
        <a:xfrm>
          <a:off x="6492297" y="16802678"/>
          <a:ext cx="1127148"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3" name="Grafik 12">
          <a:extLst>
            <a:ext uri="{FF2B5EF4-FFF2-40B4-BE49-F238E27FC236}">
              <a16:creationId xmlns:a16="http://schemas.microsoft.com/office/drawing/2014/main" id="{00000000-0008-0000-0300-00000D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25697" t="10250" r="56015" b="76270"/>
        <a:stretch/>
      </xdr:blipFill>
      <xdr:spPr>
        <a:xfrm>
          <a:off x="7745593" y="16788031"/>
          <a:ext cx="1269480" cy="1281929"/>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6" name="Grafik 15">
          <a:extLst>
            <a:ext uri="{FF2B5EF4-FFF2-40B4-BE49-F238E27FC236}">
              <a16:creationId xmlns:a16="http://schemas.microsoft.com/office/drawing/2014/main" id="{00000000-0008-0000-0300-000010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8824" t="10375" r="34746" b="74144"/>
        <a:stretch/>
      </xdr:blipFill>
      <xdr:spPr>
        <a:xfrm>
          <a:off x="9175097" y="16802025"/>
          <a:ext cx="1128413"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33" name="Grafik 132">
          <a:extLst>
            <a:ext uri="{FF2B5EF4-FFF2-40B4-BE49-F238E27FC236}">
              <a16:creationId xmlns:a16="http://schemas.microsoft.com/office/drawing/2014/main" id="{00000000-0008-0000-0300-000085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2700" r="40451" b="43145"/>
        <a:stretch/>
      </xdr:blipFill>
      <xdr:spPr>
        <a:xfrm>
          <a:off x="6602026" y="18464238"/>
          <a:ext cx="887128" cy="134686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165007</xdr:rowOff>
    </xdr:to>
    <xdr:pic>
      <xdr:nvPicPr>
        <xdr:cNvPr id="134" name="Grafik 133">
          <a:extLst>
            <a:ext uri="{FF2B5EF4-FFF2-40B4-BE49-F238E27FC236}">
              <a16:creationId xmlns:a16="http://schemas.microsoft.com/office/drawing/2014/main" id="{00000000-0008-0000-0300-000086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0330" r="40451" b="41065"/>
        <a:stretch/>
      </xdr:blipFill>
      <xdr:spPr>
        <a:xfrm>
          <a:off x="9284706" y="18239520"/>
          <a:ext cx="891589" cy="1777784"/>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44" name="Rechteck 43">
          <a:extLst>
            <a:ext uri="{FF2B5EF4-FFF2-40B4-BE49-F238E27FC236}">
              <a16:creationId xmlns:a16="http://schemas.microsoft.com/office/drawing/2014/main" id="{00000000-0008-0000-0300-00002C000000}"/>
            </a:ext>
          </a:extLst>
        </xdr:cNvPr>
        <xdr:cNvSpPr/>
      </xdr:nvSpPr>
      <xdr:spPr>
        <a:xfrm>
          <a:off x="7894926" y="18403565"/>
          <a:ext cx="1101328" cy="152326"/>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179296</xdr:rowOff>
    </xdr:to>
    <xdr:pic>
      <xdr:nvPicPr>
        <xdr:cNvPr id="14" name="Grafik 13">
          <a:extLst>
            <a:ext uri="{FF2B5EF4-FFF2-40B4-BE49-F238E27FC236}">
              <a16:creationId xmlns:a16="http://schemas.microsoft.com/office/drawing/2014/main" id="{00000000-0008-0000-0300-00000E000000}"/>
            </a:ext>
          </a:extLst>
        </xdr:cNvPr>
        <xdr:cNvPicPr>
          <a:picLocks noChangeAspect="1"/>
        </xdr:cNvPicPr>
      </xdr:nvPicPr>
      <xdr:blipFill rotWithShape="1">
        <a:blip xmlns:r="http://schemas.openxmlformats.org/officeDocument/2006/relationships" r:embed="rId42" cstate="print">
          <a:duotone>
            <a:prstClr val="black"/>
            <a:schemeClr val="accent3">
              <a:tint val="45000"/>
              <a:satMod val="400000"/>
            </a:schemeClr>
          </a:duotone>
          <a:extLst>
            <a:ext uri="{BEBA8EAE-BF5A-486C-A8C5-ECC9F3942E4B}">
              <a14:imgProps xmlns:a14="http://schemas.microsoft.com/office/drawing/2010/main">
                <a14:imgLayer r:embed="rId43">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556926" y="19968885"/>
          <a:ext cx="4032632" cy="2117910"/>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116523</xdr:rowOff>
    </xdr:to>
    <xdr:pic>
      <xdr:nvPicPr>
        <xdr:cNvPr id="15" name="Grafik 14">
          <a:extLst>
            <a:ext uri="{FF2B5EF4-FFF2-40B4-BE49-F238E27FC236}">
              <a16:creationId xmlns:a16="http://schemas.microsoft.com/office/drawing/2014/main" id="{00000000-0008-0000-0300-00000F000000}"/>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63390" t="41256" r="16917" b="41369"/>
        <a:stretch/>
      </xdr:blipFill>
      <xdr:spPr>
        <a:xfrm>
          <a:off x="7709911" y="18462622"/>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 name="Rechteck 11">
          <a:extLst>
            <a:ext uri="{FF2B5EF4-FFF2-40B4-BE49-F238E27FC236}">
              <a16:creationId xmlns:a16="http://schemas.microsoft.com/office/drawing/2014/main" id="{00000000-0008-0000-0300-00000C000000}"/>
            </a:ext>
          </a:extLst>
        </xdr:cNvPr>
        <xdr:cNvSpPr/>
      </xdr:nvSpPr>
      <xdr:spPr>
        <a:xfrm>
          <a:off x="4415118" y="14534029"/>
          <a:ext cx="358588" cy="45944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7" name="Pfeil nach rechts 16">
          <a:hlinkClick xmlns:r="http://schemas.openxmlformats.org/officeDocument/2006/relationships" r:id="rId45"/>
          <a:extLst>
            <a:ext uri="{FF2B5EF4-FFF2-40B4-BE49-F238E27FC236}">
              <a16:creationId xmlns:a16="http://schemas.microsoft.com/office/drawing/2014/main" id="{00000000-0008-0000-0300-000011000000}"/>
            </a:ext>
          </a:extLst>
        </xdr:cNvPr>
        <xdr:cNvSpPr/>
      </xdr:nvSpPr>
      <xdr:spPr>
        <a:xfrm>
          <a:off x="14546665" y="4279758"/>
          <a:ext cx="453392" cy="22622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35" name="Grafik 134">
          <a:extLst>
            <a:ext uri="{FF2B5EF4-FFF2-40B4-BE49-F238E27FC236}">
              <a16:creationId xmlns:a16="http://schemas.microsoft.com/office/drawing/2014/main" id="{00000000-0008-0000-0300-000087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r="52107"/>
        <a:stretch/>
      </xdr:blipFill>
      <xdr:spPr>
        <a:xfrm>
          <a:off x="11474823" y="12214411"/>
          <a:ext cx="684144" cy="725678"/>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36" name="Grafik 135">
          <a:extLst>
            <a:ext uri="{FF2B5EF4-FFF2-40B4-BE49-F238E27FC236}">
              <a16:creationId xmlns:a16="http://schemas.microsoft.com/office/drawing/2014/main" id="{00000000-0008-0000-0300-000088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l="51024"/>
        <a:stretch/>
      </xdr:blipFill>
      <xdr:spPr>
        <a:xfrm>
          <a:off x="12259236" y="12214412"/>
          <a:ext cx="699621" cy="725678"/>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21773</xdr:colOff>
      <xdr:row>90</xdr:row>
      <xdr:rowOff>19050</xdr:rowOff>
    </xdr:from>
    <xdr:to>
      <xdr:col>24</xdr:col>
      <xdr:colOff>115957</xdr:colOff>
      <xdr:row>93</xdr:row>
      <xdr:rowOff>107302</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duotone>
            <a:prstClr val="black"/>
            <a:schemeClr val="bg1">
              <a:lumMod val="65000"/>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r="33602"/>
        <a:stretch/>
      </xdr:blipFill>
      <xdr:spPr>
        <a:xfrm>
          <a:off x="5098598" y="14916150"/>
          <a:ext cx="751409" cy="574027"/>
        </a:xfrm>
        <a:prstGeom prst="rect">
          <a:avLst/>
        </a:prstGeom>
      </xdr:spPr>
    </xdr:pic>
    <xdr:clientData/>
  </xdr:twoCellAnchor>
  <xdr:twoCellAnchor editAs="oneCell">
    <xdr:from>
      <xdr:col>21</xdr:col>
      <xdr:colOff>9527</xdr:colOff>
      <xdr:row>85</xdr:row>
      <xdr:rowOff>47626</xdr:rowOff>
    </xdr:from>
    <xdr:to>
      <xdr:col>24</xdr:col>
      <xdr:colOff>115957</xdr:colOff>
      <xdr:row>88</xdr:row>
      <xdr:rowOff>121615</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3">
          <a:duotone>
            <a:prstClr val="black"/>
            <a:schemeClr val="bg1">
              <a:lumMod val="65000"/>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rcRect r="37323"/>
        <a:stretch/>
      </xdr:blipFill>
      <xdr:spPr>
        <a:xfrm>
          <a:off x="5086352" y="14135101"/>
          <a:ext cx="763655" cy="559764"/>
        </a:xfrm>
        <a:prstGeom prst="rect">
          <a:avLst/>
        </a:prstGeom>
      </xdr:spPr>
    </xdr:pic>
    <xdr:clientData/>
  </xdr:twoCellAnchor>
  <xdr:twoCellAnchor editAs="oneCell">
    <xdr:from>
      <xdr:col>11</xdr:col>
      <xdr:colOff>187016</xdr:colOff>
      <xdr:row>86</xdr:row>
      <xdr:rowOff>34778</xdr:rowOff>
    </xdr:from>
    <xdr:to>
      <xdr:col>19</xdr:col>
      <xdr:colOff>66675</xdr:colOff>
      <xdr:row>93</xdr:row>
      <xdr:rowOff>14408</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5">
          <a:duotone>
            <a:prstClr val="black"/>
            <a:schemeClr val="bg1">
              <a:lumMod val="65000"/>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073091" y="14284178"/>
          <a:ext cx="1632259" cy="1113105"/>
        </a:xfrm>
        <a:prstGeom prst="rect">
          <a:avLst/>
        </a:prstGeom>
      </xdr:spPr>
    </xdr:pic>
    <xdr:clientData/>
  </xdr:twoCellAnchor>
  <xdr:twoCellAnchor editAs="oneCell">
    <xdr:from>
      <xdr:col>4</xdr:col>
      <xdr:colOff>215161</xdr:colOff>
      <xdr:row>86</xdr:row>
      <xdr:rowOff>36868</xdr:rowOff>
    </xdr:from>
    <xdr:to>
      <xdr:col>10</xdr:col>
      <xdr:colOff>178527</xdr:colOff>
      <xdr:row>92</xdr:row>
      <xdr:rowOff>48794</xdr:rowOff>
    </xdr:to>
    <xdr:pic>
      <xdr:nvPicPr>
        <xdr:cNvPr id="5" name="Grafik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7">
          <a:duotone>
            <a:prstClr val="black"/>
            <a:schemeClr val="bg1">
              <a:lumMod val="65000"/>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1567711" y="14286268"/>
          <a:ext cx="1277816" cy="983476"/>
        </a:xfrm>
        <a:prstGeom prst="rect">
          <a:avLst/>
        </a:prstGeom>
      </xdr:spPr>
    </xdr:pic>
    <xdr:clientData/>
  </xdr:twoCellAnchor>
  <xdr:twoCellAnchor editAs="oneCell">
    <xdr:from>
      <xdr:col>20</xdr:col>
      <xdr:colOff>1</xdr:colOff>
      <xdr:row>72</xdr:row>
      <xdr:rowOff>28575</xdr:rowOff>
    </xdr:from>
    <xdr:to>
      <xdr:col>24</xdr:col>
      <xdr:colOff>95251</xdr:colOff>
      <xdr:row>82</xdr:row>
      <xdr:rowOff>130926</xdr:rowOff>
    </xdr:to>
    <xdr:pic>
      <xdr:nvPicPr>
        <xdr:cNvPr id="6" name="Grafik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9">
          <a:duotone>
            <a:prstClr val="black"/>
            <a:schemeClr val="bg1">
              <a:lumMod val="65000"/>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4857751" y="12020550"/>
          <a:ext cx="971550" cy="1712076"/>
        </a:xfrm>
        <a:prstGeom prst="rect">
          <a:avLst/>
        </a:prstGeom>
      </xdr:spPr>
    </xdr:pic>
    <xdr:clientData/>
  </xdr:twoCellAnchor>
  <xdr:twoCellAnchor editAs="oneCell">
    <xdr:from>
      <xdr:col>13</xdr:col>
      <xdr:colOff>28575</xdr:colOff>
      <xdr:row>72</xdr:row>
      <xdr:rowOff>78106</xdr:rowOff>
    </xdr:from>
    <xdr:to>
      <xdr:col>17</xdr:col>
      <xdr:colOff>85726</xdr:colOff>
      <xdr:row>82</xdr:row>
      <xdr:rowOff>83559</xdr:rowOff>
    </xdr:to>
    <xdr:pic>
      <xdr:nvPicPr>
        <xdr:cNvPr id="7" name="Grafik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1">
          <a:duotone>
            <a:prstClr val="black"/>
            <a:schemeClr val="bg1">
              <a:lumMod val="65000"/>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352800" y="12070081"/>
          <a:ext cx="933451" cy="1615178"/>
        </a:xfrm>
        <a:prstGeom prst="rect">
          <a:avLst/>
        </a:prstGeom>
      </xdr:spPr>
    </xdr:pic>
    <xdr:clientData/>
  </xdr:twoCellAnchor>
  <xdr:twoCellAnchor editAs="oneCell">
    <xdr:from>
      <xdr:col>5</xdr:col>
      <xdr:colOff>19049</xdr:colOff>
      <xdr:row>73</xdr:row>
      <xdr:rowOff>28575</xdr:rowOff>
    </xdr:from>
    <xdr:to>
      <xdr:col>10</xdr:col>
      <xdr:colOff>91522</xdr:colOff>
      <xdr:row>81</xdr:row>
      <xdr:rowOff>24727</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3">
          <a:duotone>
            <a:prstClr val="black"/>
            <a:schemeClr val="bg1">
              <a:lumMod val="65000"/>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1590674" y="12182475"/>
          <a:ext cx="1167848" cy="1282027"/>
        </a:xfrm>
        <a:prstGeom prst="rect">
          <a:avLst/>
        </a:prstGeom>
      </xdr:spPr>
    </xdr:pic>
    <xdr:clientData/>
  </xdr:twoCellAnchor>
  <xdr:twoCellAnchor editAs="oneCell">
    <xdr:from>
      <xdr:col>23</xdr:col>
      <xdr:colOff>22412</xdr:colOff>
      <xdr:row>61</xdr:row>
      <xdr:rowOff>135447</xdr:rowOff>
    </xdr:from>
    <xdr:to>
      <xdr:col>26</xdr:col>
      <xdr:colOff>179294</xdr:colOff>
      <xdr:row>70</xdr:row>
      <xdr:rowOff>564</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5">
          <a:duotone>
            <a:prstClr val="black"/>
            <a:schemeClr val="bg1">
              <a:lumMod val="65000"/>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5537387" y="10346247"/>
          <a:ext cx="814107" cy="1322442"/>
        </a:xfrm>
        <a:prstGeom prst="rect">
          <a:avLst/>
        </a:prstGeom>
      </xdr:spPr>
    </xdr:pic>
    <xdr:clientData/>
  </xdr:twoCellAnchor>
  <xdr:twoCellAnchor editAs="oneCell">
    <xdr:from>
      <xdr:col>17</xdr:col>
      <xdr:colOff>11206</xdr:colOff>
      <xdr:row>61</xdr:row>
      <xdr:rowOff>157859</xdr:rowOff>
    </xdr:from>
    <xdr:to>
      <xdr:col>20</xdr:col>
      <xdr:colOff>127103</xdr:colOff>
      <xdr:row>69</xdr:row>
      <xdr:rowOff>93061</xdr:rowOff>
    </xdr:to>
    <xdr:pic>
      <xdr:nvPicPr>
        <xdr:cNvPr id="10" name="Grafik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7">
          <a:duotone>
            <a:prstClr val="black"/>
            <a:schemeClr val="bg1">
              <a:lumMod val="65000"/>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4211731" y="10368659"/>
          <a:ext cx="773122" cy="1230602"/>
        </a:xfrm>
        <a:prstGeom prst="rect">
          <a:avLst/>
        </a:prstGeom>
      </xdr:spPr>
    </xdr:pic>
    <xdr:clientData/>
  </xdr:twoCellAnchor>
  <xdr:twoCellAnchor editAs="oneCell">
    <xdr:from>
      <xdr:col>10</xdr:col>
      <xdr:colOff>201706</xdr:colOff>
      <xdr:row>62</xdr:row>
      <xdr:rowOff>59440</xdr:rowOff>
    </xdr:from>
    <xdr:to>
      <xdr:col>14</xdr:col>
      <xdr:colOff>156883</xdr:colOff>
      <xdr:row>69</xdr:row>
      <xdr:rowOff>86280</xdr:rowOff>
    </xdr:to>
    <xdr:pic>
      <xdr:nvPicPr>
        <xdr:cNvPr id="11" name="Grafik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9">
          <a:duotone>
            <a:prstClr val="black"/>
            <a:schemeClr val="bg1">
              <a:lumMod val="65000"/>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2868706" y="10432165"/>
          <a:ext cx="831477" cy="1160315"/>
        </a:xfrm>
        <a:prstGeom prst="rect">
          <a:avLst/>
        </a:prstGeom>
        <a:noFill/>
      </xdr:spPr>
    </xdr:pic>
    <xdr:clientData/>
  </xdr:twoCellAnchor>
  <xdr:twoCellAnchor editAs="oneCell">
    <xdr:from>
      <xdr:col>4</xdr:col>
      <xdr:colOff>123265</xdr:colOff>
      <xdr:row>62</xdr:row>
      <xdr:rowOff>104264</xdr:rowOff>
    </xdr:from>
    <xdr:to>
      <xdr:col>9</xdr:col>
      <xdr:colOff>44824</xdr:colOff>
      <xdr:row>68</xdr:row>
      <xdr:rowOff>100352</xdr:rowOff>
    </xdr:to>
    <xdr:pic>
      <xdr:nvPicPr>
        <xdr:cNvPr id="12" name="Grafik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21">
          <a:duotone>
            <a:prstClr val="black"/>
            <a:schemeClr val="bg1">
              <a:lumMod val="65000"/>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475815" y="10476989"/>
          <a:ext cx="1016934" cy="967638"/>
        </a:xfrm>
        <a:prstGeom prst="rect">
          <a:avLst/>
        </a:prstGeom>
        <a:solidFill>
          <a:schemeClr val="bg1">
            <a:lumMod val="85000"/>
          </a:schemeClr>
        </a:solidFill>
      </xdr:spPr>
    </xdr:pic>
    <xdr:clientData/>
  </xdr:twoCellAnchor>
  <xdr:twoCellAnchor editAs="oneCell">
    <xdr:from>
      <xdr:col>16</xdr:col>
      <xdr:colOff>27984</xdr:colOff>
      <xdr:row>45</xdr:row>
      <xdr:rowOff>33619</xdr:rowOff>
    </xdr:from>
    <xdr:to>
      <xdr:col>22</xdr:col>
      <xdr:colOff>213813</xdr:colOff>
      <xdr:row>59</xdr:row>
      <xdr:rowOff>523</xdr:rowOff>
    </xdr:to>
    <xdr:pic>
      <xdr:nvPicPr>
        <xdr:cNvPr id="13" name="Grafik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23">
          <a:duotone>
            <a:prstClr val="black"/>
            <a:schemeClr val="bg1">
              <a:lumMod val="65000"/>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tretch>
          <a:fillRect/>
        </a:stretch>
      </xdr:blipFill>
      <xdr:spPr>
        <a:xfrm>
          <a:off x="4009434" y="7653619"/>
          <a:ext cx="1500279" cy="2233854"/>
        </a:xfrm>
        <a:prstGeom prst="rect">
          <a:avLst/>
        </a:prstGeom>
      </xdr:spPr>
    </xdr:pic>
    <xdr:clientData/>
  </xdr:twoCellAnchor>
  <xdr:twoCellAnchor editAs="oneCell">
    <xdr:from>
      <xdr:col>16</xdr:col>
      <xdr:colOff>29035</xdr:colOff>
      <xdr:row>35</xdr:row>
      <xdr:rowOff>70356</xdr:rowOff>
    </xdr:from>
    <xdr:to>
      <xdr:col>23</xdr:col>
      <xdr:colOff>11947</xdr:colOff>
      <xdr:row>43</xdr:row>
      <xdr:rowOff>40958</xdr:rowOff>
    </xdr:to>
    <xdr:pic>
      <xdr:nvPicPr>
        <xdr:cNvPr id="14" name="Grafik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Lst>
        </a:blip>
        <a:stretch>
          <a:fillRect/>
        </a:stretch>
      </xdr:blipFill>
      <xdr:spPr>
        <a:xfrm>
          <a:off x="4010485" y="6071106"/>
          <a:ext cx="1516437" cy="1266002"/>
        </a:xfrm>
        <a:prstGeom prst="rect">
          <a:avLst/>
        </a:prstGeom>
      </xdr:spPr>
    </xdr:pic>
    <xdr:clientData/>
  </xdr:twoCellAnchor>
  <xdr:twoCellAnchor editAs="oneCell">
    <xdr:from>
      <xdr:col>3</xdr:col>
      <xdr:colOff>48590</xdr:colOff>
      <xdr:row>49</xdr:row>
      <xdr:rowOff>60184</xdr:rowOff>
    </xdr:from>
    <xdr:to>
      <xdr:col>8</xdr:col>
      <xdr:colOff>75207</xdr:colOff>
      <xdr:row>58</xdr:row>
      <xdr:rowOff>105625</xdr:rowOff>
    </xdr:to>
    <xdr:pic>
      <xdr:nvPicPr>
        <xdr:cNvPr id="15" name="Grafik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7">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Effect>
                    <a14:saturation sat="400000"/>
                  </a14:imgEffect>
                </a14:imgLayer>
              </a14:imgProps>
            </a:ext>
          </a:extLst>
        </a:blip>
        <a:stretch>
          <a:fillRect/>
        </a:stretch>
      </xdr:blipFill>
      <xdr:spPr>
        <a:xfrm>
          <a:off x="1315415" y="8327884"/>
          <a:ext cx="988642" cy="1502766"/>
        </a:xfrm>
        <a:prstGeom prst="rect">
          <a:avLst/>
        </a:prstGeom>
      </xdr:spPr>
    </xdr:pic>
    <xdr:clientData/>
  </xdr:twoCellAnchor>
  <xdr:twoCellAnchor editAs="oneCell">
    <xdr:from>
      <xdr:col>10</xdr:col>
      <xdr:colOff>35068</xdr:colOff>
      <xdr:row>49</xdr:row>
      <xdr:rowOff>61549</xdr:rowOff>
    </xdr:from>
    <xdr:to>
      <xdr:col>14</xdr:col>
      <xdr:colOff>206607</xdr:colOff>
      <xdr:row>58</xdr:row>
      <xdr:rowOff>105079</xdr:rowOff>
    </xdr:to>
    <xdr:pic>
      <xdr:nvPicPr>
        <xdr:cNvPr id="16" name="Grafik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29">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Effect>
                    <a14:saturation sat="400000"/>
                  </a14:imgEffect>
                </a14:imgLayer>
              </a14:imgProps>
            </a:ext>
          </a:extLst>
        </a:blip>
        <a:stretch>
          <a:fillRect/>
        </a:stretch>
      </xdr:blipFill>
      <xdr:spPr>
        <a:xfrm>
          <a:off x="2702068" y="8329249"/>
          <a:ext cx="1047839" cy="1500855"/>
        </a:xfrm>
        <a:prstGeom prst="rect">
          <a:avLst/>
        </a:prstGeom>
      </xdr:spPr>
    </xdr:pic>
    <xdr:clientData/>
  </xdr:twoCellAnchor>
  <xdr:twoCellAnchor editAs="oneCell">
    <xdr:from>
      <xdr:col>3</xdr:col>
      <xdr:colOff>63213</xdr:colOff>
      <xdr:row>40</xdr:row>
      <xdr:rowOff>84287</xdr:rowOff>
    </xdr:from>
    <xdr:to>
      <xdr:col>6</xdr:col>
      <xdr:colOff>434</xdr:colOff>
      <xdr:row>47</xdr:row>
      <xdr:rowOff>21907</xdr:rowOff>
    </xdr:to>
    <xdr:pic>
      <xdr:nvPicPr>
        <xdr:cNvPr id="17" name="Grafik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Effect>
                    <a14:saturation sat="400000"/>
                  </a14:imgEffect>
                </a14:imgLayer>
              </a14:imgProps>
            </a:ext>
          </a:extLst>
        </a:blip>
        <a:stretch>
          <a:fillRect/>
        </a:stretch>
      </xdr:blipFill>
      <xdr:spPr>
        <a:xfrm>
          <a:off x="1330038" y="6894662"/>
          <a:ext cx="461096" cy="1071095"/>
        </a:xfrm>
        <a:prstGeom prst="rect">
          <a:avLst/>
        </a:prstGeom>
      </xdr:spPr>
    </xdr:pic>
    <xdr:clientData/>
  </xdr:twoCellAnchor>
  <xdr:twoCellAnchor editAs="oneCell">
    <xdr:from>
      <xdr:col>12</xdr:col>
      <xdr:colOff>168853</xdr:colOff>
      <xdr:row>40</xdr:row>
      <xdr:rowOff>90826</xdr:rowOff>
    </xdr:from>
    <xdr:to>
      <xdr:col>14</xdr:col>
      <xdr:colOff>180734</xdr:colOff>
      <xdr:row>47</xdr:row>
      <xdr:rowOff>45391</xdr:rowOff>
    </xdr:to>
    <xdr:pic>
      <xdr:nvPicPr>
        <xdr:cNvPr id="18" name="Grafik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3274003" y="6901201"/>
          <a:ext cx="450031" cy="1088040"/>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9" name="Rechteck 18">
          <a:extLst>
            <a:ext uri="{FF2B5EF4-FFF2-40B4-BE49-F238E27FC236}">
              <a16:creationId xmlns:a16="http://schemas.microsoft.com/office/drawing/2014/main" id="{00000000-0008-0000-0500-000013000000}"/>
            </a:ext>
          </a:extLst>
        </xdr:cNvPr>
        <xdr:cNvSpPr/>
      </xdr:nvSpPr>
      <xdr:spPr>
        <a:xfrm>
          <a:off x="3612995" y="788992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20" name="Rechteck 19">
          <a:extLst>
            <a:ext uri="{FF2B5EF4-FFF2-40B4-BE49-F238E27FC236}">
              <a16:creationId xmlns:a16="http://schemas.microsoft.com/office/drawing/2014/main" id="{00000000-0008-0000-0500-000014000000}"/>
            </a:ext>
          </a:extLst>
        </xdr:cNvPr>
        <xdr:cNvSpPr/>
      </xdr:nvSpPr>
      <xdr:spPr>
        <a:xfrm>
          <a:off x="1296563" y="788863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21" name="Gerader Verbinder 20">
          <a:extLst>
            <a:ext uri="{FF2B5EF4-FFF2-40B4-BE49-F238E27FC236}">
              <a16:creationId xmlns:a16="http://schemas.microsoft.com/office/drawing/2014/main" id="{00000000-0008-0000-0500-000015000000}"/>
            </a:ext>
          </a:extLst>
        </xdr:cNvPr>
        <xdr:cNvCxnSpPr/>
      </xdr:nvCxnSpPr>
      <xdr:spPr>
        <a:xfrm>
          <a:off x="1308497" y="830930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85112</xdr:rowOff>
    </xdr:from>
    <xdr:to>
      <xdr:col>26</xdr:col>
      <xdr:colOff>111141</xdr:colOff>
      <xdr:row>58</xdr:row>
      <xdr:rowOff>78280</xdr:rowOff>
    </xdr:to>
    <xdr:cxnSp macro="">
      <xdr:nvCxnSpPr>
        <xdr:cNvPr id="22" name="Gerader Verbinder 21">
          <a:extLst>
            <a:ext uri="{FF2B5EF4-FFF2-40B4-BE49-F238E27FC236}">
              <a16:creationId xmlns:a16="http://schemas.microsoft.com/office/drawing/2014/main" id="{00000000-0008-0000-0500-000016000000}"/>
            </a:ext>
          </a:extLst>
        </xdr:cNvPr>
        <xdr:cNvCxnSpPr/>
      </xdr:nvCxnSpPr>
      <xdr:spPr>
        <a:xfrm>
          <a:off x="6283341" y="9162437"/>
          <a:ext cx="0" cy="64086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23" name="Gerader Verbinder 22">
          <a:extLst>
            <a:ext uri="{FF2B5EF4-FFF2-40B4-BE49-F238E27FC236}">
              <a16:creationId xmlns:a16="http://schemas.microsoft.com/office/drawing/2014/main" id="{00000000-0008-0000-0500-000017000000}"/>
            </a:ext>
          </a:extLst>
        </xdr:cNvPr>
        <xdr:cNvCxnSpPr/>
      </xdr:nvCxnSpPr>
      <xdr:spPr>
        <a:xfrm>
          <a:off x="5402745" y="972243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144037</xdr:rowOff>
    </xdr:to>
    <xdr:cxnSp macro="">
      <xdr:nvCxnSpPr>
        <xdr:cNvPr id="24" name="Gerader Verbinder 23">
          <a:extLst>
            <a:ext uri="{FF2B5EF4-FFF2-40B4-BE49-F238E27FC236}">
              <a16:creationId xmlns:a16="http://schemas.microsoft.com/office/drawing/2014/main" id="{00000000-0008-0000-0500-000018000000}"/>
            </a:ext>
          </a:extLst>
        </xdr:cNvPr>
        <xdr:cNvCxnSpPr/>
      </xdr:nvCxnSpPr>
      <xdr:spPr>
        <a:xfrm>
          <a:off x="6282933" y="6073074"/>
          <a:ext cx="0" cy="298636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53</xdr:row>
      <xdr:rowOff>57454</xdr:rowOff>
    </xdr:from>
    <xdr:to>
      <xdr:col>26</xdr:col>
      <xdr:colOff>197625</xdr:colOff>
      <xdr:row>53</xdr:row>
      <xdr:rowOff>57454</xdr:rowOff>
    </xdr:to>
    <xdr:cxnSp macro="">
      <xdr:nvCxnSpPr>
        <xdr:cNvPr id="25" name="Gerader Verbinder 24">
          <a:extLst>
            <a:ext uri="{FF2B5EF4-FFF2-40B4-BE49-F238E27FC236}">
              <a16:creationId xmlns:a16="http://schemas.microsoft.com/office/drawing/2014/main" id="{00000000-0008-0000-0500-000019000000}"/>
            </a:ext>
          </a:extLst>
        </xdr:cNvPr>
        <xdr:cNvCxnSpPr/>
      </xdr:nvCxnSpPr>
      <xdr:spPr>
        <a:xfrm>
          <a:off x="5404135" y="897285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6" name="Gerader Verbinder 25">
          <a:extLst>
            <a:ext uri="{FF2B5EF4-FFF2-40B4-BE49-F238E27FC236}">
              <a16:creationId xmlns:a16="http://schemas.microsoft.com/office/drawing/2014/main" id="{00000000-0008-0000-0500-00001A000000}"/>
            </a:ext>
          </a:extLst>
        </xdr:cNvPr>
        <xdr:cNvCxnSpPr/>
      </xdr:nvCxnSpPr>
      <xdr:spPr>
        <a:xfrm>
          <a:off x="5385720" y="615150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7" name="Gerader Verbinder 26">
          <a:extLst>
            <a:ext uri="{FF2B5EF4-FFF2-40B4-BE49-F238E27FC236}">
              <a16:creationId xmlns:a16="http://schemas.microsoft.com/office/drawing/2014/main" id="{00000000-0008-0000-0500-00001B000000}"/>
            </a:ext>
          </a:extLst>
        </xdr:cNvPr>
        <xdr:cNvCxnSpPr/>
      </xdr:nvCxnSpPr>
      <xdr:spPr>
        <a:xfrm flipV="1">
          <a:off x="6232116" y="966479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160104</xdr:rowOff>
    </xdr:from>
    <xdr:to>
      <xdr:col>26</xdr:col>
      <xdr:colOff>172696</xdr:colOff>
      <xdr:row>53</xdr:row>
      <xdr:rowOff>110583</xdr:rowOff>
    </xdr:to>
    <xdr:cxnSp macro="">
      <xdr:nvCxnSpPr>
        <xdr:cNvPr id="28" name="Gerader Verbinder 27">
          <a:extLst>
            <a:ext uri="{FF2B5EF4-FFF2-40B4-BE49-F238E27FC236}">
              <a16:creationId xmlns:a16="http://schemas.microsoft.com/office/drawing/2014/main" id="{00000000-0008-0000-0500-00001C000000}"/>
            </a:ext>
          </a:extLst>
        </xdr:cNvPr>
        <xdr:cNvCxnSpPr/>
      </xdr:nvCxnSpPr>
      <xdr:spPr>
        <a:xfrm flipV="1">
          <a:off x="6230192" y="8913579"/>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9" name="Gerader Verbinder 28">
          <a:extLst>
            <a:ext uri="{FF2B5EF4-FFF2-40B4-BE49-F238E27FC236}">
              <a16:creationId xmlns:a16="http://schemas.microsoft.com/office/drawing/2014/main" id="{00000000-0008-0000-0500-00001D000000}"/>
            </a:ext>
          </a:extLst>
        </xdr:cNvPr>
        <xdr:cNvCxnSpPr/>
      </xdr:nvCxnSpPr>
      <xdr:spPr>
        <a:xfrm flipV="1">
          <a:off x="6225561" y="609655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5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1" name="Grafik 30">
          <a:extLst>
            <a:ext uri="{FF2B5EF4-FFF2-40B4-BE49-F238E27FC236}">
              <a16:creationId xmlns:a16="http://schemas.microsoft.com/office/drawing/2014/main" id="{00000000-0008-0000-0500-00001F000000}"/>
            </a:ext>
          </a:extLst>
        </xdr:cNvPr>
        <xdr:cNvPicPr>
          <a:picLocks noChangeAspect="1"/>
        </xdr:cNvPicPr>
      </xdr:nvPicPr>
      <xdr:blipFill rotWithShape="1">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rcRect t="3845" b="7693"/>
        <a:stretch/>
      </xdr:blipFill>
      <xdr:spPr>
        <a:xfrm>
          <a:off x="2723027" y="611280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787</xdr:rowOff>
    </xdr:to>
    <xdr:pic>
      <xdr:nvPicPr>
        <xdr:cNvPr id="32" name="Grafik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101605"/>
          <a:ext cx="1006848" cy="547632"/>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5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5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5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5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5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5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500-00000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5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5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0</xdr:colOff>
          <xdr:row>32</xdr:row>
          <xdr:rowOff>0</xdr:rowOff>
        </xdr:from>
        <xdr:to>
          <xdr:col>41</xdr:col>
          <xdr:colOff>0</xdr:colOff>
          <xdr:row>33</xdr:row>
          <xdr:rowOff>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5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4</xdr:row>
          <xdr:rowOff>171450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5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6</xdr:row>
          <xdr:rowOff>0</xdr:rowOff>
        </xdr:from>
        <xdr:to>
          <xdr:col>43</xdr:col>
          <xdr:colOff>0</xdr:colOff>
          <xdr:row>7</xdr:row>
          <xdr:rowOff>19050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5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5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5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5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50" name="Gerader Verbinder 49">
          <a:extLst>
            <a:ext uri="{FF2B5EF4-FFF2-40B4-BE49-F238E27FC236}">
              <a16:creationId xmlns:a16="http://schemas.microsoft.com/office/drawing/2014/main" id="{00000000-0008-0000-0500-000032000000}"/>
            </a:ext>
          </a:extLst>
        </xdr:cNvPr>
        <xdr:cNvCxnSpPr/>
      </xdr:nvCxnSpPr>
      <xdr:spPr>
        <a:xfrm flipV="1">
          <a:off x="1312232" y="824036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51" name="Gerader Verbinder 50">
          <a:extLst>
            <a:ext uri="{FF2B5EF4-FFF2-40B4-BE49-F238E27FC236}">
              <a16:creationId xmlns:a16="http://schemas.microsoft.com/office/drawing/2014/main" id="{00000000-0008-0000-0500-000033000000}"/>
            </a:ext>
          </a:extLst>
        </xdr:cNvPr>
        <xdr:cNvCxnSpPr/>
      </xdr:nvCxnSpPr>
      <xdr:spPr>
        <a:xfrm flipV="1">
          <a:off x="3637524" y="823627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5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500-00001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500-00001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114300</xdr:rowOff>
        </xdr:from>
        <xdr:to>
          <xdr:col>10</xdr:col>
          <xdr:colOff>76200</xdr:colOff>
          <xdr:row>53</xdr:row>
          <xdr:rowOff>114300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5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56" name="Gerader Verbinder 55">
          <a:extLst>
            <a:ext uri="{FF2B5EF4-FFF2-40B4-BE49-F238E27FC236}">
              <a16:creationId xmlns:a16="http://schemas.microsoft.com/office/drawing/2014/main" id="{00000000-0008-0000-0500-000038000000}"/>
            </a:ext>
          </a:extLst>
        </xdr:cNvPr>
        <xdr:cNvCxnSpPr/>
      </xdr:nvCxnSpPr>
      <xdr:spPr>
        <a:xfrm>
          <a:off x="3695700" y="755465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57" name="Gerader Verbinder 56">
          <a:extLst>
            <a:ext uri="{FF2B5EF4-FFF2-40B4-BE49-F238E27FC236}">
              <a16:creationId xmlns:a16="http://schemas.microsoft.com/office/drawing/2014/main" id="{00000000-0008-0000-0500-000039000000}"/>
            </a:ext>
          </a:extLst>
        </xdr:cNvPr>
        <xdr:cNvCxnSpPr/>
      </xdr:nvCxnSpPr>
      <xdr:spPr>
        <a:xfrm>
          <a:off x="1371600" y="750500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5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500-00001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30</xdr:col>
      <xdr:colOff>41413</xdr:colOff>
      <xdr:row>60</xdr:row>
      <xdr:rowOff>11207</xdr:rowOff>
    </xdr:from>
    <xdr:to>
      <xdr:col>45</xdr:col>
      <xdr:colOff>731</xdr:colOff>
      <xdr:row>67</xdr:row>
      <xdr:rowOff>84863</xdr:rowOff>
    </xdr:to>
    <xdr:pic>
      <xdr:nvPicPr>
        <xdr:cNvPr id="60" name="Grafik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39">
          <a:duotone>
            <a:prstClr val="black"/>
            <a:schemeClr val="bg1">
              <a:lumMod val="65000"/>
              <a:tint val="45000"/>
              <a:satMod val="400000"/>
            </a:schemeClr>
          </a:duotone>
        </a:blip>
        <a:stretch>
          <a:fillRect/>
        </a:stretch>
      </xdr:blipFill>
      <xdr:spPr>
        <a:xfrm>
          <a:off x="7089913" y="10060082"/>
          <a:ext cx="3121618" cy="12071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9241" name="Check Box 25" hidden="1">
              <a:extLst>
                <a:ext uri="{63B3BB69-23CF-44E3-9099-C40C66FF867C}">
                  <a14:compatExt spid="_x0000_s9241"/>
                </a:ext>
                <a:ext uri="{FF2B5EF4-FFF2-40B4-BE49-F238E27FC236}">
                  <a16:creationId xmlns:a16="http://schemas.microsoft.com/office/drawing/2014/main" id="{00000000-0008-0000-0500-00001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500-00001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500-00001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500-00001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500-00001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500-00002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500-000045000000}"/>
            </a:ext>
          </a:extLst>
        </xdr:cNvPr>
        <xdr:cNvCxnSpPr/>
      </xdr:nvCxnSpPr>
      <xdr:spPr>
        <a:xfrm>
          <a:off x="5464488" y="798206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500-000046000000}"/>
            </a:ext>
          </a:extLst>
        </xdr:cNvPr>
        <xdr:cNvCxnSpPr/>
      </xdr:nvCxnSpPr>
      <xdr:spPr>
        <a:xfrm>
          <a:off x="5620705" y="736584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500-000047000000}"/>
            </a:ext>
          </a:extLst>
        </xdr:cNvPr>
        <xdr:cNvCxnSpPr/>
      </xdr:nvCxnSpPr>
      <xdr:spPr>
        <a:xfrm>
          <a:off x="5094773" y="746136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72" name="Gerader Verbinder 71">
          <a:extLst>
            <a:ext uri="{FF2B5EF4-FFF2-40B4-BE49-F238E27FC236}">
              <a16:creationId xmlns:a16="http://schemas.microsoft.com/office/drawing/2014/main" id="{00000000-0008-0000-0500-000048000000}"/>
            </a:ext>
          </a:extLst>
        </xdr:cNvPr>
        <xdr:cNvCxnSpPr/>
      </xdr:nvCxnSpPr>
      <xdr:spPr>
        <a:xfrm flipV="1">
          <a:off x="5564542" y="74039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3" name="Gerader Verbinder 72">
          <a:extLst>
            <a:ext uri="{FF2B5EF4-FFF2-40B4-BE49-F238E27FC236}">
              <a16:creationId xmlns:a16="http://schemas.microsoft.com/office/drawing/2014/main" id="{00000000-0008-0000-0500-000049000000}"/>
            </a:ext>
          </a:extLst>
        </xdr:cNvPr>
        <xdr:cNvCxnSpPr/>
      </xdr:nvCxnSpPr>
      <xdr:spPr>
        <a:xfrm flipV="1">
          <a:off x="5564542" y="79222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9249" name="Check Box 33" hidden="1">
              <a:extLst>
                <a:ext uri="{63B3BB69-23CF-44E3-9099-C40C66FF867C}">
                  <a14:compatExt spid="_x0000_s9249"/>
                </a:ext>
                <a:ext uri="{FF2B5EF4-FFF2-40B4-BE49-F238E27FC236}">
                  <a16:creationId xmlns:a16="http://schemas.microsoft.com/office/drawing/2014/main" id="{00000000-0008-0000-0500-00002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9250" name="Check Box 34" hidden="1">
              <a:extLst>
                <a:ext uri="{63B3BB69-23CF-44E3-9099-C40C66FF867C}">
                  <a14:compatExt spid="_x0000_s9250"/>
                </a:ext>
                <a:ext uri="{FF2B5EF4-FFF2-40B4-BE49-F238E27FC236}">
                  <a16:creationId xmlns:a16="http://schemas.microsoft.com/office/drawing/2014/main" id="{00000000-0008-0000-0500-00002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9251" name="Check Box 35" hidden="1">
              <a:extLst>
                <a:ext uri="{63B3BB69-23CF-44E3-9099-C40C66FF867C}">
                  <a14:compatExt spid="_x0000_s9251"/>
                </a:ext>
                <a:ext uri="{FF2B5EF4-FFF2-40B4-BE49-F238E27FC236}">
                  <a16:creationId xmlns:a16="http://schemas.microsoft.com/office/drawing/2014/main" id="{00000000-0008-0000-0500-00002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500-00002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500-00002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9254" name="Check Box 38" hidden="1">
              <a:extLst>
                <a:ext uri="{63B3BB69-23CF-44E3-9099-C40C66FF867C}">
                  <a14:compatExt spid="_x0000_s9254"/>
                </a:ext>
                <a:ext uri="{FF2B5EF4-FFF2-40B4-BE49-F238E27FC236}">
                  <a16:creationId xmlns:a16="http://schemas.microsoft.com/office/drawing/2014/main" id="{00000000-0008-0000-0500-00002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9255" name="Check Box 39" hidden="1">
              <a:extLst>
                <a:ext uri="{63B3BB69-23CF-44E3-9099-C40C66FF867C}">
                  <a14:compatExt spid="_x0000_s9255"/>
                </a:ext>
                <a:ext uri="{FF2B5EF4-FFF2-40B4-BE49-F238E27FC236}">
                  <a16:creationId xmlns:a16="http://schemas.microsoft.com/office/drawing/2014/main" id="{00000000-0008-0000-0500-00002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83" name="Rechteck 82">
          <a:extLst>
            <a:ext uri="{FF2B5EF4-FFF2-40B4-BE49-F238E27FC236}">
              <a16:creationId xmlns:a16="http://schemas.microsoft.com/office/drawing/2014/main" id="{00000000-0008-0000-0500-000053000000}"/>
            </a:ext>
          </a:extLst>
        </xdr:cNvPr>
        <xdr:cNvSpPr/>
      </xdr:nvSpPr>
      <xdr:spPr>
        <a:xfrm>
          <a:off x="3964620" y="1211523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9258" name="Check Box 42" hidden="1">
              <a:extLst>
                <a:ext uri="{63B3BB69-23CF-44E3-9099-C40C66FF867C}">
                  <a14:compatExt spid="_x0000_s9258"/>
                </a:ext>
                <a:ext uri="{FF2B5EF4-FFF2-40B4-BE49-F238E27FC236}">
                  <a16:creationId xmlns:a16="http://schemas.microsoft.com/office/drawing/2014/main" id="{00000000-0008-0000-0500-00002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5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5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87" name="Rechteck 86">
          <a:extLst>
            <a:ext uri="{FF2B5EF4-FFF2-40B4-BE49-F238E27FC236}">
              <a16:creationId xmlns:a16="http://schemas.microsoft.com/office/drawing/2014/main" id="{00000000-0008-0000-0500-000057000000}"/>
            </a:ext>
          </a:extLst>
        </xdr:cNvPr>
        <xdr:cNvSpPr/>
      </xdr:nvSpPr>
      <xdr:spPr>
        <a:xfrm>
          <a:off x="3432341" y="1308497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9261" name="Check Box 45" hidden="1">
              <a:extLst>
                <a:ext uri="{63B3BB69-23CF-44E3-9099-C40C66FF867C}">
                  <a14:compatExt spid="_x0000_s9261"/>
                </a:ext>
                <a:ext uri="{FF2B5EF4-FFF2-40B4-BE49-F238E27FC236}">
                  <a16:creationId xmlns:a16="http://schemas.microsoft.com/office/drawing/2014/main" id="{00000000-0008-0000-05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9" name="Rechteck 88">
          <a:extLst>
            <a:ext uri="{FF2B5EF4-FFF2-40B4-BE49-F238E27FC236}">
              <a16:creationId xmlns:a16="http://schemas.microsoft.com/office/drawing/2014/main" id="{00000000-0008-0000-0500-000059000000}"/>
            </a:ext>
          </a:extLst>
        </xdr:cNvPr>
        <xdr:cNvSpPr/>
      </xdr:nvSpPr>
      <xdr:spPr>
        <a:xfrm>
          <a:off x="3365106" y="1037657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28575</xdr:colOff>
          <xdr:row>62</xdr:row>
          <xdr:rowOff>57150</xdr:rowOff>
        </xdr:from>
        <xdr:to>
          <xdr:col>14</xdr:col>
          <xdr:colOff>38100</xdr:colOff>
          <xdr:row>63</xdr:row>
          <xdr:rowOff>57150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5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68</xdr:row>
      <xdr:rowOff>51546</xdr:rowOff>
    </xdr:from>
    <xdr:to>
      <xdr:col>12</xdr:col>
      <xdr:colOff>29135</xdr:colOff>
      <xdr:row>69</xdr:row>
      <xdr:rowOff>147276</xdr:rowOff>
    </xdr:to>
    <xdr:sp macro="" textlink="">
      <xdr:nvSpPr>
        <xdr:cNvPr id="91" name="Rechteck 90">
          <a:extLst>
            <a:ext uri="{FF2B5EF4-FFF2-40B4-BE49-F238E27FC236}">
              <a16:creationId xmlns:a16="http://schemas.microsoft.com/office/drawing/2014/main" id="{00000000-0008-0000-0500-00005B000000}"/>
            </a:ext>
          </a:extLst>
        </xdr:cNvPr>
        <xdr:cNvSpPr/>
      </xdr:nvSpPr>
      <xdr:spPr>
        <a:xfrm>
          <a:off x="2967297" y="11395821"/>
          <a:ext cx="166988"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28575</xdr:colOff>
          <xdr:row>68</xdr:row>
          <xdr:rowOff>47625</xdr:rowOff>
        </xdr:from>
        <xdr:to>
          <xdr:col>12</xdr:col>
          <xdr:colOff>38100</xdr:colOff>
          <xdr:row>69</xdr:row>
          <xdr:rowOff>47625</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5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9264" name="Check Box 48" hidden="1">
              <a:extLst>
                <a:ext uri="{63B3BB69-23CF-44E3-9099-C40C66FF867C}">
                  <a14:compatExt spid="_x0000_s9264"/>
                </a:ext>
                <a:ext uri="{FF2B5EF4-FFF2-40B4-BE49-F238E27FC236}">
                  <a16:creationId xmlns:a16="http://schemas.microsoft.com/office/drawing/2014/main" id="{00000000-0008-0000-05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9265" name="Check Box 49" hidden="1">
              <a:extLst>
                <a:ext uri="{63B3BB69-23CF-44E3-9099-C40C66FF867C}">
                  <a14:compatExt spid="_x0000_s9265"/>
                </a:ext>
                <a:ext uri="{FF2B5EF4-FFF2-40B4-BE49-F238E27FC236}">
                  <a16:creationId xmlns:a16="http://schemas.microsoft.com/office/drawing/2014/main" id="{00000000-0008-0000-05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5" name="Gerader Verbinder 94">
          <a:extLst>
            <a:ext uri="{FF2B5EF4-FFF2-40B4-BE49-F238E27FC236}">
              <a16:creationId xmlns:a16="http://schemas.microsoft.com/office/drawing/2014/main" id="{00000000-0008-0000-0500-00005F000000}"/>
            </a:ext>
          </a:extLst>
        </xdr:cNvPr>
        <xdr:cNvCxnSpPr/>
      </xdr:nvCxnSpPr>
      <xdr:spPr>
        <a:xfrm flipV="1">
          <a:off x="1296709" y="491890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40</xdr:col>
          <xdr:colOff>0</xdr:colOff>
          <xdr:row>33</xdr:row>
          <xdr:rowOff>0</xdr:rowOff>
        </xdr:from>
        <xdr:to>
          <xdr:col>41</xdr:col>
          <xdr:colOff>0</xdr:colOff>
          <xdr:row>34</xdr:row>
          <xdr:rowOff>0</xdr:rowOff>
        </xdr:to>
        <xdr:sp macro="" textlink="">
          <xdr:nvSpPr>
            <xdr:cNvPr id="9266" name="Check Box 50" hidden="1">
              <a:extLst>
                <a:ext uri="{63B3BB69-23CF-44E3-9099-C40C66FF867C}">
                  <a14:compatExt spid="_x0000_s9266"/>
                </a:ext>
                <a:ext uri="{FF2B5EF4-FFF2-40B4-BE49-F238E27FC236}">
                  <a16:creationId xmlns:a16="http://schemas.microsoft.com/office/drawing/2014/main" id="{00000000-0008-0000-0500-00003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7" name="Gerader Verbinder 96">
          <a:extLst>
            <a:ext uri="{FF2B5EF4-FFF2-40B4-BE49-F238E27FC236}">
              <a16:creationId xmlns:a16="http://schemas.microsoft.com/office/drawing/2014/main" id="{00000000-0008-0000-0500-000061000000}"/>
            </a:ext>
          </a:extLst>
        </xdr:cNvPr>
        <xdr:cNvCxnSpPr/>
      </xdr:nvCxnSpPr>
      <xdr:spPr>
        <a:xfrm flipV="1">
          <a:off x="2170217" y="492485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8" name="Gerader Verbinder 97">
          <a:extLst>
            <a:ext uri="{FF2B5EF4-FFF2-40B4-BE49-F238E27FC236}">
              <a16:creationId xmlns:a16="http://schemas.microsoft.com/office/drawing/2014/main" id="{00000000-0008-0000-0500-000062000000}"/>
            </a:ext>
          </a:extLst>
        </xdr:cNvPr>
        <xdr:cNvCxnSpPr/>
      </xdr:nvCxnSpPr>
      <xdr:spPr>
        <a:xfrm flipV="1">
          <a:off x="3044135" y="492842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9" name="Gerader Verbinder 98">
          <a:extLst>
            <a:ext uri="{FF2B5EF4-FFF2-40B4-BE49-F238E27FC236}">
              <a16:creationId xmlns:a16="http://schemas.microsoft.com/office/drawing/2014/main" id="{00000000-0008-0000-0500-000063000000}"/>
            </a:ext>
          </a:extLst>
        </xdr:cNvPr>
        <xdr:cNvCxnSpPr/>
      </xdr:nvCxnSpPr>
      <xdr:spPr>
        <a:xfrm flipV="1">
          <a:off x="3924007" y="492604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0" name="Gerader Verbinder 99">
          <a:extLst>
            <a:ext uri="{FF2B5EF4-FFF2-40B4-BE49-F238E27FC236}">
              <a16:creationId xmlns:a16="http://schemas.microsoft.com/office/drawing/2014/main" id="{00000000-0008-0000-0500-000064000000}"/>
            </a:ext>
          </a:extLst>
        </xdr:cNvPr>
        <xdr:cNvCxnSpPr/>
      </xdr:nvCxnSpPr>
      <xdr:spPr>
        <a:xfrm flipV="1">
          <a:off x="4797925" y="492366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1" name="Gerader Verbinder 100">
          <a:extLst>
            <a:ext uri="{FF2B5EF4-FFF2-40B4-BE49-F238E27FC236}">
              <a16:creationId xmlns:a16="http://schemas.microsoft.com/office/drawing/2014/main" id="{00000000-0008-0000-0500-000065000000}"/>
            </a:ext>
          </a:extLst>
        </xdr:cNvPr>
        <xdr:cNvCxnSpPr/>
      </xdr:nvCxnSpPr>
      <xdr:spPr>
        <a:xfrm flipV="1">
          <a:off x="5677797" y="492723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2" name="Gerader Verbinder 101">
          <a:extLst>
            <a:ext uri="{FF2B5EF4-FFF2-40B4-BE49-F238E27FC236}">
              <a16:creationId xmlns:a16="http://schemas.microsoft.com/office/drawing/2014/main" id="{00000000-0008-0000-0500-000066000000}"/>
            </a:ext>
          </a:extLst>
        </xdr:cNvPr>
        <xdr:cNvCxnSpPr/>
      </xdr:nvCxnSpPr>
      <xdr:spPr>
        <a:xfrm flipV="1">
          <a:off x="6551715" y="492485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3" name="Gerader Verbinder 102">
          <a:extLst>
            <a:ext uri="{FF2B5EF4-FFF2-40B4-BE49-F238E27FC236}">
              <a16:creationId xmlns:a16="http://schemas.microsoft.com/office/drawing/2014/main" id="{00000000-0008-0000-0500-000067000000}"/>
            </a:ext>
          </a:extLst>
        </xdr:cNvPr>
        <xdr:cNvCxnSpPr/>
      </xdr:nvCxnSpPr>
      <xdr:spPr>
        <a:xfrm flipV="1">
          <a:off x="7431587" y="492247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4" name="Gerader Verbinder 103">
          <a:extLst>
            <a:ext uri="{FF2B5EF4-FFF2-40B4-BE49-F238E27FC236}">
              <a16:creationId xmlns:a16="http://schemas.microsoft.com/office/drawing/2014/main" id="{00000000-0008-0000-0500-000068000000}"/>
            </a:ext>
          </a:extLst>
        </xdr:cNvPr>
        <xdr:cNvCxnSpPr/>
      </xdr:nvCxnSpPr>
      <xdr:spPr>
        <a:xfrm flipV="1">
          <a:off x="8305505" y="492604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5" name="Gerader Verbinder 104">
          <a:extLst>
            <a:ext uri="{FF2B5EF4-FFF2-40B4-BE49-F238E27FC236}">
              <a16:creationId xmlns:a16="http://schemas.microsoft.com/office/drawing/2014/main" id="{00000000-0008-0000-0500-000069000000}"/>
            </a:ext>
          </a:extLst>
        </xdr:cNvPr>
        <xdr:cNvCxnSpPr/>
      </xdr:nvCxnSpPr>
      <xdr:spPr>
        <a:xfrm flipV="1">
          <a:off x="9179424" y="491771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6" name="Gerader Verbinder 105">
          <a:extLst>
            <a:ext uri="{FF2B5EF4-FFF2-40B4-BE49-F238E27FC236}">
              <a16:creationId xmlns:a16="http://schemas.microsoft.com/office/drawing/2014/main" id="{00000000-0008-0000-0500-00006A000000}"/>
            </a:ext>
          </a:extLst>
        </xdr:cNvPr>
        <xdr:cNvCxnSpPr/>
      </xdr:nvCxnSpPr>
      <xdr:spPr>
        <a:xfrm flipV="1">
          <a:off x="10059296" y="492723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7" name="Grafik 106">
          <a:extLst>
            <a:ext uri="{FF2B5EF4-FFF2-40B4-BE49-F238E27FC236}">
              <a16:creationId xmlns:a16="http://schemas.microsoft.com/office/drawing/2014/main" id="{00000000-0008-0000-0500-00006B000000}"/>
            </a:ext>
          </a:extLst>
        </xdr:cNvPr>
        <xdr:cNvPicPr>
          <a:picLocks noChangeAspect="1"/>
        </xdr:cNvPicPr>
      </xdr:nvPicPr>
      <xdr:blipFill>
        <a:blip xmlns:r="http://schemas.openxmlformats.org/officeDocument/2006/relationships" r:embed="rId40"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9267" name="Check Box 51" hidden="1">
              <a:extLst>
                <a:ext uri="{63B3BB69-23CF-44E3-9099-C40C66FF867C}">
                  <a14:compatExt spid="_x0000_s9267"/>
                </a:ext>
                <a:ext uri="{FF2B5EF4-FFF2-40B4-BE49-F238E27FC236}">
                  <a16:creationId xmlns:a16="http://schemas.microsoft.com/office/drawing/2014/main" id="{00000000-0008-0000-0500-00003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9268" name="Check Box 52" hidden="1">
              <a:extLst>
                <a:ext uri="{63B3BB69-23CF-44E3-9099-C40C66FF867C}">
                  <a14:compatExt spid="_x0000_s9268"/>
                </a:ext>
                <a:ext uri="{FF2B5EF4-FFF2-40B4-BE49-F238E27FC236}">
                  <a16:creationId xmlns:a16="http://schemas.microsoft.com/office/drawing/2014/main" id="{00000000-0008-0000-05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5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9270" name="Check Box 54" hidden="1">
              <a:extLst>
                <a:ext uri="{63B3BB69-23CF-44E3-9099-C40C66FF867C}">
                  <a14:compatExt spid="_x0000_s9270"/>
                </a:ext>
                <a:ext uri="{FF2B5EF4-FFF2-40B4-BE49-F238E27FC236}">
                  <a16:creationId xmlns:a16="http://schemas.microsoft.com/office/drawing/2014/main" id="{00000000-0008-0000-0500-00003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12" name="Grafik 111">
          <a:extLst>
            <a:ext uri="{FF2B5EF4-FFF2-40B4-BE49-F238E27FC236}">
              <a16:creationId xmlns:a16="http://schemas.microsoft.com/office/drawing/2014/main" id="{00000000-0008-0000-0500-000070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77" t="10351" r="77528" b="74663"/>
        <a:stretch/>
      </xdr:blipFill>
      <xdr:spPr>
        <a:xfrm>
          <a:off x="6472514" y="1692723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13" name="Grafik 112">
          <a:extLst>
            <a:ext uri="{FF2B5EF4-FFF2-40B4-BE49-F238E27FC236}">
              <a16:creationId xmlns:a16="http://schemas.microsoft.com/office/drawing/2014/main" id="{00000000-0008-0000-0500-000071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25697" t="10250" r="56015" b="76270"/>
        <a:stretch/>
      </xdr:blipFill>
      <xdr:spPr>
        <a:xfrm>
          <a:off x="7721414" y="1691258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14" name="Grafik 113">
          <a:extLst>
            <a:ext uri="{FF2B5EF4-FFF2-40B4-BE49-F238E27FC236}">
              <a16:creationId xmlns:a16="http://schemas.microsoft.com/office/drawing/2014/main" id="{00000000-0008-0000-0500-000072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8824" t="10375" r="34746" b="74144"/>
        <a:stretch/>
      </xdr:blipFill>
      <xdr:spPr>
        <a:xfrm>
          <a:off x="9146522" y="1692658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15" name="Grafik 114">
          <a:extLst>
            <a:ext uri="{FF2B5EF4-FFF2-40B4-BE49-F238E27FC236}">
              <a16:creationId xmlns:a16="http://schemas.microsoft.com/office/drawing/2014/main" id="{00000000-0008-0000-0500-000073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2700" r="40451" b="43145"/>
        <a:stretch/>
      </xdr:blipFill>
      <xdr:spPr>
        <a:xfrm>
          <a:off x="6563926" y="1859845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165007</xdr:rowOff>
    </xdr:to>
    <xdr:pic>
      <xdr:nvPicPr>
        <xdr:cNvPr id="116" name="Grafik 115">
          <a:extLst>
            <a:ext uri="{FF2B5EF4-FFF2-40B4-BE49-F238E27FC236}">
              <a16:creationId xmlns:a16="http://schemas.microsoft.com/office/drawing/2014/main" id="{00000000-0008-0000-0500-000074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0330" r="40451" b="41065"/>
        <a:stretch/>
      </xdr:blipFill>
      <xdr:spPr>
        <a:xfrm>
          <a:off x="9225824" y="18373736"/>
          <a:ext cx="884662" cy="1784246"/>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7" name="Rechteck 116">
          <a:extLst>
            <a:ext uri="{FF2B5EF4-FFF2-40B4-BE49-F238E27FC236}">
              <a16:creationId xmlns:a16="http://schemas.microsoft.com/office/drawing/2014/main" id="{00000000-0008-0000-0500-000075000000}"/>
            </a:ext>
          </a:extLst>
        </xdr:cNvPr>
        <xdr:cNvSpPr/>
      </xdr:nvSpPr>
      <xdr:spPr>
        <a:xfrm>
          <a:off x="7861588" y="1849881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179296</xdr:rowOff>
    </xdr:to>
    <xdr:pic>
      <xdr:nvPicPr>
        <xdr:cNvPr id="118" name="Grafik 117">
          <a:extLst>
            <a:ext uri="{FF2B5EF4-FFF2-40B4-BE49-F238E27FC236}">
              <a16:creationId xmlns:a16="http://schemas.microsoft.com/office/drawing/2014/main" id="{00000000-0008-0000-0500-000076000000}"/>
            </a:ext>
          </a:extLst>
        </xdr:cNvPr>
        <xdr:cNvPicPr>
          <a:picLocks noChangeAspect="1"/>
        </xdr:cNvPicPr>
      </xdr:nvPicPr>
      <xdr:blipFill rotWithShape="1">
        <a:blip xmlns:r="http://schemas.openxmlformats.org/officeDocument/2006/relationships" r:embed="rId42" cstate="print">
          <a:duotone>
            <a:prstClr val="black"/>
            <a:schemeClr val="accent3">
              <a:tint val="45000"/>
              <a:satMod val="400000"/>
            </a:schemeClr>
          </a:duotone>
          <a:extLst>
            <a:ext uri="{BEBA8EAE-BF5A-486C-A8C5-ECC9F3942E4B}">
              <a14:imgProps xmlns:a14="http://schemas.microsoft.com/office/drawing/2010/main">
                <a14:imgLayer r:embed="rId43">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36731"/>
          <a:ext cx="3941304" cy="2183465"/>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116523</xdr:rowOff>
    </xdr:to>
    <xdr:pic>
      <xdr:nvPicPr>
        <xdr:cNvPr id="119" name="Grafik 118">
          <a:extLst>
            <a:ext uri="{FF2B5EF4-FFF2-40B4-BE49-F238E27FC236}">
              <a16:creationId xmlns:a16="http://schemas.microsoft.com/office/drawing/2014/main" id="{00000000-0008-0000-0500-000077000000}"/>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63390" t="41256" r="16917" b="41369"/>
        <a:stretch/>
      </xdr:blipFill>
      <xdr:spPr>
        <a:xfrm>
          <a:off x="7709911" y="18500722"/>
          <a:ext cx="1332502" cy="1608776"/>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0" name="Rechteck 119">
          <a:extLst>
            <a:ext uri="{FF2B5EF4-FFF2-40B4-BE49-F238E27FC236}">
              <a16:creationId xmlns:a16="http://schemas.microsoft.com/office/drawing/2014/main" id="{00000000-0008-0000-0500-000078000000}"/>
            </a:ext>
          </a:extLst>
        </xdr:cNvPr>
        <xdr:cNvSpPr/>
      </xdr:nvSpPr>
      <xdr:spPr>
        <a:xfrm>
          <a:off x="4346202" y="14897100"/>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21" name="Pfeil nach rechts 16">
          <a:hlinkClick xmlns:r="http://schemas.openxmlformats.org/officeDocument/2006/relationships" r:id="rId45"/>
          <a:extLst>
            <a:ext uri="{FF2B5EF4-FFF2-40B4-BE49-F238E27FC236}">
              <a16:creationId xmlns:a16="http://schemas.microsoft.com/office/drawing/2014/main" id="{00000000-0008-0000-0500-000079000000}"/>
            </a:ext>
          </a:extLst>
        </xdr:cNvPr>
        <xdr:cNvSpPr/>
      </xdr:nvSpPr>
      <xdr:spPr>
        <a:xfrm>
          <a:off x="14883653" y="431523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22" name="Grafik 121">
          <a:extLst>
            <a:ext uri="{FF2B5EF4-FFF2-40B4-BE49-F238E27FC236}">
              <a16:creationId xmlns:a16="http://schemas.microsoft.com/office/drawing/2014/main" id="{00000000-0008-0000-0500-00007A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r="52107"/>
        <a:stretch/>
      </xdr:blipFill>
      <xdr:spPr>
        <a:xfrm>
          <a:off x="11271436" y="1251136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23" name="Grafik 122">
          <a:extLst>
            <a:ext uri="{FF2B5EF4-FFF2-40B4-BE49-F238E27FC236}">
              <a16:creationId xmlns:a16="http://schemas.microsoft.com/office/drawing/2014/main" id="{00000000-0008-0000-0500-00007B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l="51024"/>
        <a:stretch/>
      </xdr:blipFill>
      <xdr:spPr>
        <a:xfrm>
          <a:off x="12055849" y="12511368"/>
          <a:ext cx="699621" cy="74584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21773</xdr:colOff>
      <xdr:row>90</xdr:row>
      <xdr:rowOff>19050</xdr:rowOff>
    </xdr:from>
    <xdr:to>
      <xdr:col>24</xdr:col>
      <xdr:colOff>115957</xdr:colOff>
      <xdr:row>93</xdr:row>
      <xdr:rowOff>107302</xdr:rowOff>
    </xdr:to>
    <xdr:pic>
      <xdr:nvPicPr>
        <xdr:cNvPr id="2" name="Grafik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duotone>
            <a:prstClr val="black"/>
            <a:schemeClr val="bg1">
              <a:lumMod val="65000"/>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r="33602"/>
        <a:stretch/>
      </xdr:blipFill>
      <xdr:spPr>
        <a:xfrm>
          <a:off x="5098598" y="14916150"/>
          <a:ext cx="751409" cy="574027"/>
        </a:xfrm>
        <a:prstGeom prst="rect">
          <a:avLst/>
        </a:prstGeom>
      </xdr:spPr>
    </xdr:pic>
    <xdr:clientData/>
  </xdr:twoCellAnchor>
  <xdr:twoCellAnchor editAs="oneCell">
    <xdr:from>
      <xdr:col>21</xdr:col>
      <xdr:colOff>9527</xdr:colOff>
      <xdr:row>85</xdr:row>
      <xdr:rowOff>47626</xdr:rowOff>
    </xdr:from>
    <xdr:to>
      <xdr:col>24</xdr:col>
      <xdr:colOff>115957</xdr:colOff>
      <xdr:row>88</xdr:row>
      <xdr:rowOff>121615</xdr:rowOff>
    </xdr:to>
    <xdr:pic>
      <xdr:nvPicPr>
        <xdr:cNvPr id="3" name="Grafik 2">
          <a:extLst>
            <a:ext uri="{FF2B5EF4-FFF2-40B4-BE49-F238E27FC236}">
              <a16:creationId xmlns:a16="http://schemas.microsoft.com/office/drawing/2014/main" id="{00000000-0008-0000-0700-000003000000}"/>
            </a:ext>
          </a:extLst>
        </xdr:cNvPr>
        <xdr:cNvPicPr>
          <a:picLocks noChangeAspect="1"/>
        </xdr:cNvPicPr>
      </xdr:nvPicPr>
      <xdr:blipFill rotWithShape="1">
        <a:blip xmlns:r="http://schemas.openxmlformats.org/officeDocument/2006/relationships" r:embed="rId3">
          <a:duotone>
            <a:prstClr val="black"/>
            <a:schemeClr val="bg1">
              <a:lumMod val="65000"/>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rcRect r="37323"/>
        <a:stretch/>
      </xdr:blipFill>
      <xdr:spPr>
        <a:xfrm>
          <a:off x="5086352" y="14135101"/>
          <a:ext cx="763655" cy="559764"/>
        </a:xfrm>
        <a:prstGeom prst="rect">
          <a:avLst/>
        </a:prstGeom>
      </xdr:spPr>
    </xdr:pic>
    <xdr:clientData/>
  </xdr:twoCellAnchor>
  <xdr:twoCellAnchor editAs="oneCell">
    <xdr:from>
      <xdr:col>11</xdr:col>
      <xdr:colOff>187016</xdr:colOff>
      <xdr:row>86</xdr:row>
      <xdr:rowOff>34778</xdr:rowOff>
    </xdr:from>
    <xdr:to>
      <xdr:col>19</xdr:col>
      <xdr:colOff>66675</xdr:colOff>
      <xdr:row>93</xdr:row>
      <xdr:rowOff>14408</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5">
          <a:duotone>
            <a:prstClr val="black"/>
            <a:schemeClr val="bg1">
              <a:lumMod val="65000"/>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073091" y="14284178"/>
          <a:ext cx="1632259" cy="1113105"/>
        </a:xfrm>
        <a:prstGeom prst="rect">
          <a:avLst/>
        </a:prstGeom>
      </xdr:spPr>
    </xdr:pic>
    <xdr:clientData/>
  </xdr:twoCellAnchor>
  <xdr:twoCellAnchor editAs="oneCell">
    <xdr:from>
      <xdr:col>4</xdr:col>
      <xdr:colOff>215161</xdr:colOff>
      <xdr:row>86</xdr:row>
      <xdr:rowOff>36868</xdr:rowOff>
    </xdr:from>
    <xdr:to>
      <xdr:col>10</xdr:col>
      <xdr:colOff>178527</xdr:colOff>
      <xdr:row>92</xdr:row>
      <xdr:rowOff>48794</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7">
          <a:duotone>
            <a:prstClr val="black"/>
            <a:schemeClr val="bg1">
              <a:lumMod val="65000"/>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1567711" y="14286268"/>
          <a:ext cx="1277816" cy="983476"/>
        </a:xfrm>
        <a:prstGeom prst="rect">
          <a:avLst/>
        </a:prstGeom>
      </xdr:spPr>
    </xdr:pic>
    <xdr:clientData/>
  </xdr:twoCellAnchor>
  <xdr:twoCellAnchor editAs="oneCell">
    <xdr:from>
      <xdr:col>20</xdr:col>
      <xdr:colOff>1</xdr:colOff>
      <xdr:row>72</xdr:row>
      <xdr:rowOff>28575</xdr:rowOff>
    </xdr:from>
    <xdr:to>
      <xdr:col>24</xdr:col>
      <xdr:colOff>95251</xdr:colOff>
      <xdr:row>82</xdr:row>
      <xdr:rowOff>130926</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9">
          <a:duotone>
            <a:prstClr val="black"/>
            <a:schemeClr val="bg1">
              <a:lumMod val="65000"/>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4857751" y="12020550"/>
          <a:ext cx="971550" cy="1712076"/>
        </a:xfrm>
        <a:prstGeom prst="rect">
          <a:avLst/>
        </a:prstGeom>
      </xdr:spPr>
    </xdr:pic>
    <xdr:clientData/>
  </xdr:twoCellAnchor>
  <xdr:twoCellAnchor editAs="oneCell">
    <xdr:from>
      <xdr:col>13</xdr:col>
      <xdr:colOff>28575</xdr:colOff>
      <xdr:row>72</xdr:row>
      <xdr:rowOff>78106</xdr:rowOff>
    </xdr:from>
    <xdr:to>
      <xdr:col>17</xdr:col>
      <xdr:colOff>85726</xdr:colOff>
      <xdr:row>82</xdr:row>
      <xdr:rowOff>83559</xdr:rowOff>
    </xdr:to>
    <xdr:pic>
      <xdr:nvPicPr>
        <xdr:cNvPr id="7" name="Grafik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1">
          <a:duotone>
            <a:prstClr val="black"/>
            <a:schemeClr val="bg1">
              <a:lumMod val="65000"/>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352800" y="12070081"/>
          <a:ext cx="933451" cy="1615178"/>
        </a:xfrm>
        <a:prstGeom prst="rect">
          <a:avLst/>
        </a:prstGeom>
      </xdr:spPr>
    </xdr:pic>
    <xdr:clientData/>
  </xdr:twoCellAnchor>
  <xdr:twoCellAnchor editAs="oneCell">
    <xdr:from>
      <xdr:col>5</xdr:col>
      <xdr:colOff>19049</xdr:colOff>
      <xdr:row>73</xdr:row>
      <xdr:rowOff>28575</xdr:rowOff>
    </xdr:from>
    <xdr:to>
      <xdr:col>10</xdr:col>
      <xdr:colOff>91522</xdr:colOff>
      <xdr:row>81</xdr:row>
      <xdr:rowOff>24727</xdr:rowOff>
    </xdr:to>
    <xdr:pic>
      <xdr:nvPicPr>
        <xdr:cNvPr id="8" name="Grafik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3">
          <a:duotone>
            <a:prstClr val="black"/>
            <a:schemeClr val="bg1">
              <a:lumMod val="65000"/>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1590674" y="12182475"/>
          <a:ext cx="1167848" cy="1282027"/>
        </a:xfrm>
        <a:prstGeom prst="rect">
          <a:avLst/>
        </a:prstGeom>
      </xdr:spPr>
    </xdr:pic>
    <xdr:clientData/>
  </xdr:twoCellAnchor>
  <xdr:twoCellAnchor editAs="oneCell">
    <xdr:from>
      <xdr:col>23</xdr:col>
      <xdr:colOff>22412</xdr:colOff>
      <xdr:row>61</xdr:row>
      <xdr:rowOff>135447</xdr:rowOff>
    </xdr:from>
    <xdr:to>
      <xdr:col>26</xdr:col>
      <xdr:colOff>179294</xdr:colOff>
      <xdr:row>70</xdr:row>
      <xdr:rowOff>564</xdr:rowOff>
    </xdr:to>
    <xdr:pic>
      <xdr:nvPicPr>
        <xdr:cNvPr id="9" name="Grafik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15">
          <a:duotone>
            <a:prstClr val="black"/>
            <a:schemeClr val="bg1">
              <a:lumMod val="65000"/>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5537387" y="10346247"/>
          <a:ext cx="814107" cy="1322442"/>
        </a:xfrm>
        <a:prstGeom prst="rect">
          <a:avLst/>
        </a:prstGeom>
      </xdr:spPr>
    </xdr:pic>
    <xdr:clientData/>
  </xdr:twoCellAnchor>
  <xdr:twoCellAnchor editAs="oneCell">
    <xdr:from>
      <xdr:col>17</xdr:col>
      <xdr:colOff>11206</xdr:colOff>
      <xdr:row>61</xdr:row>
      <xdr:rowOff>157859</xdr:rowOff>
    </xdr:from>
    <xdr:to>
      <xdr:col>20</xdr:col>
      <xdr:colOff>127103</xdr:colOff>
      <xdr:row>69</xdr:row>
      <xdr:rowOff>93061</xdr:rowOff>
    </xdr:to>
    <xdr:pic>
      <xdr:nvPicPr>
        <xdr:cNvPr id="10" name="Grafik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17">
          <a:duotone>
            <a:prstClr val="black"/>
            <a:schemeClr val="bg1">
              <a:lumMod val="65000"/>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4211731" y="10368659"/>
          <a:ext cx="773122" cy="1230602"/>
        </a:xfrm>
        <a:prstGeom prst="rect">
          <a:avLst/>
        </a:prstGeom>
      </xdr:spPr>
    </xdr:pic>
    <xdr:clientData/>
  </xdr:twoCellAnchor>
  <xdr:twoCellAnchor editAs="oneCell">
    <xdr:from>
      <xdr:col>10</xdr:col>
      <xdr:colOff>201706</xdr:colOff>
      <xdr:row>62</xdr:row>
      <xdr:rowOff>59440</xdr:rowOff>
    </xdr:from>
    <xdr:to>
      <xdr:col>14</xdr:col>
      <xdr:colOff>156883</xdr:colOff>
      <xdr:row>69</xdr:row>
      <xdr:rowOff>86280</xdr:rowOff>
    </xdr:to>
    <xdr:pic>
      <xdr:nvPicPr>
        <xdr:cNvPr id="11" name="Grafik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9">
          <a:duotone>
            <a:prstClr val="black"/>
            <a:schemeClr val="bg1">
              <a:lumMod val="65000"/>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2868706" y="10432165"/>
          <a:ext cx="831477" cy="1160315"/>
        </a:xfrm>
        <a:prstGeom prst="rect">
          <a:avLst/>
        </a:prstGeom>
        <a:noFill/>
      </xdr:spPr>
    </xdr:pic>
    <xdr:clientData/>
  </xdr:twoCellAnchor>
  <xdr:twoCellAnchor editAs="oneCell">
    <xdr:from>
      <xdr:col>4</xdr:col>
      <xdr:colOff>123265</xdr:colOff>
      <xdr:row>62</xdr:row>
      <xdr:rowOff>104264</xdr:rowOff>
    </xdr:from>
    <xdr:to>
      <xdr:col>9</xdr:col>
      <xdr:colOff>44824</xdr:colOff>
      <xdr:row>68</xdr:row>
      <xdr:rowOff>100352</xdr:rowOff>
    </xdr:to>
    <xdr:pic>
      <xdr:nvPicPr>
        <xdr:cNvPr id="12" name="Grafik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1">
          <a:duotone>
            <a:prstClr val="black"/>
            <a:schemeClr val="bg1">
              <a:lumMod val="65000"/>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475815" y="10476989"/>
          <a:ext cx="1016934" cy="967638"/>
        </a:xfrm>
        <a:prstGeom prst="rect">
          <a:avLst/>
        </a:prstGeom>
        <a:solidFill>
          <a:schemeClr val="bg1">
            <a:lumMod val="85000"/>
          </a:schemeClr>
        </a:solidFill>
      </xdr:spPr>
    </xdr:pic>
    <xdr:clientData/>
  </xdr:twoCellAnchor>
  <xdr:twoCellAnchor editAs="oneCell">
    <xdr:from>
      <xdr:col>16</xdr:col>
      <xdr:colOff>27984</xdr:colOff>
      <xdr:row>45</xdr:row>
      <xdr:rowOff>33619</xdr:rowOff>
    </xdr:from>
    <xdr:to>
      <xdr:col>22</xdr:col>
      <xdr:colOff>213813</xdr:colOff>
      <xdr:row>59</xdr:row>
      <xdr:rowOff>523</xdr:rowOff>
    </xdr:to>
    <xdr:pic>
      <xdr:nvPicPr>
        <xdr:cNvPr id="13" name="Grafik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23">
          <a:duotone>
            <a:prstClr val="black"/>
            <a:schemeClr val="bg1">
              <a:lumMod val="65000"/>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tretch>
          <a:fillRect/>
        </a:stretch>
      </xdr:blipFill>
      <xdr:spPr>
        <a:xfrm>
          <a:off x="4009434" y="7653619"/>
          <a:ext cx="1500279" cy="2233854"/>
        </a:xfrm>
        <a:prstGeom prst="rect">
          <a:avLst/>
        </a:prstGeom>
      </xdr:spPr>
    </xdr:pic>
    <xdr:clientData/>
  </xdr:twoCellAnchor>
  <xdr:twoCellAnchor editAs="oneCell">
    <xdr:from>
      <xdr:col>16</xdr:col>
      <xdr:colOff>29035</xdr:colOff>
      <xdr:row>35</xdr:row>
      <xdr:rowOff>70356</xdr:rowOff>
    </xdr:from>
    <xdr:to>
      <xdr:col>23</xdr:col>
      <xdr:colOff>11947</xdr:colOff>
      <xdr:row>43</xdr:row>
      <xdr:rowOff>40958</xdr:rowOff>
    </xdr:to>
    <xdr:pic>
      <xdr:nvPicPr>
        <xdr:cNvPr id="14" name="Grafik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Lst>
        </a:blip>
        <a:stretch>
          <a:fillRect/>
        </a:stretch>
      </xdr:blipFill>
      <xdr:spPr>
        <a:xfrm>
          <a:off x="4010485" y="6071106"/>
          <a:ext cx="1516437" cy="1266002"/>
        </a:xfrm>
        <a:prstGeom prst="rect">
          <a:avLst/>
        </a:prstGeom>
      </xdr:spPr>
    </xdr:pic>
    <xdr:clientData/>
  </xdr:twoCellAnchor>
  <xdr:twoCellAnchor editAs="oneCell">
    <xdr:from>
      <xdr:col>3</xdr:col>
      <xdr:colOff>48590</xdr:colOff>
      <xdr:row>49</xdr:row>
      <xdr:rowOff>60184</xdr:rowOff>
    </xdr:from>
    <xdr:to>
      <xdr:col>8</xdr:col>
      <xdr:colOff>75207</xdr:colOff>
      <xdr:row>58</xdr:row>
      <xdr:rowOff>105625</xdr:rowOff>
    </xdr:to>
    <xdr:pic>
      <xdr:nvPicPr>
        <xdr:cNvPr id="15" name="Grafik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7">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Effect>
                    <a14:saturation sat="400000"/>
                  </a14:imgEffect>
                </a14:imgLayer>
              </a14:imgProps>
            </a:ext>
          </a:extLst>
        </a:blip>
        <a:stretch>
          <a:fillRect/>
        </a:stretch>
      </xdr:blipFill>
      <xdr:spPr>
        <a:xfrm>
          <a:off x="1315415" y="8327884"/>
          <a:ext cx="988642" cy="1502766"/>
        </a:xfrm>
        <a:prstGeom prst="rect">
          <a:avLst/>
        </a:prstGeom>
      </xdr:spPr>
    </xdr:pic>
    <xdr:clientData/>
  </xdr:twoCellAnchor>
  <xdr:twoCellAnchor editAs="oneCell">
    <xdr:from>
      <xdr:col>10</xdr:col>
      <xdr:colOff>35068</xdr:colOff>
      <xdr:row>49</xdr:row>
      <xdr:rowOff>61549</xdr:rowOff>
    </xdr:from>
    <xdr:to>
      <xdr:col>14</xdr:col>
      <xdr:colOff>206607</xdr:colOff>
      <xdr:row>58</xdr:row>
      <xdr:rowOff>105079</xdr:rowOff>
    </xdr:to>
    <xdr:pic>
      <xdr:nvPicPr>
        <xdr:cNvPr id="16" name="Grafik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29">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Effect>
                    <a14:saturation sat="400000"/>
                  </a14:imgEffect>
                </a14:imgLayer>
              </a14:imgProps>
            </a:ext>
          </a:extLst>
        </a:blip>
        <a:stretch>
          <a:fillRect/>
        </a:stretch>
      </xdr:blipFill>
      <xdr:spPr>
        <a:xfrm>
          <a:off x="2702068" y="8329249"/>
          <a:ext cx="1047839" cy="1500855"/>
        </a:xfrm>
        <a:prstGeom prst="rect">
          <a:avLst/>
        </a:prstGeom>
      </xdr:spPr>
    </xdr:pic>
    <xdr:clientData/>
  </xdr:twoCellAnchor>
  <xdr:twoCellAnchor editAs="oneCell">
    <xdr:from>
      <xdr:col>3</xdr:col>
      <xdr:colOff>63213</xdr:colOff>
      <xdr:row>40</xdr:row>
      <xdr:rowOff>84287</xdr:rowOff>
    </xdr:from>
    <xdr:to>
      <xdr:col>6</xdr:col>
      <xdr:colOff>434</xdr:colOff>
      <xdr:row>47</xdr:row>
      <xdr:rowOff>21907</xdr:rowOff>
    </xdr:to>
    <xdr:pic>
      <xdr:nvPicPr>
        <xdr:cNvPr id="17" name="Grafik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Effect>
                    <a14:saturation sat="400000"/>
                  </a14:imgEffect>
                </a14:imgLayer>
              </a14:imgProps>
            </a:ext>
          </a:extLst>
        </a:blip>
        <a:stretch>
          <a:fillRect/>
        </a:stretch>
      </xdr:blipFill>
      <xdr:spPr>
        <a:xfrm>
          <a:off x="1330038" y="6894662"/>
          <a:ext cx="461096" cy="1071095"/>
        </a:xfrm>
        <a:prstGeom prst="rect">
          <a:avLst/>
        </a:prstGeom>
      </xdr:spPr>
    </xdr:pic>
    <xdr:clientData/>
  </xdr:twoCellAnchor>
  <xdr:twoCellAnchor editAs="oneCell">
    <xdr:from>
      <xdr:col>12</xdr:col>
      <xdr:colOff>168853</xdr:colOff>
      <xdr:row>40</xdr:row>
      <xdr:rowOff>90826</xdr:rowOff>
    </xdr:from>
    <xdr:to>
      <xdr:col>14</xdr:col>
      <xdr:colOff>180734</xdr:colOff>
      <xdr:row>47</xdr:row>
      <xdr:rowOff>45391</xdr:rowOff>
    </xdr:to>
    <xdr:pic>
      <xdr:nvPicPr>
        <xdr:cNvPr id="18" name="Grafik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3274003" y="6901201"/>
          <a:ext cx="450031" cy="1088040"/>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9" name="Rechteck 18">
          <a:extLst>
            <a:ext uri="{FF2B5EF4-FFF2-40B4-BE49-F238E27FC236}">
              <a16:creationId xmlns:a16="http://schemas.microsoft.com/office/drawing/2014/main" id="{00000000-0008-0000-0700-000013000000}"/>
            </a:ext>
          </a:extLst>
        </xdr:cNvPr>
        <xdr:cNvSpPr/>
      </xdr:nvSpPr>
      <xdr:spPr>
        <a:xfrm>
          <a:off x="3612995" y="788992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20" name="Rechteck 19">
          <a:extLst>
            <a:ext uri="{FF2B5EF4-FFF2-40B4-BE49-F238E27FC236}">
              <a16:creationId xmlns:a16="http://schemas.microsoft.com/office/drawing/2014/main" id="{00000000-0008-0000-0700-000014000000}"/>
            </a:ext>
          </a:extLst>
        </xdr:cNvPr>
        <xdr:cNvSpPr/>
      </xdr:nvSpPr>
      <xdr:spPr>
        <a:xfrm>
          <a:off x="1296563" y="788863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21" name="Gerader Verbinder 20">
          <a:extLst>
            <a:ext uri="{FF2B5EF4-FFF2-40B4-BE49-F238E27FC236}">
              <a16:creationId xmlns:a16="http://schemas.microsoft.com/office/drawing/2014/main" id="{00000000-0008-0000-0700-000015000000}"/>
            </a:ext>
          </a:extLst>
        </xdr:cNvPr>
        <xdr:cNvCxnSpPr/>
      </xdr:nvCxnSpPr>
      <xdr:spPr>
        <a:xfrm>
          <a:off x="1308497" y="830930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85112</xdr:rowOff>
    </xdr:from>
    <xdr:to>
      <xdr:col>26</xdr:col>
      <xdr:colOff>111141</xdr:colOff>
      <xdr:row>58</xdr:row>
      <xdr:rowOff>78280</xdr:rowOff>
    </xdr:to>
    <xdr:cxnSp macro="">
      <xdr:nvCxnSpPr>
        <xdr:cNvPr id="22" name="Gerader Verbinder 21">
          <a:extLst>
            <a:ext uri="{FF2B5EF4-FFF2-40B4-BE49-F238E27FC236}">
              <a16:creationId xmlns:a16="http://schemas.microsoft.com/office/drawing/2014/main" id="{00000000-0008-0000-0700-000016000000}"/>
            </a:ext>
          </a:extLst>
        </xdr:cNvPr>
        <xdr:cNvCxnSpPr/>
      </xdr:nvCxnSpPr>
      <xdr:spPr>
        <a:xfrm>
          <a:off x="6283341" y="9162437"/>
          <a:ext cx="0" cy="64086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23" name="Gerader Verbinder 22">
          <a:extLst>
            <a:ext uri="{FF2B5EF4-FFF2-40B4-BE49-F238E27FC236}">
              <a16:creationId xmlns:a16="http://schemas.microsoft.com/office/drawing/2014/main" id="{00000000-0008-0000-0700-000017000000}"/>
            </a:ext>
          </a:extLst>
        </xdr:cNvPr>
        <xdr:cNvCxnSpPr/>
      </xdr:nvCxnSpPr>
      <xdr:spPr>
        <a:xfrm>
          <a:off x="5402745" y="972243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144037</xdr:rowOff>
    </xdr:to>
    <xdr:cxnSp macro="">
      <xdr:nvCxnSpPr>
        <xdr:cNvPr id="24" name="Gerader Verbinder 23">
          <a:extLst>
            <a:ext uri="{FF2B5EF4-FFF2-40B4-BE49-F238E27FC236}">
              <a16:creationId xmlns:a16="http://schemas.microsoft.com/office/drawing/2014/main" id="{00000000-0008-0000-0700-000018000000}"/>
            </a:ext>
          </a:extLst>
        </xdr:cNvPr>
        <xdr:cNvCxnSpPr/>
      </xdr:nvCxnSpPr>
      <xdr:spPr>
        <a:xfrm>
          <a:off x="6282933" y="6073074"/>
          <a:ext cx="0" cy="298636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53</xdr:row>
      <xdr:rowOff>57454</xdr:rowOff>
    </xdr:from>
    <xdr:to>
      <xdr:col>26</xdr:col>
      <xdr:colOff>197625</xdr:colOff>
      <xdr:row>53</xdr:row>
      <xdr:rowOff>57454</xdr:rowOff>
    </xdr:to>
    <xdr:cxnSp macro="">
      <xdr:nvCxnSpPr>
        <xdr:cNvPr id="25" name="Gerader Verbinder 24">
          <a:extLst>
            <a:ext uri="{FF2B5EF4-FFF2-40B4-BE49-F238E27FC236}">
              <a16:creationId xmlns:a16="http://schemas.microsoft.com/office/drawing/2014/main" id="{00000000-0008-0000-0700-000019000000}"/>
            </a:ext>
          </a:extLst>
        </xdr:cNvPr>
        <xdr:cNvCxnSpPr/>
      </xdr:nvCxnSpPr>
      <xdr:spPr>
        <a:xfrm>
          <a:off x="5404135" y="897285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6" name="Gerader Verbinder 25">
          <a:extLst>
            <a:ext uri="{FF2B5EF4-FFF2-40B4-BE49-F238E27FC236}">
              <a16:creationId xmlns:a16="http://schemas.microsoft.com/office/drawing/2014/main" id="{00000000-0008-0000-0700-00001A000000}"/>
            </a:ext>
          </a:extLst>
        </xdr:cNvPr>
        <xdr:cNvCxnSpPr/>
      </xdr:nvCxnSpPr>
      <xdr:spPr>
        <a:xfrm>
          <a:off x="5385720" y="615150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7" name="Gerader Verbinder 26">
          <a:extLst>
            <a:ext uri="{FF2B5EF4-FFF2-40B4-BE49-F238E27FC236}">
              <a16:creationId xmlns:a16="http://schemas.microsoft.com/office/drawing/2014/main" id="{00000000-0008-0000-0700-00001B000000}"/>
            </a:ext>
          </a:extLst>
        </xdr:cNvPr>
        <xdr:cNvCxnSpPr/>
      </xdr:nvCxnSpPr>
      <xdr:spPr>
        <a:xfrm flipV="1">
          <a:off x="6232116" y="966479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160104</xdr:rowOff>
    </xdr:from>
    <xdr:to>
      <xdr:col>26</xdr:col>
      <xdr:colOff>172696</xdr:colOff>
      <xdr:row>53</xdr:row>
      <xdr:rowOff>110583</xdr:rowOff>
    </xdr:to>
    <xdr:cxnSp macro="">
      <xdr:nvCxnSpPr>
        <xdr:cNvPr id="28" name="Gerader Verbinder 27">
          <a:extLst>
            <a:ext uri="{FF2B5EF4-FFF2-40B4-BE49-F238E27FC236}">
              <a16:creationId xmlns:a16="http://schemas.microsoft.com/office/drawing/2014/main" id="{00000000-0008-0000-0700-00001C000000}"/>
            </a:ext>
          </a:extLst>
        </xdr:cNvPr>
        <xdr:cNvCxnSpPr/>
      </xdr:nvCxnSpPr>
      <xdr:spPr>
        <a:xfrm flipV="1">
          <a:off x="6230192" y="8913579"/>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9" name="Gerader Verbinder 28">
          <a:extLst>
            <a:ext uri="{FF2B5EF4-FFF2-40B4-BE49-F238E27FC236}">
              <a16:creationId xmlns:a16="http://schemas.microsoft.com/office/drawing/2014/main" id="{00000000-0008-0000-0700-00001D000000}"/>
            </a:ext>
          </a:extLst>
        </xdr:cNvPr>
        <xdr:cNvCxnSpPr/>
      </xdr:nvCxnSpPr>
      <xdr:spPr>
        <a:xfrm flipV="1">
          <a:off x="6225561" y="609655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1" name="Grafik 30">
          <a:extLst>
            <a:ext uri="{FF2B5EF4-FFF2-40B4-BE49-F238E27FC236}">
              <a16:creationId xmlns:a16="http://schemas.microsoft.com/office/drawing/2014/main" id="{00000000-0008-0000-0700-00001F000000}"/>
            </a:ext>
          </a:extLst>
        </xdr:cNvPr>
        <xdr:cNvPicPr>
          <a:picLocks noChangeAspect="1"/>
        </xdr:cNvPicPr>
      </xdr:nvPicPr>
      <xdr:blipFill rotWithShape="1">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rcRect t="3845" b="7693"/>
        <a:stretch/>
      </xdr:blipFill>
      <xdr:spPr>
        <a:xfrm>
          <a:off x="2723027" y="611280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787</xdr:rowOff>
    </xdr:to>
    <xdr:pic>
      <xdr:nvPicPr>
        <xdr:cNvPr id="32" name="Grafik 31">
          <a:extLst>
            <a:ext uri="{FF2B5EF4-FFF2-40B4-BE49-F238E27FC236}">
              <a16:creationId xmlns:a16="http://schemas.microsoft.com/office/drawing/2014/main" id="{00000000-0008-0000-0700-000020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101605"/>
          <a:ext cx="1006848" cy="547632"/>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7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7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7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7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7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7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0</xdr:colOff>
          <xdr:row>32</xdr:row>
          <xdr:rowOff>0</xdr:rowOff>
        </xdr:from>
        <xdr:to>
          <xdr:col>41</xdr:col>
          <xdr:colOff>0</xdr:colOff>
          <xdr:row>33</xdr:row>
          <xdr:rowOff>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7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4</xdr:row>
          <xdr:rowOff>171450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7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7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6</xdr:row>
          <xdr:rowOff>0</xdr:rowOff>
        </xdr:from>
        <xdr:to>
          <xdr:col>43</xdr:col>
          <xdr:colOff>0</xdr:colOff>
          <xdr:row>7</xdr:row>
          <xdr:rowOff>19050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7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7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1280" name="Check Box 16" hidden="1">
              <a:extLst>
                <a:ext uri="{63B3BB69-23CF-44E3-9099-C40C66FF867C}">
                  <a14:compatExt spid="_x0000_s11280"/>
                </a:ext>
                <a:ext uri="{FF2B5EF4-FFF2-40B4-BE49-F238E27FC236}">
                  <a16:creationId xmlns:a16="http://schemas.microsoft.com/office/drawing/2014/main" id="{00000000-0008-0000-0700-00001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1281" name="Check Box 17" hidden="1">
              <a:extLst>
                <a:ext uri="{63B3BB69-23CF-44E3-9099-C40C66FF867C}">
                  <a14:compatExt spid="_x0000_s11281"/>
                </a:ext>
                <a:ext uri="{FF2B5EF4-FFF2-40B4-BE49-F238E27FC236}">
                  <a16:creationId xmlns:a16="http://schemas.microsoft.com/office/drawing/2014/main" id="{00000000-0008-0000-0700-00001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7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50" name="Gerader Verbinder 49">
          <a:extLst>
            <a:ext uri="{FF2B5EF4-FFF2-40B4-BE49-F238E27FC236}">
              <a16:creationId xmlns:a16="http://schemas.microsoft.com/office/drawing/2014/main" id="{00000000-0008-0000-0700-000032000000}"/>
            </a:ext>
          </a:extLst>
        </xdr:cNvPr>
        <xdr:cNvCxnSpPr/>
      </xdr:nvCxnSpPr>
      <xdr:spPr>
        <a:xfrm flipV="1">
          <a:off x="1312232" y="824036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51" name="Gerader Verbinder 50">
          <a:extLst>
            <a:ext uri="{FF2B5EF4-FFF2-40B4-BE49-F238E27FC236}">
              <a16:creationId xmlns:a16="http://schemas.microsoft.com/office/drawing/2014/main" id="{00000000-0008-0000-0700-000033000000}"/>
            </a:ext>
          </a:extLst>
        </xdr:cNvPr>
        <xdr:cNvCxnSpPr/>
      </xdr:nvCxnSpPr>
      <xdr:spPr>
        <a:xfrm flipV="1">
          <a:off x="3637524" y="823627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7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7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7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114300</xdr:rowOff>
        </xdr:from>
        <xdr:to>
          <xdr:col>10</xdr:col>
          <xdr:colOff>76200</xdr:colOff>
          <xdr:row>53</xdr:row>
          <xdr:rowOff>114300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7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56" name="Gerader Verbinder 55">
          <a:extLst>
            <a:ext uri="{FF2B5EF4-FFF2-40B4-BE49-F238E27FC236}">
              <a16:creationId xmlns:a16="http://schemas.microsoft.com/office/drawing/2014/main" id="{00000000-0008-0000-0700-000038000000}"/>
            </a:ext>
          </a:extLst>
        </xdr:cNvPr>
        <xdr:cNvCxnSpPr/>
      </xdr:nvCxnSpPr>
      <xdr:spPr>
        <a:xfrm>
          <a:off x="3695700" y="755465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57" name="Gerader Verbinder 56">
          <a:extLst>
            <a:ext uri="{FF2B5EF4-FFF2-40B4-BE49-F238E27FC236}">
              <a16:creationId xmlns:a16="http://schemas.microsoft.com/office/drawing/2014/main" id="{00000000-0008-0000-0700-000039000000}"/>
            </a:ext>
          </a:extLst>
        </xdr:cNvPr>
        <xdr:cNvCxnSpPr/>
      </xdr:nvCxnSpPr>
      <xdr:spPr>
        <a:xfrm>
          <a:off x="1371600" y="750500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7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7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30</xdr:col>
      <xdr:colOff>41413</xdr:colOff>
      <xdr:row>60</xdr:row>
      <xdr:rowOff>11207</xdr:rowOff>
    </xdr:from>
    <xdr:to>
      <xdr:col>45</xdr:col>
      <xdr:colOff>731</xdr:colOff>
      <xdr:row>67</xdr:row>
      <xdr:rowOff>84863</xdr:rowOff>
    </xdr:to>
    <xdr:pic>
      <xdr:nvPicPr>
        <xdr:cNvPr id="60" name="Grafik 59">
          <a:extLst>
            <a:ext uri="{FF2B5EF4-FFF2-40B4-BE49-F238E27FC236}">
              <a16:creationId xmlns:a16="http://schemas.microsoft.com/office/drawing/2014/main" id="{00000000-0008-0000-0700-00003C000000}"/>
            </a:ext>
          </a:extLst>
        </xdr:cNvPr>
        <xdr:cNvPicPr>
          <a:picLocks noChangeAspect="1"/>
        </xdr:cNvPicPr>
      </xdr:nvPicPr>
      <xdr:blipFill>
        <a:blip xmlns:r="http://schemas.openxmlformats.org/officeDocument/2006/relationships" r:embed="rId39">
          <a:duotone>
            <a:prstClr val="black"/>
            <a:schemeClr val="bg1">
              <a:lumMod val="65000"/>
              <a:tint val="45000"/>
              <a:satMod val="400000"/>
            </a:schemeClr>
          </a:duotone>
        </a:blip>
        <a:stretch>
          <a:fillRect/>
        </a:stretch>
      </xdr:blipFill>
      <xdr:spPr>
        <a:xfrm>
          <a:off x="7089913" y="10060082"/>
          <a:ext cx="3121618" cy="12071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7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7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7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7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700-00001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7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7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700-00002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700-000045000000}"/>
            </a:ext>
          </a:extLst>
        </xdr:cNvPr>
        <xdr:cNvCxnSpPr/>
      </xdr:nvCxnSpPr>
      <xdr:spPr>
        <a:xfrm>
          <a:off x="5464488" y="798206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700-000046000000}"/>
            </a:ext>
          </a:extLst>
        </xdr:cNvPr>
        <xdr:cNvCxnSpPr/>
      </xdr:nvCxnSpPr>
      <xdr:spPr>
        <a:xfrm>
          <a:off x="5620705" y="736584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700-000047000000}"/>
            </a:ext>
          </a:extLst>
        </xdr:cNvPr>
        <xdr:cNvCxnSpPr/>
      </xdr:nvCxnSpPr>
      <xdr:spPr>
        <a:xfrm>
          <a:off x="5094773" y="746136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72" name="Gerader Verbinder 71">
          <a:extLst>
            <a:ext uri="{FF2B5EF4-FFF2-40B4-BE49-F238E27FC236}">
              <a16:creationId xmlns:a16="http://schemas.microsoft.com/office/drawing/2014/main" id="{00000000-0008-0000-0700-000048000000}"/>
            </a:ext>
          </a:extLst>
        </xdr:cNvPr>
        <xdr:cNvCxnSpPr/>
      </xdr:nvCxnSpPr>
      <xdr:spPr>
        <a:xfrm flipV="1">
          <a:off x="5564542" y="74039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3" name="Gerader Verbinder 72">
          <a:extLst>
            <a:ext uri="{FF2B5EF4-FFF2-40B4-BE49-F238E27FC236}">
              <a16:creationId xmlns:a16="http://schemas.microsoft.com/office/drawing/2014/main" id="{00000000-0008-0000-0700-000049000000}"/>
            </a:ext>
          </a:extLst>
        </xdr:cNvPr>
        <xdr:cNvCxnSpPr/>
      </xdr:nvCxnSpPr>
      <xdr:spPr>
        <a:xfrm flipV="1">
          <a:off x="5564542" y="79222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1297" name="Check Box 33" hidden="1">
              <a:extLst>
                <a:ext uri="{63B3BB69-23CF-44E3-9099-C40C66FF867C}">
                  <a14:compatExt spid="_x0000_s11297"/>
                </a:ext>
                <a:ext uri="{FF2B5EF4-FFF2-40B4-BE49-F238E27FC236}">
                  <a16:creationId xmlns:a16="http://schemas.microsoft.com/office/drawing/2014/main" id="{00000000-0008-0000-0700-00002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1298" name="Check Box 34" hidden="1">
              <a:extLst>
                <a:ext uri="{63B3BB69-23CF-44E3-9099-C40C66FF867C}">
                  <a14:compatExt spid="_x0000_s11298"/>
                </a:ext>
                <a:ext uri="{FF2B5EF4-FFF2-40B4-BE49-F238E27FC236}">
                  <a16:creationId xmlns:a16="http://schemas.microsoft.com/office/drawing/2014/main" id="{00000000-0008-0000-0700-00002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1299" name="Check Box 35" hidden="1">
              <a:extLst>
                <a:ext uri="{63B3BB69-23CF-44E3-9099-C40C66FF867C}">
                  <a14:compatExt spid="_x0000_s11299"/>
                </a:ext>
                <a:ext uri="{FF2B5EF4-FFF2-40B4-BE49-F238E27FC236}">
                  <a16:creationId xmlns:a16="http://schemas.microsoft.com/office/drawing/2014/main" id="{00000000-0008-0000-0700-00002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7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7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7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7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7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7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83" name="Rechteck 82">
          <a:extLst>
            <a:ext uri="{FF2B5EF4-FFF2-40B4-BE49-F238E27FC236}">
              <a16:creationId xmlns:a16="http://schemas.microsoft.com/office/drawing/2014/main" id="{00000000-0008-0000-0700-000053000000}"/>
            </a:ext>
          </a:extLst>
        </xdr:cNvPr>
        <xdr:cNvSpPr/>
      </xdr:nvSpPr>
      <xdr:spPr>
        <a:xfrm>
          <a:off x="3964620" y="1211523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7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7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7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87" name="Rechteck 86">
          <a:extLst>
            <a:ext uri="{FF2B5EF4-FFF2-40B4-BE49-F238E27FC236}">
              <a16:creationId xmlns:a16="http://schemas.microsoft.com/office/drawing/2014/main" id="{00000000-0008-0000-0700-000057000000}"/>
            </a:ext>
          </a:extLst>
        </xdr:cNvPr>
        <xdr:cNvSpPr/>
      </xdr:nvSpPr>
      <xdr:spPr>
        <a:xfrm>
          <a:off x="3432341" y="1308497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7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9" name="Rechteck 88">
          <a:extLst>
            <a:ext uri="{FF2B5EF4-FFF2-40B4-BE49-F238E27FC236}">
              <a16:creationId xmlns:a16="http://schemas.microsoft.com/office/drawing/2014/main" id="{00000000-0008-0000-0700-000059000000}"/>
            </a:ext>
          </a:extLst>
        </xdr:cNvPr>
        <xdr:cNvSpPr/>
      </xdr:nvSpPr>
      <xdr:spPr>
        <a:xfrm>
          <a:off x="3365106" y="1037657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28575</xdr:colOff>
          <xdr:row>62</xdr:row>
          <xdr:rowOff>57150</xdr:rowOff>
        </xdr:from>
        <xdr:to>
          <xdr:col>14</xdr:col>
          <xdr:colOff>38100</xdr:colOff>
          <xdr:row>63</xdr:row>
          <xdr:rowOff>57150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7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68</xdr:row>
      <xdr:rowOff>51546</xdr:rowOff>
    </xdr:from>
    <xdr:to>
      <xdr:col>12</xdr:col>
      <xdr:colOff>29135</xdr:colOff>
      <xdr:row>69</xdr:row>
      <xdr:rowOff>147276</xdr:rowOff>
    </xdr:to>
    <xdr:sp macro="" textlink="">
      <xdr:nvSpPr>
        <xdr:cNvPr id="91" name="Rechteck 90">
          <a:extLst>
            <a:ext uri="{FF2B5EF4-FFF2-40B4-BE49-F238E27FC236}">
              <a16:creationId xmlns:a16="http://schemas.microsoft.com/office/drawing/2014/main" id="{00000000-0008-0000-0700-00005B000000}"/>
            </a:ext>
          </a:extLst>
        </xdr:cNvPr>
        <xdr:cNvSpPr/>
      </xdr:nvSpPr>
      <xdr:spPr>
        <a:xfrm>
          <a:off x="2967297" y="11395821"/>
          <a:ext cx="166988"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28575</xdr:colOff>
          <xdr:row>68</xdr:row>
          <xdr:rowOff>47625</xdr:rowOff>
        </xdr:from>
        <xdr:to>
          <xdr:col>12</xdr:col>
          <xdr:colOff>38100</xdr:colOff>
          <xdr:row>69</xdr:row>
          <xdr:rowOff>47625</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7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7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1313" name="Check Box 49" hidden="1">
              <a:extLst>
                <a:ext uri="{63B3BB69-23CF-44E3-9099-C40C66FF867C}">
                  <a14:compatExt spid="_x0000_s11313"/>
                </a:ext>
                <a:ext uri="{FF2B5EF4-FFF2-40B4-BE49-F238E27FC236}">
                  <a16:creationId xmlns:a16="http://schemas.microsoft.com/office/drawing/2014/main" id="{00000000-0008-0000-07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5" name="Gerader Verbinder 94">
          <a:extLst>
            <a:ext uri="{FF2B5EF4-FFF2-40B4-BE49-F238E27FC236}">
              <a16:creationId xmlns:a16="http://schemas.microsoft.com/office/drawing/2014/main" id="{00000000-0008-0000-0700-00005F000000}"/>
            </a:ext>
          </a:extLst>
        </xdr:cNvPr>
        <xdr:cNvCxnSpPr/>
      </xdr:nvCxnSpPr>
      <xdr:spPr>
        <a:xfrm flipV="1">
          <a:off x="1296709" y="491890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40</xdr:col>
          <xdr:colOff>0</xdr:colOff>
          <xdr:row>33</xdr:row>
          <xdr:rowOff>0</xdr:rowOff>
        </xdr:from>
        <xdr:to>
          <xdr:col>41</xdr:col>
          <xdr:colOff>0</xdr:colOff>
          <xdr:row>34</xdr:row>
          <xdr:rowOff>0</xdr:rowOff>
        </xdr:to>
        <xdr:sp macro="" textlink="">
          <xdr:nvSpPr>
            <xdr:cNvPr id="11314" name="Check Box 50" hidden="1">
              <a:extLst>
                <a:ext uri="{63B3BB69-23CF-44E3-9099-C40C66FF867C}">
                  <a14:compatExt spid="_x0000_s11314"/>
                </a:ext>
                <a:ext uri="{FF2B5EF4-FFF2-40B4-BE49-F238E27FC236}">
                  <a16:creationId xmlns:a16="http://schemas.microsoft.com/office/drawing/2014/main" id="{00000000-0008-0000-0700-00003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7" name="Gerader Verbinder 96">
          <a:extLst>
            <a:ext uri="{FF2B5EF4-FFF2-40B4-BE49-F238E27FC236}">
              <a16:creationId xmlns:a16="http://schemas.microsoft.com/office/drawing/2014/main" id="{00000000-0008-0000-0700-000061000000}"/>
            </a:ext>
          </a:extLst>
        </xdr:cNvPr>
        <xdr:cNvCxnSpPr/>
      </xdr:nvCxnSpPr>
      <xdr:spPr>
        <a:xfrm flipV="1">
          <a:off x="2170217" y="492485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8" name="Gerader Verbinder 97">
          <a:extLst>
            <a:ext uri="{FF2B5EF4-FFF2-40B4-BE49-F238E27FC236}">
              <a16:creationId xmlns:a16="http://schemas.microsoft.com/office/drawing/2014/main" id="{00000000-0008-0000-0700-000062000000}"/>
            </a:ext>
          </a:extLst>
        </xdr:cNvPr>
        <xdr:cNvCxnSpPr/>
      </xdr:nvCxnSpPr>
      <xdr:spPr>
        <a:xfrm flipV="1">
          <a:off x="3044135" y="492842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9" name="Gerader Verbinder 98">
          <a:extLst>
            <a:ext uri="{FF2B5EF4-FFF2-40B4-BE49-F238E27FC236}">
              <a16:creationId xmlns:a16="http://schemas.microsoft.com/office/drawing/2014/main" id="{00000000-0008-0000-0700-000063000000}"/>
            </a:ext>
          </a:extLst>
        </xdr:cNvPr>
        <xdr:cNvCxnSpPr/>
      </xdr:nvCxnSpPr>
      <xdr:spPr>
        <a:xfrm flipV="1">
          <a:off x="3924007" y="492604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0" name="Gerader Verbinder 99">
          <a:extLst>
            <a:ext uri="{FF2B5EF4-FFF2-40B4-BE49-F238E27FC236}">
              <a16:creationId xmlns:a16="http://schemas.microsoft.com/office/drawing/2014/main" id="{00000000-0008-0000-0700-000064000000}"/>
            </a:ext>
          </a:extLst>
        </xdr:cNvPr>
        <xdr:cNvCxnSpPr/>
      </xdr:nvCxnSpPr>
      <xdr:spPr>
        <a:xfrm flipV="1">
          <a:off x="4797925" y="492366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1" name="Gerader Verbinder 100">
          <a:extLst>
            <a:ext uri="{FF2B5EF4-FFF2-40B4-BE49-F238E27FC236}">
              <a16:creationId xmlns:a16="http://schemas.microsoft.com/office/drawing/2014/main" id="{00000000-0008-0000-0700-000065000000}"/>
            </a:ext>
          </a:extLst>
        </xdr:cNvPr>
        <xdr:cNvCxnSpPr/>
      </xdr:nvCxnSpPr>
      <xdr:spPr>
        <a:xfrm flipV="1">
          <a:off x="5677797" y="492723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2" name="Gerader Verbinder 101">
          <a:extLst>
            <a:ext uri="{FF2B5EF4-FFF2-40B4-BE49-F238E27FC236}">
              <a16:creationId xmlns:a16="http://schemas.microsoft.com/office/drawing/2014/main" id="{00000000-0008-0000-0700-000066000000}"/>
            </a:ext>
          </a:extLst>
        </xdr:cNvPr>
        <xdr:cNvCxnSpPr/>
      </xdr:nvCxnSpPr>
      <xdr:spPr>
        <a:xfrm flipV="1">
          <a:off x="6551715" y="492485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3" name="Gerader Verbinder 102">
          <a:extLst>
            <a:ext uri="{FF2B5EF4-FFF2-40B4-BE49-F238E27FC236}">
              <a16:creationId xmlns:a16="http://schemas.microsoft.com/office/drawing/2014/main" id="{00000000-0008-0000-0700-000067000000}"/>
            </a:ext>
          </a:extLst>
        </xdr:cNvPr>
        <xdr:cNvCxnSpPr/>
      </xdr:nvCxnSpPr>
      <xdr:spPr>
        <a:xfrm flipV="1">
          <a:off x="7431587" y="492247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4" name="Gerader Verbinder 103">
          <a:extLst>
            <a:ext uri="{FF2B5EF4-FFF2-40B4-BE49-F238E27FC236}">
              <a16:creationId xmlns:a16="http://schemas.microsoft.com/office/drawing/2014/main" id="{00000000-0008-0000-0700-000068000000}"/>
            </a:ext>
          </a:extLst>
        </xdr:cNvPr>
        <xdr:cNvCxnSpPr/>
      </xdr:nvCxnSpPr>
      <xdr:spPr>
        <a:xfrm flipV="1">
          <a:off x="8305505" y="492604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5" name="Gerader Verbinder 104">
          <a:extLst>
            <a:ext uri="{FF2B5EF4-FFF2-40B4-BE49-F238E27FC236}">
              <a16:creationId xmlns:a16="http://schemas.microsoft.com/office/drawing/2014/main" id="{00000000-0008-0000-0700-000069000000}"/>
            </a:ext>
          </a:extLst>
        </xdr:cNvPr>
        <xdr:cNvCxnSpPr/>
      </xdr:nvCxnSpPr>
      <xdr:spPr>
        <a:xfrm flipV="1">
          <a:off x="9179424" y="491771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6" name="Gerader Verbinder 105">
          <a:extLst>
            <a:ext uri="{FF2B5EF4-FFF2-40B4-BE49-F238E27FC236}">
              <a16:creationId xmlns:a16="http://schemas.microsoft.com/office/drawing/2014/main" id="{00000000-0008-0000-0700-00006A000000}"/>
            </a:ext>
          </a:extLst>
        </xdr:cNvPr>
        <xdr:cNvCxnSpPr/>
      </xdr:nvCxnSpPr>
      <xdr:spPr>
        <a:xfrm flipV="1">
          <a:off x="10059296" y="492723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7" name="Grafik 106">
          <a:extLst>
            <a:ext uri="{FF2B5EF4-FFF2-40B4-BE49-F238E27FC236}">
              <a16:creationId xmlns:a16="http://schemas.microsoft.com/office/drawing/2014/main" id="{00000000-0008-0000-0700-00006B000000}"/>
            </a:ext>
          </a:extLst>
        </xdr:cNvPr>
        <xdr:cNvPicPr>
          <a:picLocks noChangeAspect="1"/>
        </xdr:cNvPicPr>
      </xdr:nvPicPr>
      <xdr:blipFill>
        <a:blip xmlns:r="http://schemas.openxmlformats.org/officeDocument/2006/relationships" r:embed="rId40"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1315" name="Check Box 51" hidden="1">
              <a:extLst>
                <a:ext uri="{63B3BB69-23CF-44E3-9099-C40C66FF867C}">
                  <a14:compatExt spid="_x0000_s11315"/>
                </a:ext>
                <a:ext uri="{FF2B5EF4-FFF2-40B4-BE49-F238E27FC236}">
                  <a16:creationId xmlns:a16="http://schemas.microsoft.com/office/drawing/2014/main" id="{00000000-0008-0000-0700-00003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7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7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7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12" name="Grafik 111">
          <a:extLst>
            <a:ext uri="{FF2B5EF4-FFF2-40B4-BE49-F238E27FC236}">
              <a16:creationId xmlns:a16="http://schemas.microsoft.com/office/drawing/2014/main" id="{00000000-0008-0000-0700-000070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77" t="10351" r="77528" b="74663"/>
        <a:stretch/>
      </xdr:blipFill>
      <xdr:spPr>
        <a:xfrm>
          <a:off x="6472514" y="1692723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13" name="Grafik 112">
          <a:extLst>
            <a:ext uri="{FF2B5EF4-FFF2-40B4-BE49-F238E27FC236}">
              <a16:creationId xmlns:a16="http://schemas.microsoft.com/office/drawing/2014/main" id="{00000000-0008-0000-0700-000071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25697" t="10250" r="56015" b="76270"/>
        <a:stretch/>
      </xdr:blipFill>
      <xdr:spPr>
        <a:xfrm>
          <a:off x="7721414" y="1691258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14" name="Grafik 113">
          <a:extLst>
            <a:ext uri="{FF2B5EF4-FFF2-40B4-BE49-F238E27FC236}">
              <a16:creationId xmlns:a16="http://schemas.microsoft.com/office/drawing/2014/main" id="{00000000-0008-0000-0700-000072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8824" t="10375" r="34746" b="74144"/>
        <a:stretch/>
      </xdr:blipFill>
      <xdr:spPr>
        <a:xfrm>
          <a:off x="9146522" y="1692658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15" name="Grafik 114">
          <a:extLst>
            <a:ext uri="{FF2B5EF4-FFF2-40B4-BE49-F238E27FC236}">
              <a16:creationId xmlns:a16="http://schemas.microsoft.com/office/drawing/2014/main" id="{00000000-0008-0000-0700-000073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2700" r="40451" b="43145"/>
        <a:stretch/>
      </xdr:blipFill>
      <xdr:spPr>
        <a:xfrm>
          <a:off x="6563926" y="1859845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165007</xdr:rowOff>
    </xdr:to>
    <xdr:pic>
      <xdr:nvPicPr>
        <xdr:cNvPr id="116" name="Grafik 115">
          <a:extLst>
            <a:ext uri="{FF2B5EF4-FFF2-40B4-BE49-F238E27FC236}">
              <a16:creationId xmlns:a16="http://schemas.microsoft.com/office/drawing/2014/main" id="{00000000-0008-0000-0700-000074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0330" r="40451" b="41065"/>
        <a:stretch/>
      </xdr:blipFill>
      <xdr:spPr>
        <a:xfrm>
          <a:off x="9225824" y="18373736"/>
          <a:ext cx="884662" cy="1784246"/>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7" name="Rechteck 116">
          <a:extLst>
            <a:ext uri="{FF2B5EF4-FFF2-40B4-BE49-F238E27FC236}">
              <a16:creationId xmlns:a16="http://schemas.microsoft.com/office/drawing/2014/main" id="{00000000-0008-0000-0700-000075000000}"/>
            </a:ext>
          </a:extLst>
        </xdr:cNvPr>
        <xdr:cNvSpPr/>
      </xdr:nvSpPr>
      <xdr:spPr>
        <a:xfrm>
          <a:off x="7861588" y="1849881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179296</xdr:rowOff>
    </xdr:to>
    <xdr:pic>
      <xdr:nvPicPr>
        <xdr:cNvPr id="118" name="Grafik 117">
          <a:extLst>
            <a:ext uri="{FF2B5EF4-FFF2-40B4-BE49-F238E27FC236}">
              <a16:creationId xmlns:a16="http://schemas.microsoft.com/office/drawing/2014/main" id="{00000000-0008-0000-0700-000076000000}"/>
            </a:ext>
          </a:extLst>
        </xdr:cNvPr>
        <xdr:cNvPicPr>
          <a:picLocks noChangeAspect="1"/>
        </xdr:cNvPicPr>
      </xdr:nvPicPr>
      <xdr:blipFill rotWithShape="1">
        <a:blip xmlns:r="http://schemas.openxmlformats.org/officeDocument/2006/relationships" r:embed="rId42" cstate="print">
          <a:duotone>
            <a:prstClr val="black"/>
            <a:schemeClr val="accent3">
              <a:tint val="45000"/>
              <a:satMod val="400000"/>
            </a:schemeClr>
          </a:duotone>
          <a:extLst>
            <a:ext uri="{BEBA8EAE-BF5A-486C-A8C5-ECC9F3942E4B}">
              <a14:imgProps xmlns:a14="http://schemas.microsoft.com/office/drawing/2010/main">
                <a14:imgLayer r:embed="rId43">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36731"/>
          <a:ext cx="3941304" cy="2183465"/>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116523</xdr:rowOff>
    </xdr:to>
    <xdr:pic>
      <xdr:nvPicPr>
        <xdr:cNvPr id="119" name="Grafik 118">
          <a:extLst>
            <a:ext uri="{FF2B5EF4-FFF2-40B4-BE49-F238E27FC236}">
              <a16:creationId xmlns:a16="http://schemas.microsoft.com/office/drawing/2014/main" id="{00000000-0008-0000-0700-000077000000}"/>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63390" t="41256" r="16917" b="41369"/>
        <a:stretch/>
      </xdr:blipFill>
      <xdr:spPr>
        <a:xfrm>
          <a:off x="7709911" y="18500722"/>
          <a:ext cx="1332502" cy="1608776"/>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0" name="Rechteck 119">
          <a:extLst>
            <a:ext uri="{FF2B5EF4-FFF2-40B4-BE49-F238E27FC236}">
              <a16:creationId xmlns:a16="http://schemas.microsoft.com/office/drawing/2014/main" id="{00000000-0008-0000-0700-000078000000}"/>
            </a:ext>
          </a:extLst>
        </xdr:cNvPr>
        <xdr:cNvSpPr/>
      </xdr:nvSpPr>
      <xdr:spPr>
        <a:xfrm>
          <a:off x="4346202" y="14897100"/>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21" name="Pfeil nach rechts 16">
          <a:hlinkClick xmlns:r="http://schemas.openxmlformats.org/officeDocument/2006/relationships" r:id="rId45"/>
          <a:extLst>
            <a:ext uri="{FF2B5EF4-FFF2-40B4-BE49-F238E27FC236}">
              <a16:creationId xmlns:a16="http://schemas.microsoft.com/office/drawing/2014/main" id="{00000000-0008-0000-0700-000079000000}"/>
            </a:ext>
          </a:extLst>
        </xdr:cNvPr>
        <xdr:cNvSpPr/>
      </xdr:nvSpPr>
      <xdr:spPr>
        <a:xfrm>
          <a:off x="14883653" y="431523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22" name="Grafik 121">
          <a:extLst>
            <a:ext uri="{FF2B5EF4-FFF2-40B4-BE49-F238E27FC236}">
              <a16:creationId xmlns:a16="http://schemas.microsoft.com/office/drawing/2014/main" id="{00000000-0008-0000-0700-00007A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r="52107"/>
        <a:stretch/>
      </xdr:blipFill>
      <xdr:spPr>
        <a:xfrm>
          <a:off x="11271436" y="1251136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23" name="Grafik 122">
          <a:extLst>
            <a:ext uri="{FF2B5EF4-FFF2-40B4-BE49-F238E27FC236}">
              <a16:creationId xmlns:a16="http://schemas.microsoft.com/office/drawing/2014/main" id="{00000000-0008-0000-0700-00007B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l="51024"/>
        <a:stretch/>
      </xdr:blipFill>
      <xdr:spPr>
        <a:xfrm>
          <a:off x="12055849" y="12511368"/>
          <a:ext cx="699621" cy="745849"/>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21773</xdr:colOff>
      <xdr:row>90</xdr:row>
      <xdr:rowOff>19050</xdr:rowOff>
    </xdr:from>
    <xdr:to>
      <xdr:col>24</xdr:col>
      <xdr:colOff>115957</xdr:colOff>
      <xdr:row>93</xdr:row>
      <xdr:rowOff>107302</xdr:rowOff>
    </xdr:to>
    <xdr:pic>
      <xdr:nvPicPr>
        <xdr:cNvPr id="2" name="Grafik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duotone>
            <a:prstClr val="black"/>
            <a:schemeClr val="bg1">
              <a:lumMod val="65000"/>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r="33602"/>
        <a:stretch/>
      </xdr:blipFill>
      <xdr:spPr>
        <a:xfrm>
          <a:off x="5098598" y="14916150"/>
          <a:ext cx="751409" cy="574027"/>
        </a:xfrm>
        <a:prstGeom prst="rect">
          <a:avLst/>
        </a:prstGeom>
      </xdr:spPr>
    </xdr:pic>
    <xdr:clientData/>
  </xdr:twoCellAnchor>
  <xdr:twoCellAnchor editAs="oneCell">
    <xdr:from>
      <xdr:col>21</xdr:col>
      <xdr:colOff>9527</xdr:colOff>
      <xdr:row>85</xdr:row>
      <xdr:rowOff>47626</xdr:rowOff>
    </xdr:from>
    <xdr:to>
      <xdr:col>24</xdr:col>
      <xdr:colOff>115957</xdr:colOff>
      <xdr:row>88</xdr:row>
      <xdr:rowOff>121615</xdr:rowOff>
    </xdr:to>
    <xdr:pic>
      <xdr:nvPicPr>
        <xdr:cNvPr id="3" name="Grafik 2">
          <a:extLst>
            <a:ext uri="{FF2B5EF4-FFF2-40B4-BE49-F238E27FC236}">
              <a16:creationId xmlns:a16="http://schemas.microsoft.com/office/drawing/2014/main" id="{00000000-0008-0000-0900-000003000000}"/>
            </a:ext>
          </a:extLst>
        </xdr:cNvPr>
        <xdr:cNvPicPr>
          <a:picLocks noChangeAspect="1"/>
        </xdr:cNvPicPr>
      </xdr:nvPicPr>
      <xdr:blipFill rotWithShape="1">
        <a:blip xmlns:r="http://schemas.openxmlformats.org/officeDocument/2006/relationships" r:embed="rId3">
          <a:duotone>
            <a:prstClr val="black"/>
            <a:schemeClr val="bg1">
              <a:lumMod val="65000"/>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rcRect r="37323"/>
        <a:stretch/>
      </xdr:blipFill>
      <xdr:spPr>
        <a:xfrm>
          <a:off x="5086352" y="14135101"/>
          <a:ext cx="763655" cy="559764"/>
        </a:xfrm>
        <a:prstGeom prst="rect">
          <a:avLst/>
        </a:prstGeom>
      </xdr:spPr>
    </xdr:pic>
    <xdr:clientData/>
  </xdr:twoCellAnchor>
  <xdr:twoCellAnchor editAs="oneCell">
    <xdr:from>
      <xdr:col>11</xdr:col>
      <xdr:colOff>187016</xdr:colOff>
      <xdr:row>86</xdr:row>
      <xdr:rowOff>34778</xdr:rowOff>
    </xdr:from>
    <xdr:to>
      <xdr:col>19</xdr:col>
      <xdr:colOff>66675</xdr:colOff>
      <xdr:row>93</xdr:row>
      <xdr:rowOff>14408</xdr:rowOff>
    </xdr:to>
    <xdr:pic>
      <xdr:nvPicPr>
        <xdr:cNvPr id="4" name="Grafik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5">
          <a:duotone>
            <a:prstClr val="black"/>
            <a:schemeClr val="bg1">
              <a:lumMod val="65000"/>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073091" y="14284178"/>
          <a:ext cx="1632259" cy="1113105"/>
        </a:xfrm>
        <a:prstGeom prst="rect">
          <a:avLst/>
        </a:prstGeom>
      </xdr:spPr>
    </xdr:pic>
    <xdr:clientData/>
  </xdr:twoCellAnchor>
  <xdr:twoCellAnchor editAs="oneCell">
    <xdr:from>
      <xdr:col>4</xdr:col>
      <xdr:colOff>215161</xdr:colOff>
      <xdr:row>86</xdr:row>
      <xdr:rowOff>36868</xdr:rowOff>
    </xdr:from>
    <xdr:to>
      <xdr:col>10</xdr:col>
      <xdr:colOff>178527</xdr:colOff>
      <xdr:row>92</xdr:row>
      <xdr:rowOff>48794</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7">
          <a:duotone>
            <a:prstClr val="black"/>
            <a:schemeClr val="bg1">
              <a:lumMod val="65000"/>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1567711" y="14286268"/>
          <a:ext cx="1277816" cy="983476"/>
        </a:xfrm>
        <a:prstGeom prst="rect">
          <a:avLst/>
        </a:prstGeom>
      </xdr:spPr>
    </xdr:pic>
    <xdr:clientData/>
  </xdr:twoCellAnchor>
  <xdr:twoCellAnchor editAs="oneCell">
    <xdr:from>
      <xdr:col>20</xdr:col>
      <xdr:colOff>1</xdr:colOff>
      <xdr:row>72</xdr:row>
      <xdr:rowOff>28575</xdr:rowOff>
    </xdr:from>
    <xdr:to>
      <xdr:col>24</xdr:col>
      <xdr:colOff>95251</xdr:colOff>
      <xdr:row>82</xdr:row>
      <xdr:rowOff>130926</xdr:rowOff>
    </xdr:to>
    <xdr:pic>
      <xdr:nvPicPr>
        <xdr:cNvPr id="6" name="Grafik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9">
          <a:duotone>
            <a:prstClr val="black"/>
            <a:schemeClr val="bg1">
              <a:lumMod val="65000"/>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4857751" y="12020550"/>
          <a:ext cx="971550" cy="1712076"/>
        </a:xfrm>
        <a:prstGeom prst="rect">
          <a:avLst/>
        </a:prstGeom>
      </xdr:spPr>
    </xdr:pic>
    <xdr:clientData/>
  </xdr:twoCellAnchor>
  <xdr:twoCellAnchor editAs="oneCell">
    <xdr:from>
      <xdr:col>13</xdr:col>
      <xdr:colOff>28575</xdr:colOff>
      <xdr:row>72</xdr:row>
      <xdr:rowOff>78106</xdr:rowOff>
    </xdr:from>
    <xdr:to>
      <xdr:col>17</xdr:col>
      <xdr:colOff>85726</xdr:colOff>
      <xdr:row>82</xdr:row>
      <xdr:rowOff>83559</xdr:rowOff>
    </xdr:to>
    <xdr:pic>
      <xdr:nvPicPr>
        <xdr:cNvPr id="7" name="Grafik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11">
          <a:duotone>
            <a:prstClr val="black"/>
            <a:schemeClr val="bg1">
              <a:lumMod val="65000"/>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352800" y="12070081"/>
          <a:ext cx="933451" cy="1615178"/>
        </a:xfrm>
        <a:prstGeom prst="rect">
          <a:avLst/>
        </a:prstGeom>
      </xdr:spPr>
    </xdr:pic>
    <xdr:clientData/>
  </xdr:twoCellAnchor>
  <xdr:twoCellAnchor editAs="oneCell">
    <xdr:from>
      <xdr:col>5</xdr:col>
      <xdr:colOff>19049</xdr:colOff>
      <xdr:row>73</xdr:row>
      <xdr:rowOff>28575</xdr:rowOff>
    </xdr:from>
    <xdr:to>
      <xdr:col>10</xdr:col>
      <xdr:colOff>91522</xdr:colOff>
      <xdr:row>81</xdr:row>
      <xdr:rowOff>24727</xdr:rowOff>
    </xdr:to>
    <xdr:pic>
      <xdr:nvPicPr>
        <xdr:cNvPr id="8" name="Grafik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13">
          <a:duotone>
            <a:prstClr val="black"/>
            <a:schemeClr val="bg1">
              <a:lumMod val="65000"/>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1590674" y="12182475"/>
          <a:ext cx="1167848" cy="1282027"/>
        </a:xfrm>
        <a:prstGeom prst="rect">
          <a:avLst/>
        </a:prstGeom>
      </xdr:spPr>
    </xdr:pic>
    <xdr:clientData/>
  </xdr:twoCellAnchor>
  <xdr:twoCellAnchor editAs="oneCell">
    <xdr:from>
      <xdr:col>23</xdr:col>
      <xdr:colOff>22412</xdr:colOff>
      <xdr:row>61</xdr:row>
      <xdr:rowOff>135447</xdr:rowOff>
    </xdr:from>
    <xdr:to>
      <xdr:col>26</xdr:col>
      <xdr:colOff>179294</xdr:colOff>
      <xdr:row>70</xdr:row>
      <xdr:rowOff>564</xdr:rowOff>
    </xdr:to>
    <xdr:pic>
      <xdr:nvPicPr>
        <xdr:cNvPr id="9" name="Grafik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15">
          <a:duotone>
            <a:prstClr val="black"/>
            <a:schemeClr val="bg1">
              <a:lumMod val="65000"/>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5537387" y="10346247"/>
          <a:ext cx="814107" cy="1322442"/>
        </a:xfrm>
        <a:prstGeom prst="rect">
          <a:avLst/>
        </a:prstGeom>
      </xdr:spPr>
    </xdr:pic>
    <xdr:clientData/>
  </xdr:twoCellAnchor>
  <xdr:twoCellAnchor editAs="oneCell">
    <xdr:from>
      <xdr:col>17</xdr:col>
      <xdr:colOff>11206</xdr:colOff>
      <xdr:row>61</xdr:row>
      <xdr:rowOff>157859</xdr:rowOff>
    </xdr:from>
    <xdr:to>
      <xdr:col>20</xdr:col>
      <xdr:colOff>127103</xdr:colOff>
      <xdr:row>69</xdr:row>
      <xdr:rowOff>93061</xdr:rowOff>
    </xdr:to>
    <xdr:pic>
      <xdr:nvPicPr>
        <xdr:cNvPr id="10" name="Grafik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17">
          <a:duotone>
            <a:prstClr val="black"/>
            <a:schemeClr val="bg1">
              <a:lumMod val="65000"/>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4211731" y="10368659"/>
          <a:ext cx="773122" cy="1230602"/>
        </a:xfrm>
        <a:prstGeom prst="rect">
          <a:avLst/>
        </a:prstGeom>
      </xdr:spPr>
    </xdr:pic>
    <xdr:clientData/>
  </xdr:twoCellAnchor>
  <xdr:twoCellAnchor editAs="oneCell">
    <xdr:from>
      <xdr:col>10</xdr:col>
      <xdr:colOff>201706</xdr:colOff>
      <xdr:row>62</xdr:row>
      <xdr:rowOff>59440</xdr:rowOff>
    </xdr:from>
    <xdr:to>
      <xdr:col>14</xdr:col>
      <xdr:colOff>156883</xdr:colOff>
      <xdr:row>69</xdr:row>
      <xdr:rowOff>86280</xdr:rowOff>
    </xdr:to>
    <xdr:pic>
      <xdr:nvPicPr>
        <xdr:cNvPr id="11" name="Grafik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9">
          <a:duotone>
            <a:prstClr val="black"/>
            <a:schemeClr val="bg1">
              <a:lumMod val="65000"/>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2868706" y="10432165"/>
          <a:ext cx="831477" cy="1160315"/>
        </a:xfrm>
        <a:prstGeom prst="rect">
          <a:avLst/>
        </a:prstGeom>
        <a:noFill/>
      </xdr:spPr>
    </xdr:pic>
    <xdr:clientData/>
  </xdr:twoCellAnchor>
  <xdr:twoCellAnchor editAs="oneCell">
    <xdr:from>
      <xdr:col>4</xdr:col>
      <xdr:colOff>123265</xdr:colOff>
      <xdr:row>62</xdr:row>
      <xdr:rowOff>104264</xdr:rowOff>
    </xdr:from>
    <xdr:to>
      <xdr:col>9</xdr:col>
      <xdr:colOff>44824</xdr:colOff>
      <xdr:row>68</xdr:row>
      <xdr:rowOff>100352</xdr:rowOff>
    </xdr:to>
    <xdr:pic>
      <xdr:nvPicPr>
        <xdr:cNvPr id="12" name="Grafik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21">
          <a:duotone>
            <a:prstClr val="black"/>
            <a:schemeClr val="bg1">
              <a:lumMod val="65000"/>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475815" y="10476989"/>
          <a:ext cx="1016934" cy="967638"/>
        </a:xfrm>
        <a:prstGeom prst="rect">
          <a:avLst/>
        </a:prstGeom>
        <a:solidFill>
          <a:schemeClr val="bg1">
            <a:lumMod val="85000"/>
          </a:schemeClr>
        </a:solidFill>
      </xdr:spPr>
    </xdr:pic>
    <xdr:clientData/>
  </xdr:twoCellAnchor>
  <xdr:twoCellAnchor editAs="oneCell">
    <xdr:from>
      <xdr:col>16</xdr:col>
      <xdr:colOff>27984</xdr:colOff>
      <xdr:row>45</xdr:row>
      <xdr:rowOff>33619</xdr:rowOff>
    </xdr:from>
    <xdr:to>
      <xdr:col>22</xdr:col>
      <xdr:colOff>213813</xdr:colOff>
      <xdr:row>59</xdr:row>
      <xdr:rowOff>523</xdr:rowOff>
    </xdr:to>
    <xdr:pic>
      <xdr:nvPicPr>
        <xdr:cNvPr id="13" name="Grafik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23">
          <a:duotone>
            <a:prstClr val="black"/>
            <a:schemeClr val="bg1">
              <a:lumMod val="65000"/>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tretch>
          <a:fillRect/>
        </a:stretch>
      </xdr:blipFill>
      <xdr:spPr>
        <a:xfrm>
          <a:off x="4009434" y="7653619"/>
          <a:ext cx="1500279" cy="2233854"/>
        </a:xfrm>
        <a:prstGeom prst="rect">
          <a:avLst/>
        </a:prstGeom>
      </xdr:spPr>
    </xdr:pic>
    <xdr:clientData/>
  </xdr:twoCellAnchor>
  <xdr:twoCellAnchor editAs="oneCell">
    <xdr:from>
      <xdr:col>16</xdr:col>
      <xdr:colOff>29035</xdr:colOff>
      <xdr:row>35</xdr:row>
      <xdr:rowOff>70356</xdr:rowOff>
    </xdr:from>
    <xdr:to>
      <xdr:col>23</xdr:col>
      <xdr:colOff>11947</xdr:colOff>
      <xdr:row>43</xdr:row>
      <xdr:rowOff>40958</xdr:rowOff>
    </xdr:to>
    <xdr:pic>
      <xdr:nvPicPr>
        <xdr:cNvPr id="14" name="Grafik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Lst>
        </a:blip>
        <a:stretch>
          <a:fillRect/>
        </a:stretch>
      </xdr:blipFill>
      <xdr:spPr>
        <a:xfrm>
          <a:off x="4010485" y="6071106"/>
          <a:ext cx="1516437" cy="1266002"/>
        </a:xfrm>
        <a:prstGeom prst="rect">
          <a:avLst/>
        </a:prstGeom>
      </xdr:spPr>
    </xdr:pic>
    <xdr:clientData/>
  </xdr:twoCellAnchor>
  <xdr:twoCellAnchor editAs="oneCell">
    <xdr:from>
      <xdr:col>3</xdr:col>
      <xdr:colOff>48590</xdr:colOff>
      <xdr:row>49</xdr:row>
      <xdr:rowOff>60184</xdr:rowOff>
    </xdr:from>
    <xdr:to>
      <xdr:col>8</xdr:col>
      <xdr:colOff>75207</xdr:colOff>
      <xdr:row>58</xdr:row>
      <xdr:rowOff>105625</xdr:rowOff>
    </xdr:to>
    <xdr:pic>
      <xdr:nvPicPr>
        <xdr:cNvPr id="15" name="Grafik 14">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27">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Effect>
                    <a14:saturation sat="400000"/>
                  </a14:imgEffect>
                </a14:imgLayer>
              </a14:imgProps>
            </a:ext>
          </a:extLst>
        </a:blip>
        <a:stretch>
          <a:fillRect/>
        </a:stretch>
      </xdr:blipFill>
      <xdr:spPr>
        <a:xfrm>
          <a:off x="1315415" y="8327884"/>
          <a:ext cx="988642" cy="1502766"/>
        </a:xfrm>
        <a:prstGeom prst="rect">
          <a:avLst/>
        </a:prstGeom>
      </xdr:spPr>
    </xdr:pic>
    <xdr:clientData/>
  </xdr:twoCellAnchor>
  <xdr:twoCellAnchor editAs="oneCell">
    <xdr:from>
      <xdr:col>10</xdr:col>
      <xdr:colOff>35068</xdr:colOff>
      <xdr:row>49</xdr:row>
      <xdr:rowOff>61549</xdr:rowOff>
    </xdr:from>
    <xdr:to>
      <xdr:col>14</xdr:col>
      <xdr:colOff>206607</xdr:colOff>
      <xdr:row>58</xdr:row>
      <xdr:rowOff>105079</xdr:rowOff>
    </xdr:to>
    <xdr:pic>
      <xdr:nvPicPr>
        <xdr:cNvPr id="16" name="Grafik 15">
          <a:extLst>
            <a:ext uri="{FF2B5EF4-FFF2-40B4-BE49-F238E27FC236}">
              <a16:creationId xmlns:a16="http://schemas.microsoft.com/office/drawing/2014/main" id="{00000000-0008-0000-0900-000010000000}"/>
            </a:ext>
          </a:extLst>
        </xdr:cNvPr>
        <xdr:cNvPicPr>
          <a:picLocks noChangeAspect="1"/>
        </xdr:cNvPicPr>
      </xdr:nvPicPr>
      <xdr:blipFill>
        <a:blip xmlns:r="http://schemas.openxmlformats.org/officeDocument/2006/relationships" r:embed="rId29">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Effect>
                    <a14:saturation sat="400000"/>
                  </a14:imgEffect>
                </a14:imgLayer>
              </a14:imgProps>
            </a:ext>
          </a:extLst>
        </a:blip>
        <a:stretch>
          <a:fillRect/>
        </a:stretch>
      </xdr:blipFill>
      <xdr:spPr>
        <a:xfrm>
          <a:off x="2702068" y="8329249"/>
          <a:ext cx="1047839" cy="1500855"/>
        </a:xfrm>
        <a:prstGeom prst="rect">
          <a:avLst/>
        </a:prstGeom>
      </xdr:spPr>
    </xdr:pic>
    <xdr:clientData/>
  </xdr:twoCellAnchor>
  <xdr:twoCellAnchor editAs="oneCell">
    <xdr:from>
      <xdr:col>3</xdr:col>
      <xdr:colOff>63213</xdr:colOff>
      <xdr:row>40</xdr:row>
      <xdr:rowOff>84287</xdr:rowOff>
    </xdr:from>
    <xdr:to>
      <xdr:col>6</xdr:col>
      <xdr:colOff>434</xdr:colOff>
      <xdr:row>47</xdr:row>
      <xdr:rowOff>21907</xdr:rowOff>
    </xdr:to>
    <xdr:pic>
      <xdr:nvPicPr>
        <xdr:cNvPr id="17" name="Grafik 16">
          <a:extLst>
            <a:ext uri="{FF2B5EF4-FFF2-40B4-BE49-F238E27FC236}">
              <a16:creationId xmlns:a16="http://schemas.microsoft.com/office/drawing/2014/main" id="{00000000-0008-0000-0900-000011000000}"/>
            </a:ext>
          </a:extLst>
        </xdr:cNvPr>
        <xdr:cNvPicPr>
          <a:picLocks noChangeAspect="1"/>
        </xdr:cNvPicPr>
      </xdr:nvPicPr>
      <xdr:blipFill>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Effect>
                    <a14:saturation sat="400000"/>
                  </a14:imgEffect>
                </a14:imgLayer>
              </a14:imgProps>
            </a:ext>
          </a:extLst>
        </a:blip>
        <a:stretch>
          <a:fillRect/>
        </a:stretch>
      </xdr:blipFill>
      <xdr:spPr>
        <a:xfrm>
          <a:off x="1330038" y="6894662"/>
          <a:ext cx="461096" cy="1071095"/>
        </a:xfrm>
        <a:prstGeom prst="rect">
          <a:avLst/>
        </a:prstGeom>
      </xdr:spPr>
    </xdr:pic>
    <xdr:clientData/>
  </xdr:twoCellAnchor>
  <xdr:twoCellAnchor editAs="oneCell">
    <xdr:from>
      <xdr:col>12</xdr:col>
      <xdr:colOff>168853</xdr:colOff>
      <xdr:row>40</xdr:row>
      <xdr:rowOff>90826</xdr:rowOff>
    </xdr:from>
    <xdr:to>
      <xdr:col>14</xdr:col>
      <xdr:colOff>180734</xdr:colOff>
      <xdr:row>47</xdr:row>
      <xdr:rowOff>45391</xdr:rowOff>
    </xdr:to>
    <xdr:pic>
      <xdr:nvPicPr>
        <xdr:cNvPr id="18" name="Grafik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3274003" y="6901201"/>
          <a:ext cx="450031" cy="1088040"/>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9" name="Rechteck 18">
          <a:extLst>
            <a:ext uri="{FF2B5EF4-FFF2-40B4-BE49-F238E27FC236}">
              <a16:creationId xmlns:a16="http://schemas.microsoft.com/office/drawing/2014/main" id="{00000000-0008-0000-0900-000013000000}"/>
            </a:ext>
          </a:extLst>
        </xdr:cNvPr>
        <xdr:cNvSpPr/>
      </xdr:nvSpPr>
      <xdr:spPr>
        <a:xfrm>
          <a:off x="3612995" y="788992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20" name="Rechteck 19">
          <a:extLst>
            <a:ext uri="{FF2B5EF4-FFF2-40B4-BE49-F238E27FC236}">
              <a16:creationId xmlns:a16="http://schemas.microsoft.com/office/drawing/2014/main" id="{00000000-0008-0000-0900-000014000000}"/>
            </a:ext>
          </a:extLst>
        </xdr:cNvPr>
        <xdr:cNvSpPr/>
      </xdr:nvSpPr>
      <xdr:spPr>
        <a:xfrm>
          <a:off x="1296563" y="788863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21" name="Gerader Verbinder 20">
          <a:extLst>
            <a:ext uri="{FF2B5EF4-FFF2-40B4-BE49-F238E27FC236}">
              <a16:creationId xmlns:a16="http://schemas.microsoft.com/office/drawing/2014/main" id="{00000000-0008-0000-0900-000015000000}"/>
            </a:ext>
          </a:extLst>
        </xdr:cNvPr>
        <xdr:cNvCxnSpPr/>
      </xdr:nvCxnSpPr>
      <xdr:spPr>
        <a:xfrm>
          <a:off x="1308497" y="830930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85112</xdr:rowOff>
    </xdr:from>
    <xdr:to>
      <xdr:col>26</xdr:col>
      <xdr:colOff>111141</xdr:colOff>
      <xdr:row>58</xdr:row>
      <xdr:rowOff>78280</xdr:rowOff>
    </xdr:to>
    <xdr:cxnSp macro="">
      <xdr:nvCxnSpPr>
        <xdr:cNvPr id="22" name="Gerader Verbinder 21">
          <a:extLst>
            <a:ext uri="{FF2B5EF4-FFF2-40B4-BE49-F238E27FC236}">
              <a16:creationId xmlns:a16="http://schemas.microsoft.com/office/drawing/2014/main" id="{00000000-0008-0000-0900-000016000000}"/>
            </a:ext>
          </a:extLst>
        </xdr:cNvPr>
        <xdr:cNvCxnSpPr/>
      </xdr:nvCxnSpPr>
      <xdr:spPr>
        <a:xfrm>
          <a:off x="6283341" y="9162437"/>
          <a:ext cx="0" cy="64086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23" name="Gerader Verbinder 22">
          <a:extLst>
            <a:ext uri="{FF2B5EF4-FFF2-40B4-BE49-F238E27FC236}">
              <a16:creationId xmlns:a16="http://schemas.microsoft.com/office/drawing/2014/main" id="{00000000-0008-0000-0900-000017000000}"/>
            </a:ext>
          </a:extLst>
        </xdr:cNvPr>
        <xdr:cNvCxnSpPr/>
      </xdr:nvCxnSpPr>
      <xdr:spPr>
        <a:xfrm>
          <a:off x="5402745" y="972243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144037</xdr:rowOff>
    </xdr:to>
    <xdr:cxnSp macro="">
      <xdr:nvCxnSpPr>
        <xdr:cNvPr id="24" name="Gerader Verbinder 23">
          <a:extLst>
            <a:ext uri="{FF2B5EF4-FFF2-40B4-BE49-F238E27FC236}">
              <a16:creationId xmlns:a16="http://schemas.microsoft.com/office/drawing/2014/main" id="{00000000-0008-0000-0900-000018000000}"/>
            </a:ext>
          </a:extLst>
        </xdr:cNvPr>
        <xdr:cNvCxnSpPr/>
      </xdr:nvCxnSpPr>
      <xdr:spPr>
        <a:xfrm>
          <a:off x="6282933" y="6073074"/>
          <a:ext cx="0" cy="298636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53</xdr:row>
      <xdr:rowOff>57454</xdr:rowOff>
    </xdr:from>
    <xdr:to>
      <xdr:col>26</xdr:col>
      <xdr:colOff>197625</xdr:colOff>
      <xdr:row>53</xdr:row>
      <xdr:rowOff>57454</xdr:rowOff>
    </xdr:to>
    <xdr:cxnSp macro="">
      <xdr:nvCxnSpPr>
        <xdr:cNvPr id="25" name="Gerader Verbinder 24">
          <a:extLst>
            <a:ext uri="{FF2B5EF4-FFF2-40B4-BE49-F238E27FC236}">
              <a16:creationId xmlns:a16="http://schemas.microsoft.com/office/drawing/2014/main" id="{00000000-0008-0000-0900-000019000000}"/>
            </a:ext>
          </a:extLst>
        </xdr:cNvPr>
        <xdr:cNvCxnSpPr/>
      </xdr:nvCxnSpPr>
      <xdr:spPr>
        <a:xfrm>
          <a:off x="5404135" y="897285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6" name="Gerader Verbinder 25">
          <a:extLst>
            <a:ext uri="{FF2B5EF4-FFF2-40B4-BE49-F238E27FC236}">
              <a16:creationId xmlns:a16="http://schemas.microsoft.com/office/drawing/2014/main" id="{00000000-0008-0000-0900-00001A000000}"/>
            </a:ext>
          </a:extLst>
        </xdr:cNvPr>
        <xdr:cNvCxnSpPr/>
      </xdr:nvCxnSpPr>
      <xdr:spPr>
        <a:xfrm>
          <a:off x="5385720" y="615150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7" name="Gerader Verbinder 26">
          <a:extLst>
            <a:ext uri="{FF2B5EF4-FFF2-40B4-BE49-F238E27FC236}">
              <a16:creationId xmlns:a16="http://schemas.microsoft.com/office/drawing/2014/main" id="{00000000-0008-0000-0900-00001B000000}"/>
            </a:ext>
          </a:extLst>
        </xdr:cNvPr>
        <xdr:cNvCxnSpPr/>
      </xdr:nvCxnSpPr>
      <xdr:spPr>
        <a:xfrm flipV="1">
          <a:off x="6232116" y="966479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160104</xdr:rowOff>
    </xdr:from>
    <xdr:to>
      <xdr:col>26</xdr:col>
      <xdr:colOff>172696</xdr:colOff>
      <xdr:row>53</xdr:row>
      <xdr:rowOff>110583</xdr:rowOff>
    </xdr:to>
    <xdr:cxnSp macro="">
      <xdr:nvCxnSpPr>
        <xdr:cNvPr id="28" name="Gerader Verbinder 27">
          <a:extLst>
            <a:ext uri="{FF2B5EF4-FFF2-40B4-BE49-F238E27FC236}">
              <a16:creationId xmlns:a16="http://schemas.microsoft.com/office/drawing/2014/main" id="{00000000-0008-0000-0900-00001C000000}"/>
            </a:ext>
          </a:extLst>
        </xdr:cNvPr>
        <xdr:cNvCxnSpPr/>
      </xdr:nvCxnSpPr>
      <xdr:spPr>
        <a:xfrm flipV="1">
          <a:off x="6230192" y="8913579"/>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9" name="Gerader Verbinder 28">
          <a:extLst>
            <a:ext uri="{FF2B5EF4-FFF2-40B4-BE49-F238E27FC236}">
              <a16:creationId xmlns:a16="http://schemas.microsoft.com/office/drawing/2014/main" id="{00000000-0008-0000-0900-00001D000000}"/>
            </a:ext>
          </a:extLst>
        </xdr:cNvPr>
        <xdr:cNvCxnSpPr/>
      </xdr:nvCxnSpPr>
      <xdr:spPr>
        <a:xfrm flipV="1">
          <a:off x="6225561" y="609655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09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1" name="Grafik 30">
          <a:extLst>
            <a:ext uri="{FF2B5EF4-FFF2-40B4-BE49-F238E27FC236}">
              <a16:creationId xmlns:a16="http://schemas.microsoft.com/office/drawing/2014/main" id="{00000000-0008-0000-0900-00001F000000}"/>
            </a:ext>
          </a:extLst>
        </xdr:cNvPr>
        <xdr:cNvPicPr>
          <a:picLocks noChangeAspect="1"/>
        </xdr:cNvPicPr>
      </xdr:nvPicPr>
      <xdr:blipFill rotWithShape="1">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rcRect t="3845" b="7693"/>
        <a:stretch/>
      </xdr:blipFill>
      <xdr:spPr>
        <a:xfrm>
          <a:off x="2723027" y="611280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787</xdr:rowOff>
    </xdr:to>
    <xdr:pic>
      <xdr:nvPicPr>
        <xdr:cNvPr id="32" name="Grafik 31">
          <a:extLst>
            <a:ext uri="{FF2B5EF4-FFF2-40B4-BE49-F238E27FC236}">
              <a16:creationId xmlns:a16="http://schemas.microsoft.com/office/drawing/2014/main" id="{00000000-0008-0000-0900-000020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101605"/>
          <a:ext cx="1006848" cy="547632"/>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9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9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9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9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9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9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9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9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9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0</xdr:colOff>
          <xdr:row>32</xdr:row>
          <xdr:rowOff>0</xdr:rowOff>
        </xdr:from>
        <xdr:to>
          <xdr:col>41</xdr:col>
          <xdr:colOff>0</xdr:colOff>
          <xdr:row>33</xdr:row>
          <xdr:rowOff>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9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4</xdr:row>
          <xdr:rowOff>171450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9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9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6</xdr:row>
          <xdr:rowOff>0</xdr:rowOff>
        </xdr:from>
        <xdr:to>
          <xdr:col>43</xdr:col>
          <xdr:colOff>0</xdr:colOff>
          <xdr:row>7</xdr:row>
          <xdr:rowOff>19050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9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9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9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9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9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50" name="Gerader Verbinder 49">
          <a:extLst>
            <a:ext uri="{FF2B5EF4-FFF2-40B4-BE49-F238E27FC236}">
              <a16:creationId xmlns:a16="http://schemas.microsoft.com/office/drawing/2014/main" id="{00000000-0008-0000-0900-000032000000}"/>
            </a:ext>
          </a:extLst>
        </xdr:cNvPr>
        <xdr:cNvCxnSpPr/>
      </xdr:nvCxnSpPr>
      <xdr:spPr>
        <a:xfrm flipV="1">
          <a:off x="1312232" y="824036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51" name="Gerader Verbinder 50">
          <a:extLst>
            <a:ext uri="{FF2B5EF4-FFF2-40B4-BE49-F238E27FC236}">
              <a16:creationId xmlns:a16="http://schemas.microsoft.com/office/drawing/2014/main" id="{00000000-0008-0000-0900-000033000000}"/>
            </a:ext>
          </a:extLst>
        </xdr:cNvPr>
        <xdr:cNvCxnSpPr/>
      </xdr:nvCxnSpPr>
      <xdr:spPr>
        <a:xfrm flipV="1">
          <a:off x="3637524" y="823627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9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900-00001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900-00001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114300</xdr:rowOff>
        </xdr:from>
        <xdr:to>
          <xdr:col>10</xdr:col>
          <xdr:colOff>76200</xdr:colOff>
          <xdr:row>53</xdr:row>
          <xdr:rowOff>114300</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9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56" name="Gerader Verbinder 55">
          <a:extLst>
            <a:ext uri="{FF2B5EF4-FFF2-40B4-BE49-F238E27FC236}">
              <a16:creationId xmlns:a16="http://schemas.microsoft.com/office/drawing/2014/main" id="{00000000-0008-0000-0900-000038000000}"/>
            </a:ext>
          </a:extLst>
        </xdr:cNvPr>
        <xdr:cNvCxnSpPr/>
      </xdr:nvCxnSpPr>
      <xdr:spPr>
        <a:xfrm>
          <a:off x="3695700" y="755465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57" name="Gerader Verbinder 56">
          <a:extLst>
            <a:ext uri="{FF2B5EF4-FFF2-40B4-BE49-F238E27FC236}">
              <a16:creationId xmlns:a16="http://schemas.microsoft.com/office/drawing/2014/main" id="{00000000-0008-0000-0900-000039000000}"/>
            </a:ext>
          </a:extLst>
        </xdr:cNvPr>
        <xdr:cNvCxnSpPr/>
      </xdr:nvCxnSpPr>
      <xdr:spPr>
        <a:xfrm>
          <a:off x="1371600" y="750500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9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900-00001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30</xdr:col>
      <xdr:colOff>41413</xdr:colOff>
      <xdr:row>60</xdr:row>
      <xdr:rowOff>11207</xdr:rowOff>
    </xdr:from>
    <xdr:to>
      <xdr:col>45</xdr:col>
      <xdr:colOff>731</xdr:colOff>
      <xdr:row>67</xdr:row>
      <xdr:rowOff>84863</xdr:rowOff>
    </xdr:to>
    <xdr:pic>
      <xdr:nvPicPr>
        <xdr:cNvPr id="60" name="Grafik 59">
          <a:extLst>
            <a:ext uri="{FF2B5EF4-FFF2-40B4-BE49-F238E27FC236}">
              <a16:creationId xmlns:a16="http://schemas.microsoft.com/office/drawing/2014/main" id="{00000000-0008-0000-0900-00003C000000}"/>
            </a:ext>
          </a:extLst>
        </xdr:cNvPr>
        <xdr:cNvPicPr>
          <a:picLocks noChangeAspect="1"/>
        </xdr:cNvPicPr>
      </xdr:nvPicPr>
      <xdr:blipFill>
        <a:blip xmlns:r="http://schemas.openxmlformats.org/officeDocument/2006/relationships" r:embed="rId39">
          <a:duotone>
            <a:prstClr val="black"/>
            <a:schemeClr val="bg1">
              <a:lumMod val="65000"/>
              <a:tint val="45000"/>
              <a:satMod val="400000"/>
            </a:schemeClr>
          </a:duotone>
        </a:blip>
        <a:stretch>
          <a:fillRect/>
        </a:stretch>
      </xdr:blipFill>
      <xdr:spPr>
        <a:xfrm>
          <a:off x="7089913" y="10060082"/>
          <a:ext cx="3121618" cy="12071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900-00001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900-00001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900-00001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900-00001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900-00001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9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9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900-00002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900-000045000000}"/>
            </a:ext>
          </a:extLst>
        </xdr:cNvPr>
        <xdr:cNvCxnSpPr/>
      </xdr:nvCxnSpPr>
      <xdr:spPr>
        <a:xfrm>
          <a:off x="5464488" y="798206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900-000046000000}"/>
            </a:ext>
          </a:extLst>
        </xdr:cNvPr>
        <xdr:cNvCxnSpPr/>
      </xdr:nvCxnSpPr>
      <xdr:spPr>
        <a:xfrm>
          <a:off x="5620705" y="736584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900-000047000000}"/>
            </a:ext>
          </a:extLst>
        </xdr:cNvPr>
        <xdr:cNvCxnSpPr/>
      </xdr:nvCxnSpPr>
      <xdr:spPr>
        <a:xfrm>
          <a:off x="5094773" y="746136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72" name="Gerader Verbinder 71">
          <a:extLst>
            <a:ext uri="{FF2B5EF4-FFF2-40B4-BE49-F238E27FC236}">
              <a16:creationId xmlns:a16="http://schemas.microsoft.com/office/drawing/2014/main" id="{00000000-0008-0000-0900-000048000000}"/>
            </a:ext>
          </a:extLst>
        </xdr:cNvPr>
        <xdr:cNvCxnSpPr/>
      </xdr:nvCxnSpPr>
      <xdr:spPr>
        <a:xfrm flipV="1">
          <a:off x="5564542" y="74039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3" name="Gerader Verbinder 72">
          <a:extLst>
            <a:ext uri="{FF2B5EF4-FFF2-40B4-BE49-F238E27FC236}">
              <a16:creationId xmlns:a16="http://schemas.microsoft.com/office/drawing/2014/main" id="{00000000-0008-0000-0900-000049000000}"/>
            </a:ext>
          </a:extLst>
        </xdr:cNvPr>
        <xdr:cNvCxnSpPr/>
      </xdr:nvCxnSpPr>
      <xdr:spPr>
        <a:xfrm flipV="1">
          <a:off x="5564542" y="79222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900-00002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900-00002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900-00002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900-00002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900-00002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900-00002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900-00002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900-00002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900-00002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83" name="Rechteck 82">
          <a:extLst>
            <a:ext uri="{FF2B5EF4-FFF2-40B4-BE49-F238E27FC236}">
              <a16:creationId xmlns:a16="http://schemas.microsoft.com/office/drawing/2014/main" id="{00000000-0008-0000-0900-000053000000}"/>
            </a:ext>
          </a:extLst>
        </xdr:cNvPr>
        <xdr:cNvSpPr/>
      </xdr:nvSpPr>
      <xdr:spPr>
        <a:xfrm>
          <a:off x="3964620" y="1211523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900-00002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900-00002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900-00002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87" name="Rechteck 86">
          <a:extLst>
            <a:ext uri="{FF2B5EF4-FFF2-40B4-BE49-F238E27FC236}">
              <a16:creationId xmlns:a16="http://schemas.microsoft.com/office/drawing/2014/main" id="{00000000-0008-0000-0900-000057000000}"/>
            </a:ext>
          </a:extLst>
        </xdr:cNvPr>
        <xdr:cNvSpPr/>
      </xdr:nvSpPr>
      <xdr:spPr>
        <a:xfrm>
          <a:off x="3432341" y="1308497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900-00002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9" name="Rechteck 88">
          <a:extLst>
            <a:ext uri="{FF2B5EF4-FFF2-40B4-BE49-F238E27FC236}">
              <a16:creationId xmlns:a16="http://schemas.microsoft.com/office/drawing/2014/main" id="{00000000-0008-0000-0900-000059000000}"/>
            </a:ext>
          </a:extLst>
        </xdr:cNvPr>
        <xdr:cNvSpPr/>
      </xdr:nvSpPr>
      <xdr:spPr>
        <a:xfrm>
          <a:off x="3365106" y="1037657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28575</xdr:colOff>
          <xdr:row>62</xdr:row>
          <xdr:rowOff>57150</xdr:rowOff>
        </xdr:from>
        <xdr:to>
          <xdr:col>14</xdr:col>
          <xdr:colOff>38100</xdr:colOff>
          <xdr:row>63</xdr:row>
          <xdr:rowOff>57150</xdr:rowOff>
        </xdr:to>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900-00002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68</xdr:row>
      <xdr:rowOff>51546</xdr:rowOff>
    </xdr:from>
    <xdr:to>
      <xdr:col>12</xdr:col>
      <xdr:colOff>29135</xdr:colOff>
      <xdr:row>69</xdr:row>
      <xdr:rowOff>147276</xdr:rowOff>
    </xdr:to>
    <xdr:sp macro="" textlink="">
      <xdr:nvSpPr>
        <xdr:cNvPr id="91" name="Rechteck 90">
          <a:extLst>
            <a:ext uri="{FF2B5EF4-FFF2-40B4-BE49-F238E27FC236}">
              <a16:creationId xmlns:a16="http://schemas.microsoft.com/office/drawing/2014/main" id="{00000000-0008-0000-0900-00005B000000}"/>
            </a:ext>
          </a:extLst>
        </xdr:cNvPr>
        <xdr:cNvSpPr/>
      </xdr:nvSpPr>
      <xdr:spPr>
        <a:xfrm>
          <a:off x="2967297" y="11395821"/>
          <a:ext cx="166988"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28575</xdr:colOff>
          <xdr:row>68</xdr:row>
          <xdr:rowOff>47625</xdr:rowOff>
        </xdr:from>
        <xdr:to>
          <xdr:col>12</xdr:col>
          <xdr:colOff>38100</xdr:colOff>
          <xdr:row>69</xdr:row>
          <xdr:rowOff>47625</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9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900-00003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900-00003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5" name="Gerader Verbinder 94">
          <a:extLst>
            <a:ext uri="{FF2B5EF4-FFF2-40B4-BE49-F238E27FC236}">
              <a16:creationId xmlns:a16="http://schemas.microsoft.com/office/drawing/2014/main" id="{00000000-0008-0000-0900-00005F000000}"/>
            </a:ext>
          </a:extLst>
        </xdr:cNvPr>
        <xdr:cNvCxnSpPr/>
      </xdr:nvCxnSpPr>
      <xdr:spPr>
        <a:xfrm flipV="1">
          <a:off x="1296709" y="491890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40</xdr:col>
          <xdr:colOff>0</xdr:colOff>
          <xdr:row>33</xdr:row>
          <xdr:rowOff>0</xdr:rowOff>
        </xdr:from>
        <xdr:to>
          <xdr:col>41</xdr:col>
          <xdr:colOff>0</xdr:colOff>
          <xdr:row>34</xdr:row>
          <xdr:rowOff>0</xdr:rowOff>
        </xdr:to>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900-00003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7" name="Gerader Verbinder 96">
          <a:extLst>
            <a:ext uri="{FF2B5EF4-FFF2-40B4-BE49-F238E27FC236}">
              <a16:creationId xmlns:a16="http://schemas.microsoft.com/office/drawing/2014/main" id="{00000000-0008-0000-0900-000061000000}"/>
            </a:ext>
          </a:extLst>
        </xdr:cNvPr>
        <xdr:cNvCxnSpPr/>
      </xdr:nvCxnSpPr>
      <xdr:spPr>
        <a:xfrm flipV="1">
          <a:off x="2170217" y="492485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8" name="Gerader Verbinder 97">
          <a:extLst>
            <a:ext uri="{FF2B5EF4-FFF2-40B4-BE49-F238E27FC236}">
              <a16:creationId xmlns:a16="http://schemas.microsoft.com/office/drawing/2014/main" id="{00000000-0008-0000-0900-000062000000}"/>
            </a:ext>
          </a:extLst>
        </xdr:cNvPr>
        <xdr:cNvCxnSpPr/>
      </xdr:nvCxnSpPr>
      <xdr:spPr>
        <a:xfrm flipV="1">
          <a:off x="3044135" y="492842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9" name="Gerader Verbinder 98">
          <a:extLst>
            <a:ext uri="{FF2B5EF4-FFF2-40B4-BE49-F238E27FC236}">
              <a16:creationId xmlns:a16="http://schemas.microsoft.com/office/drawing/2014/main" id="{00000000-0008-0000-0900-000063000000}"/>
            </a:ext>
          </a:extLst>
        </xdr:cNvPr>
        <xdr:cNvCxnSpPr/>
      </xdr:nvCxnSpPr>
      <xdr:spPr>
        <a:xfrm flipV="1">
          <a:off x="3924007" y="492604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0" name="Gerader Verbinder 99">
          <a:extLst>
            <a:ext uri="{FF2B5EF4-FFF2-40B4-BE49-F238E27FC236}">
              <a16:creationId xmlns:a16="http://schemas.microsoft.com/office/drawing/2014/main" id="{00000000-0008-0000-0900-000064000000}"/>
            </a:ext>
          </a:extLst>
        </xdr:cNvPr>
        <xdr:cNvCxnSpPr/>
      </xdr:nvCxnSpPr>
      <xdr:spPr>
        <a:xfrm flipV="1">
          <a:off x="4797925" y="492366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1" name="Gerader Verbinder 100">
          <a:extLst>
            <a:ext uri="{FF2B5EF4-FFF2-40B4-BE49-F238E27FC236}">
              <a16:creationId xmlns:a16="http://schemas.microsoft.com/office/drawing/2014/main" id="{00000000-0008-0000-0900-000065000000}"/>
            </a:ext>
          </a:extLst>
        </xdr:cNvPr>
        <xdr:cNvCxnSpPr/>
      </xdr:nvCxnSpPr>
      <xdr:spPr>
        <a:xfrm flipV="1">
          <a:off x="5677797" y="492723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2" name="Gerader Verbinder 101">
          <a:extLst>
            <a:ext uri="{FF2B5EF4-FFF2-40B4-BE49-F238E27FC236}">
              <a16:creationId xmlns:a16="http://schemas.microsoft.com/office/drawing/2014/main" id="{00000000-0008-0000-0900-000066000000}"/>
            </a:ext>
          </a:extLst>
        </xdr:cNvPr>
        <xdr:cNvCxnSpPr/>
      </xdr:nvCxnSpPr>
      <xdr:spPr>
        <a:xfrm flipV="1">
          <a:off x="6551715" y="492485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3" name="Gerader Verbinder 102">
          <a:extLst>
            <a:ext uri="{FF2B5EF4-FFF2-40B4-BE49-F238E27FC236}">
              <a16:creationId xmlns:a16="http://schemas.microsoft.com/office/drawing/2014/main" id="{00000000-0008-0000-0900-000067000000}"/>
            </a:ext>
          </a:extLst>
        </xdr:cNvPr>
        <xdr:cNvCxnSpPr/>
      </xdr:nvCxnSpPr>
      <xdr:spPr>
        <a:xfrm flipV="1">
          <a:off x="7431587" y="492247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4" name="Gerader Verbinder 103">
          <a:extLst>
            <a:ext uri="{FF2B5EF4-FFF2-40B4-BE49-F238E27FC236}">
              <a16:creationId xmlns:a16="http://schemas.microsoft.com/office/drawing/2014/main" id="{00000000-0008-0000-0900-000068000000}"/>
            </a:ext>
          </a:extLst>
        </xdr:cNvPr>
        <xdr:cNvCxnSpPr/>
      </xdr:nvCxnSpPr>
      <xdr:spPr>
        <a:xfrm flipV="1">
          <a:off x="8305505" y="492604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5" name="Gerader Verbinder 104">
          <a:extLst>
            <a:ext uri="{FF2B5EF4-FFF2-40B4-BE49-F238E27FC236}">
              <a16:creationId xmlns:a16="http://schemas.microsoft.com/office/drawing/2014/main" id="{00000000-0008-0000-0900-000069000000}"/>
            </a:ext>
          </a:extLst>
        </xdr:cNvPr>
        <xdr:cNvCxnSpPr/>
      </xdr:nvCxnSpPr>
      <xdr:spPr>
        <a:xfrm flipV="1">
          <a:off x="9179424" y="491771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6" name="Gerader Verbinder 105">
          <a:extLst>
            <a:ext uri="{FF2B5EF4-FFF2-40B4-BE49-F238E27FC236}">
              <a16:creationId xmlns:a16="http://schemas.microsoft.com/office/drawing/2014/main" id="{00000000-0008-0000-0900-00006A000000}"/>
            </a:ext>
          </a:extLst>
        </xdr:cNvPr>
        <xdr:cNvCxnSpPr/>
      </xdr:nvCxnSpPr>
      <xdr:spPr>
        <a:xfrm flipV="1">
          <a:off x="10059296" y="492723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7" name="Grafik 106">
          <a:extLst>
            <a:ext uri="{FF2B5EF4-FFF2-40B4-BE49-F238E27FC236}">
              <a16:creationId xmlns:a16="http://schemas.microsoft.com/office/drawing/2014/main" id="{00000000-0008-0000-0900-00006B000000}"/>
            </a:ext>
          </a:extLst>
        </xdr:cNvPr>
        <xdr:cNvPicPr>
          <a:picLocks noChangeAspect="1"/>
        </xdr:cNvPicPr>
      </xdr:nvPicPr>
      <xdr:blipFill>
        <a:blip xmlns:r="http://schemas.openxmlformats.org/officeDocument/2006/relationships" r:embed="rId40"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900-00003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900-00003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900-00003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900-00003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12" name="Grafik 111">
          <a:extLst>
            <a:ext uri="{FF2B5EF4-FFF2-40B4-BE49-F238E27FC236}">
              <a16:creationId xmlns:a16="http://schemas.microsoft.com/office/drawing/2014/main" id="{00000000-0008-0000-0900-000070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77" t="10351" r="77528" b="74663"/>
        <a:stretch/>
      </xdr:blipFill>
      <xdr:spPr>
        <a:xfrm>
          <a:off x="6472514" y="1692723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13" name="Grafik 112">
          <a:extLst>
            <a:ext uri="{FF2B5EF4-FFF2-40B4-BE49-F238E27FC236}">
              <a16:creationId xmlns:a16="http://schemas.microsoft.com/office/drawing/2014/main" id="{00000000-0008-0000-0900-000071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25697" t="10250" r="56015" b="76270"/>
        <a:stretch/>
      </xdr:blipFill>
      <xdr:spPr>
        <a:xfrm>
          <a:off x="7721414" y="1691258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14" name="Grafik 113">
          <a:extLst>
            <a:ext uri="{FF2B5EF4-FFF2-40B4-BE49-F238E27FC236}">
              <a16:creationId xmlns:a16="http://schemas.microsoft.com/office/drawing/2014/main" id="{00000000-0008-0000-0900-000072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8824" t="10375" r="34746" b="74144"/>
        <a:stretch/>
      </xdr:blipFill>
      <xdr:spPr>
        <a:xfrm>
          <a:off x="9146522" y="1692658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15" name="Grafik 114">
          <a:extLst>
            <a:ext uri="{FF2B5EF4-FFF2-40B4-BE49-F238E27FC236}">
              <a16:creationId xmlns:a16="http://schemas.microsoft.com/office/drawing/2014/main" id="{00000000-0008-0000-0900-000073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2700" r="40451" b="43145"/>
        <a:stretch/>
      </xdr:blipFill>
      <xdr:spPr>
        <a:xfrm>
          <a:off x="6563926" y="1859845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165007</xdr:rowOff>
    </xdr:to>
    <xdr:pic>
      <xdr:nvPicPr>
        <xdr:cNvPr id="116" name="Grafik 115">
          <a:extLst>
            <a:ext uri="{FF2B5EF4-FFF2-40B4-BE49-F238E27FC236}">
              <a16:creationId xmlns:a16="http://schemas.microsoft.com/office/drawing/2014/main" id="{00000000-0008-0000-0900-000074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0330" r="40451" b="41065"/>
        <a:stretch/>
      </xdr:blipFill>
      <xdr:spPr>
        <a:xfrm>
          <a:off x="9225824" y="18373736"/>
          <a:ext cx="884662" cy="1784246"/>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7" name="Rechteck 116">
          <a:extLst>
            <a:ext uri="{FF2B5EF4-FFF2-40B4-BE49-F238E27FC236}">
              <a16:creationId xmlns:a16="http://schemas.microsoft.com/office/drawing/2014/main" id="{00000000-0008-0000-0900-000075000000}"/>
            </a:ext>
          </a:extLst>
        </xdr:cNvPr>
        <xdr:cNvSpPr/>
      </xdr:nvSpPr>
      <xdr:spPr>
        <a:xfrm>
          <a:off x="7861588" y="1849881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179296</xdr:rowOff>
    </xdr:to>
    <xdr:pic>
      <xdr:nvPicPr>
        <xdr:cNvPr id="118" name="Grafik 117">
          <a:extLst>
            <a:ext uri="{FF2B5EF4-FFF2-40B4-BE49-F238E27FC236}">
              <a16:creationId xmlns:a16="http://schemas.microsoft.com/office/drawing/2014/main" id="{00000000-0008-0000-0900-000076000000}"/>
            </a:ext>
          </a:extLst>
        </xdr:cNvPr>
        <xdr:cNvPicPr>
          <a:picLocks noChangeAspect="1"/>
        </xdr:cNvPicPr>
      </xdr:nvPicPr>
      <xdr:blipFill rotWithShape="1">
        <a:blip xmlns:r="http://schemas.openxmlformats.org/officeDocument/2006/relationships" r:embed="rId42" cstate="print">
          <a:duotone>
            <a:prstClr val="black"/>
            <a:schemeClr val="accent3">
              <a:tint val="45000"/>
              <a:satMod val="400000"/>
            </a:schemeClr>
          </a:duotone>
          <a:extLst>
            <a:ext uri="{BEBA8EAE-BF5A-486C-A8C5-ECC9F3942E4B}">
              <a14:imgProps xmlns:a14="http://schemas.microsoft.com/office/drawing/2010/main">
                <a14:imgLayer r:embed="rId43">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36731"/>
          <a:ext cx="3941304" cy="2183465"/>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116523</xdr:rowOff>
    </xdr:to>
    <xdr:pic>
      <xdr:nvPicPr>
        <xdr:cNvPr id="119" name="Grafik 118">
          <a:extLst>
            <a:ext uri="{FF2B5EF4-FFF2-40B4-BE49-F238E27FC236}">
              <a16:creationId xmlns:a16="http://schemas.microsoft.com/office/drawing/2014/main" id="{00000000-0008-0000-0900-000077000000}"/>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63390" t="41256" r="16917" b="41369"/>
        <a:stretch/>
      </xdr:blipFill>
      <xdr:spPr>
        <a:xfrm>
          <a:off x="7709911" y="18500722"/>
          <a:ext cx="1332502" cy="1608776"/>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0" name="Rechteck 119">
          <a:extLst>
            <a:ext uri="{FF2B5EF4-FFF2-40B4-BE49-F238E27FC236}">
              <a16:creationId xmlns:a16="http://schemas.microsoft.com/office/drawing/2014/main" id="{00000000-0008-0000-0900-000078000000}"/>
            </a:ext>
          </a:extLst>
        </xdr:cNvPr>
        <xdr:cNvSpPr/>
      </xdr:nvSpPr>
      <xdr:spPr>
        <a:xfrm>
          <a:off x="4346202" y="14897100"/>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21" name="Pfeil nach rechts 16">
          <a:hlinkClick xmlns:r="http://schemas.openxmlformats.org/officeDocument/2006/relationships" r:id="rId45"/>
          <a:extLst>
            <a:ext uri="{FF2B5EF4-FFF2-40B4-BE49-F238E27FC236}">
              <a16:creationId xmlns:a16="http://schemas.microsoft.com/office/drawing/2014/main" id="{00000000-0008-0000-0900-000079000000}"/>
            </a:ext>
          </a:extLst>
        </xdr:cNvPr>
        <xdr:cNvSpPr/>
      </xdr:nvSpPr>
      <xdr:spPr>
        <a:xfrm>
          <a:off x="14883653" y="431523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22" name="Grafik 121">
          <a:extLst>
            <a:ext uri="{FF2B5EF4-FFF2-40B4-BE49-F238E27FC236}">
              <a16:creationId xmlns:a16="http://schemas.microsoft.com/office/drawing/2014/main" id="{00000000-0008-0000-0900-00007A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r="52107"/>
        <a:stretch/>
      </xdr:blipFill>
      <xdr:spPr>
        <a:xfrm>
          <a:off x="11271436" y="1251136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23" name="Grafik 122">
          <a:extLst>
            <a:ext uri="{FF2B5EF4-FFF2-40B4-BE49-F238E27FC236}">
              <a16:creationId xmlns:a16="http://schemas.microsoft.com/office/drawing/2014/main" id="{00000000-0008-0000-0900-00007B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l="51024"/>
        <a:stretch/>
      </xdr:blipFill>
      <xdr:spPr>
        <a:xfrm>
          <a:off x="12055849" y="12511368"/>
          <a:ext cx="699621" cy="745849"/>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21773</xdr:colOff>
      <xdr:row>90</xdr:row>
      <xdr:rowOff>19050</xdr:rowOff>
    </xdr:from>
    <xdr:to>
      <xdr:col>24</xdr:col>
      <xdr:colOff>115957</xdr:colOff>
      <xdr:row>93</xdr:row>
      <xdr:rowOff>107302</xdr:rowOff>
    </xdr:to>
    <xdr:pic>
      <xdr:nvPicPr>
        <xdr:cNvPr id="2" name="Grafik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a:duotone>
            <a:prstClr val="black"/>
            <a:schemeClr val="bg1">
              <a:lumMod val="65000"/>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rcRect r="33602"/>
        <a:stretch/>
      </xdr:blipFill>
      <xdr:spPr>
        <a:xfrm>
          <a:off x="5098598" y="14916150"/>
          <a:ext cx="751409" cy="574027"/>
        </a:xfrm>
        <a:prstGeom prst="rect">
          <a:avLst/>
        </a:prstGeom>
      </xdr:spPr>
    </xdr:pic>
    <xdr:clientData/>
  </xdr:twoCellAnchor>
  <xdr:twoCellAnchor editAs="oneCell">
    <xdr:from>
      <xdr:col>21</xdr:col>
      <xdr:colOff>9527</xdr:colOff>
      <xdr:row>85</xdr:row>
      <xdr:rowOff>47626</xdr:rowOff>
    </xdr:from>
    <xdr:to>
      <xdr:col>24</xdr:col>
      <xdr:colOff>115957</xdr:colOff>
      <xdr:row>88</xdr:row>
      <xdr:rowOff>121615</xdr:rowOff>
    </xdr:to>
    <xdr:pic>
      <xdr:nvPicPr>
        <xdr:cNvPr id="3" name="Grafik 2">
          <a:extLst>
            <a:ext uri="{FF2B5EF4-FFF2-40B4-BE49-F238E27FC236}">
              <a16:creationId xmlns:a16="http://schemas.microsoft.com/office/drawing/2014/main" id="{00000000-0008-0000-0B00-000003000000}"/>
            </a:ext>
          </a:extLst>
        </xdr:cNvPr>
        <xdr:cNvPicPr>
          <a:picLocks noChangeAspect="1"/>
        </xdr:cNvPicPr>
      </xdr:nvPicPr>
      <xdr:blipFill rotWithShape="1">
        <a:blip xmlns:r="http://schemas.openxmlformats.org/officeDocument/2006/relationships" r:embed="rId3">
          <a:duotone>
            <a:prstClr val="black"/>
            <a:schemeClr val="bg1">
              <a:lumMod val="65000"/>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rcRect r="37323"/>
        <a:stretch/>
      </xdr:blipFill>
      <xdr:spPr>
        <a:xfrm>
          <a:off x="5086352" y="14135101"/>
          <a:ext cx="763655" cy="559764"/>
        </a:xfrm>
        <a:prstGeom prst="rect">
          <a:avLst/>
        </a:prstGeom>
      </xdr:spPr>
    </xdr:pic>
    <xdr:clientData/>
  </xdr:twoCellAnchor>
  <xdr:twoCellAnchor editAs="oneCell">
    <xdr:from>
      <xdr:col>11</xdr:col>
      <xdr:colOff>187016</xdr:colOff>
      <xdr:row>86</xdr:row>
      <xdr:rowOff>34778</xdr:rowOff>
    </xdr:from>
    <xdr:to>
      <xdr:col>19</xdr:col>
      <xdr:colOff>66675</xdr:colOff>
      <xdr:row>93</xdr:row>
      <xdr:rowOff>14408</xdr:rowOff>
    </xdr:to>
    <xdr:pic>
      <xdr:nvPicPr>
        <xdr:cNvPr id="4" name="Grafik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5">
          <a:duotone>
            <a:prstClr val="black"/>
            <a:schemeClr val="bg1">
              <a:lumMod val="65000"/>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3073091" y="14284178"/>
          <a:ext cx="1632259" cy="1113105"/>
        </a:xfrm>
        <a:prstGeom prst="rect">
          <a:avLst/>
        </a:prstGeom>
      </xdr:spPr>
    </xdr:pic>
    <xdr:clientData/>
  </xdr:twoCellAnchor>
  <xdr:twoCellAnchor editAs="oneCell">
    <xdr:from>
      <xdr:col>4</xdr:col>
      <xdr:colOff>215161</xdr:colOff>
      <xdr:row>86</xdr:row>
      <xdr:rowOff>36868</xdr:rowOff>
    </xdr:from>
    <xdr:to>
      <xdr:col>10</xdr:col>
      <xdr:colOff>178527</xdr:colOff>
      <xdr:row>92</xdr:row>
      <xdr:rowOff>48794</xdr:rowOff>
    </xdr:to>
    <xdr:pic>
      <xdr:nvPicPr>
        <xdr:cNvPr id="5" name="Grafik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7">
          <a:duotone>
            <a:prstClr val="black"/>
            <a:schemeClr val="bg1">
              <a:lumMod val="65000"/>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1567711" y="14286268"/>
          <a:ext cx="1277816" cy="983476"/>
        </a:xfrm>
        <a:prstGeom prst="rect">
          <a:avLst/>
        </a:prstGeom>
      </xdr:spPr>
    </xdr:pic>
    <xdr:clientData/>
  </xdr:twoCellAnchor>
  <xdr:twoCellAnchor editAs="oneCell">
    <xdr:from>
      <xdr:col>20</xdr:col>
      <xdr:colOff>1</xdr:colOff>
      <xdr:row>72</xdr:row>
      <xdr:rowOff>28575</xdr:rowOff>
    </xdr:from>
    <xdr:to>
      <xdr:col>24</xdr:col>
      <xdr:colOff>95251</xdr:colOff>
      <xdr:row>82</xdr:row>
      <xdr:rowOff>130926</xdr:rowOff>
    </xdr:to>
    <xdr:pic>
      <xdr:nvPicPr>
        <xdr:cNvPr id="6" name="Grafik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9">
          <a:duotone>
            <a:prstClr val="black"/>
            <a:schemeClr val="bg1">
              <a:lumMod val="65000"/>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tretch>
          <a:fillRect/>
        </a:stretch>
      </xdr:blipFill>
      <xdr:spPr>
        <a:xfrm>
          <a:off x="4857751" y="12020550"/>
          <a:ext cx="971550" cy="1712076"/>
        </a:xfrm>
        <a:prstGeom prst="rect">
          <a:avLst/>
        </a:prstGeom>
      </xdr:spPr>
    </xdr:pic>
    <xdr:clientData/>
  </xdr:twoCellAnchor>
  <xdr:twoCellAnchor editAs="oneCell">
    <xdr:from>
      <xdr:col>13</xdr:col>
      <xdr:colOff>28575</xdr:colOff>
      <xdr:row>72</xdr:row>
      <xdr:rowOff>78106</xdr:rowOff>
    </xdr:from>
    <xdr:to>
      <xdr:col>17</xdr:col>
      <xdr:colOff>85726</xdr:colOff>
      <xdr:row>82</xdr:row>
      <xdr:rowOff>83559</xdr:rowOff>
    </xdr:to>
    <xdr:pic>
      <xdr:nvPicPr>
        <xdr:cNvPr id="7" name="Grafik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1">
          <a:duotone>
            <a:prstClr val="black"/>
            <a:schemeClr val="bg1">
              <a:lumMod val="65000"/>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352800" y="12070081"/>
          <a:ext cx="933451" cy="1615178"/>
        </a:xfrm>
        <a:prstGeom prst="rect">
          <a:avLst/>
        </a:prstGeom>
      </xdr:spPr>
    </xdr:pic>
    <xdr:clientData/>
  </xdr:twoCellAnchor>
  <xdr:twoCellAnchor editAs="oneCell">
    <xdr:from>
      <xdr:col>5</xdr:col>
      <xdr:colOff>19049</xdr:colOff>
      <xdr:row>73</xdr:row>
      <xdr:rowOff>28575</xdr:rowOff>
    </xdr:from>
    <xdr:to>
      <xdr:col>10</xdr:col>
      <xdr:colOff>91522</xdr:colOff>
      <xdr:row>81</xdr:row>
      <xdr:rowOff>24727</xdr:rowOff>
    </xdr:to>
    <xdr:pic>
      <xdr:nvPicPr>
        <xdr:cNvPr id="8" name="Grafik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13">
          <a:duotone>
            <a:prstClr val="black"/>
            <a:schemeClr val="bg1">
              <a:lumMod val="65000"/>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1590674" y="12182475"/>
          <a:ext cx="1167848" cy="1282027"/>
        </a:xfrm>
        <a:prstGeom prst="rect">
          <a:avLst/>
        </a:prstGeom>
      </xdr:spPr>
    </xdr:pic>
    <xdr:clientData/>
  </xdr:twoCellAnchor>
  <xdr:twoCellAnchor editAs="oneCell">
    <xdr:from>
      <xdr:col>23</xdr:col>
      <xdr:colOff>22412</xdr:colOff>
      <xdr:row>61</xdr:row>
      <xdr:rowOff>135447</xdr:rowOff>
    </xdr:from>
    <xdr:to>
      <xdr:col>26</xdr:col>
      <xdr:colOff>179294</xdr:colOff>
      <xdr:row>70</xdr:row>
      <xdr:rowOff>564</xdr:rowOff>
    </xdr:to>
    <xdr:pic>
      <xdr:nvPicPr>
        <xdr:cNvPr id="9" name="Grafik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15">
          <a:duotone>
            <a:prstClr val="black"/>
            <a:schemeClr val="bg1">
              <a:lumMod val="65000"/>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5537387" y="10346247"/>
          <a:ext cx="814107" cy="1322442"/>
        </a:xfrm>
        <a:prstGeom prst="rect">
          <a:avLst/>
        </a:prstGeom>
      </xdr:spPr>
    </xdr:pic>
    <xdr:clientData/>
  </xdr:twoCellAnchor>
  <xdr:twoCellAnchor editAs="oneCell">
    <xdr:from>
      <xdr:col>17</xdr:col>
      <xdr:colOff>11206</xdr:colOff>
      <xdr:row>61</xdr:row>
      <xdr:rowOff>157859</xdr:rowOff>
    </xdr:from>
    <xdr:to>
      <xdr:col>20</xdr:col>
      <xdr:colOff>127103</xdr:colOff>
      <xdr:row>69</xdr:row>
      <xdr:rowOff>93061</xdr:rowOff>
    </xdr:to>
    <xdr:pic>
      <xdr:nvPicPr>
        <xdr:cNvPr id="10" name="Grafik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17">
          <a:duotone>
            <a:prstClr val="black"/>
            <a:schemeClr val="bg1">
              <a:lumMod val="65000"/>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4211731" y="10368659"/>
          <a:ext cx="773122" cy="1230602"/>
        </a:xfrm>
        <a:prstGeom prst="rect">
          <a:avLst/>
        </a:prstGeom>
      </xdr:spPr>
    </xdr:pic>
    <xdr:clientData/>
  </xdr:twoCellAnchor>
  <xdr:twoCellAnchor editAs="oneCell">
    <xdr:from>
      <xdr:col>10</xdr:col>
      <xdr:colOff>201706</xdr:colOff>
      <xdr:row>62</xdr:row>
      <xdr:rowOff>59440</xdr:rowOff>
    </xdr:from>
    <xdr:to>
      <xdr:col>14</xdr:col>
      <xdr:colOff>156883</xdr:colOff>
      <xdr:row>69</xdr:row>
      <xdr:rowOff>86280</xdr:rowOff>
    </xdr:to>
    <xdr:pic>
      <xdr:nvPicPr>
        <xdr:cNvPr id="11" name="Grafik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19">
          <a:duotone>
            <a:prstClr val="black"/>
            <a:schemeClr val="bg1">
              <a:lumMod val="65000"/>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2868706" y="10432165"/>
          <a:ext cx="831477" cy="1160315"/>
        </a:xfrm>
        <a:prstGeom prst="rect">
          <a:avLst/>
        </a:prstGeom>
        <a:noFill/>
      </xdr:spPr>
    </xdr:pic>
    <xdr:clientData/>
  </xdr:twoCellAnchor>
  <xdr:twoCellAnchor editAs="oneCell">
    <xdr:from>
      <xdr:col>4</xdr:col>
      <xdr:colOff>123265</xdr:colOff>
      <xdr:row>62</xdr:row>
      <xdr:rowOff>104264</xdr:rowOff>
    </xdr:from>
    <xdr:to>
      <xdr:col>9</xdr:col>
      <xdr:colOff>44824</xdr:colOff>
      <xdr:row>68</xdr:row>
      <xdr:rowOff>100352</xdr:rowOff>
    </xdr:to>
    <xdr:pic>
      <xdr:nvPicPr>
        <xdr:cNvPr id="12" name="Grafik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21">
          <a:duotone>
            <a:prstClr val="black"/>
            <a:schemeClr val="bg1">
              <a:lumMod val="65000"/>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475815" y="10476989"/>
          <a:ext cx="1016934" cy="967638"/>
        </a:xfrm>
        <a:prstGeom prst="rect">
          <a:avLst/>
        </a:prstGeom>
        <a:solidFill>
          <a:schemeClr val="bg1">
            <a:lumMod val="85000"/>
          </a:schemeClr>
        </a:solidFill>
      </xdr:spPr>
    </xdr:pic>
    <xdr:clientData/>
  </xdr:twoCellAnchor>
  <xdr:twoCellAnchor editAs="oneCell">
    <xdr:from>
      <xdr:col>16</xdr:col>
      <xdr:colOff>27984</xdr:colOff>
      <xdr:row>45</xdr:row>
      <xdr:rowOff>33619</xdr:rowOff>
    </xdr:from>
    <xdr:to>
      <xdr:col>22</xdr:col>
      <xdr:colOff>213813</xdr:colOff>
      <xdr:row>59</xdr:row>
      <xdr:rowOff>523</xdr:rowOff>
    </xdr:to>
    <xdr:pic>
      <xdr:nvPicPr>
        <xdr:cNvPr id="13" name="Grafik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23">
          <a:duotone>
            <a:prstClr val="black"/>
            <a:schemeClr val="bg1">
              <a:lumMod val="65000"/>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tretch>
          <a:fillRect/>
        </a:stretch>
      </xdr:blipFill>
      <xdr:spPr>
        <a:xfrm>
          <a:off x="4009434" y="7653619"/>
          <a:ext cx="1500279" cy="2233854"/>
        </a:xfrm>
        <a:prstGeom prst="rect">
          <a:avLst/>
        </a:prstGeom>
      </xdr:spPr>
    </xdr:pic>
    <xdr:clientData/>
  </xdr:twoCellAnchor>
  <xdr:twoCellAnchor editAs="oneCell">
    <xdr:from>
      <xdr:col>16</xdr:col>
      <xdr:colOff>29035</xdr:colOff>
      <xdr:row>35</xdr:row>
      <xdr:rowOff>70356</xdr:rowOff>
    </xdr:from>
    <xdr:to>
      <xdr:col>23</xdr:col>
      <xdr:colOff>11947</xdr:colOff>
      <xdr:row>43</xdr:row>
      <xdr:rowOff>40958</xdr:rowOff>
    </xdr:to>
    <xdr:pic>
      <xdr:nvPicPr>
        <xdr:cNvPr id="14" name="Grafik 13">
          <a:extLst>
            <a:ext uri="{FF2B5EF4-FFF2-40B4-BE49-F238E27FC236}">
              <a16:creationId xmlns:a16="http://schemas.microsoft.com/office/drawing/2014/main" id="{00000000-0008-0000-0B00-00000E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Lst>
        </a:blip>
        <a:stretch>
          <a:fillRect/>
        </a:stretch>
      </xdr:blipFill>
      <xdr:spPr>
        <a:xfrm>
          <a:off x="4010485" y="6071106"/>
          <a:ext cx="1516437" cy="1266002"/>
        </a:xfrm>
        <a:prstGeom prst="rect">
          <a:avLst/>
        </a:prstGeom>
      </xdr:spPr>
    </xdr:pic>
    <xdr:clientData/>
  </xdr:twoCellAnchor>
  <xdr:twoCellAnchor editAs="oneCell">
    <xdr:from>
      <xdr:col>3</xdr:col>
      <xdr:colOff>48590</xdr:colOff>
      <xdr:row>49</xdr:row>
      <xdr:rowOff>60184</xdr:rowOff>
    </xdr:from>
    <xdr:to>
      <xdr:col>8</xdr:col>
      <xdr:colOff>75207</xdr:colOff>
      <xdr:row>58</xdr:row>
      <xdr:rowOff>105625</xdr:rowOff>
    </xdr:to>
    <xdr:pic>
      <xdr:nvPicPr>
        <xdr:cNvPr id="15" name="Grafik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27">
          <a:duotone>
            <a:prstClr val="black"/>
            <a:schemeClr val="accent3">
              <a:tint val="45000"/>
              <a:satMod val="400000"/>
            </a:schemeClr>
          </a:duotone>
          <a:extLst>
            <a:ext uri="{BEBA8EAE-BF5A-486C-A8C5-ECC9F3942E4B}">
              <a14:imgProps xmlns:a14="http://schemas.microsoft.com/office/drawing/2010/main">
                <a14:imgLayer r:embed="rId28">
                  <a14:imgEffect>
                    <a14:colorTemperature colorTemp="11500"/>
                  </a14:imgEffect>
                  <a14:imgEffect>
                    <a14:saturation sat="400000"/>
                  </a14:imgEffect>
                </a14:imgLayer>
              </a14:imgProps>
            </a:ext>
          </a:extLst>
        </a:blip>
        <a:stretch>
          <a:fillRect/>
        </a:stretch>
      </xdr:blipFill>
      <xdr:spPr>
        <a:xfrm>
          <a:off x="1315415" y="8327884"/>
          <a:ext cx="988642" cy="1502766"/>
        </a:xfrm>
        <a:prstGeom prst="rect">
          <a:avLst/>
        </a:prstGeom>
      </xdr:spPr>
    </xdr:pic>
    <xdr:clientData/>
  </xdr:twoCellAnchor>
  <xdr:twoCellAnchor editAs="oneCell">
    <xdr:from>
      <xdr:col>10</xdr:col>
      <xdr:colOff>35068</xdr:colOff>
      <xdr:row>49</xdr:row>
      <xdr:rowOff>61549</xdr:rowOff>
    </xdr:from>
    <xdr:to>
      <xdr:col>14</xdr:col>
      <xdr:colOff>206607</xdr:colOff>
      <xdr:row>58</xdr:row>
      <xdr:rowOff>105079</xdr:rowOff>
    </xdr:to>
    <xdr:pic>
      <xdr:nvPicPr>
        <xdr:cNvPr id="16" name="Grafik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29">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Effect>
                    <a14:saturation sat="400000"/>
                  </a14:imgEffect>
                </a14:imgLayer>
              </a14:imgProps>
            </a:ext>
          </a:extLst>
        </a:blip>
        <a:stretch>
          <a:fillRect/>
        </a:stretch>
      </xdr:blipFill>
      <xdr:spPr>
        <a:xfrm>
          <a:off x="2702068" y="8329249"/>
          <a:ext cx="1047839" cy="1500855"/>
        </a:xfrm>
        <a:prstGeom prst="rect">
          <a:avLst/>
        </a:prstGeom>
      </xdr:spPr>
    </xdr:pic>
    <xdr:clientData/>
  </xdr:twoCellAnchor>
  <xdr:twoCellAnchor editAs="oneCell">
    <xdr:from>
      <xdr:col>3</xdr:col>
      <xdr:colOff>63213</xdr:colOff>
      <xdr:row>40</xdr:row>
      <xdr:rowOff>84287</xdr:rowOff>
    </xdr:from>
    <xdr:to>
      <xdr:col>6</xdr:col>
      <xdr:colOff>434</xdr:colOff>
      <xdr:row>47</xdr:row>
      <xdr:rowOff>21907</xdr:rowOff>
    </xdr:to>
    <xdr:pic>
      <xdr:nvPicPr>
        <xdr:cNvPr id="17" name="Grafik 16">
          <a:extLst>
            <a:ext uri="{FF2B5EF4-FFF2-40B4-BE49-F238E27FC236}">
              <a16:creationId xmlns:a16="http://schemas.microsoft.com/office/drawing/2014/main" id="{00000000-0008-0000-0B00-000011000000}"/>
            </a:ext>
          </a:extLst>
        </xdr:cNvPr>
        <xdr:cNvPicPr>
          <a:picLocks noChangeAspect="1"/>
        </xdr:cNvPicPr>
      </xdr:nvPicPr>
      <xdr:blipFill>
        <a:blip xmlns:r="http://schemas.openxmlformats.org/officeDocument/2006/relationships" r:embed="rId31">
          <a:duotone>
            <a:prstClr val="black"/>
            <a:schemeClr val="accent3">
              <a:tint val="45000"/>
              <a:satMod val="400000"/>
            </a:schemeClr>
          </a:duotone>
          <a:extLst>
            <a:ext uri="{BEBA8EAE-BF5A-486C-A8C5-ECC9F3942E4B}">
              <a14:imgProps xmlns:a14="http://schemas.microsoft.com/office/drawing/2010/main">
                <a14:imgLayer r:embed="rId32">
                  <a14:imgEffect>
                    <a14:colorTemperature colorTemp="11500"/>
                  </a14:imgEffect>
                  <a14:imgEffect>
                    <a14:saturation sat="400000"/>
                  </a14:imgEffect>
                </a14:imgLayer>
              </a14:imgProps>
            </a:ext>
          </a:extLst>
        </a:blip>
        <a:stretch>
          <a:fillRect/>
        </a:stretch>
      </xdr:blipFill>
      <xdr:spPr>
        <a:xfrm>
          <a:off x="1330038" y="6894662"/>
          <a:ext cx="461096" cy="1071095"/>
        </a:xfrm>
        <a:prstGeom prst="rect">
          <a:avLst/>
        </a:prstGeom>
      </xdr:spPr>
    </xdr:pic>
    <xdr:clientData/>
  </xdr:twoCellAnchor>
  <xdr:twoCellAnchor editAs="oneCell">
    <xdr:from>
      <xdr:col>12</xdr:col>
      <xdr:colOff>168853</xdr:colOff>
      <xdr:row>40</xdr:row>
      <xdr:rowOff>90826</xdr:rowOff>
    </xdr:from>
    <xdr:to>
      <xdr:col>14</xdr:col>
      <xdr:colOff>180734</xdr:colOff>
      <xdr:row>47</xdr:row>
      <xdr:rowOff>45391</xdr:rowOff>
    </xdr:to>
    <xdr:pic>
      <xdr:nvPicPr>
        <xdr:cNvPr id="18" name="Grafik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Effect>
                    <a14:saturation sat="400000"/>
                  </a14:imgEffect>
                </a14:imgLayer>
              </a14:imgProps>
            </a:ext>
          </a:extLst>
        </a:blip>
        <a:stretch>
          <a:fillRect/>
        </a:stretch>
      </xdr:blipFill>
      <xdr:spPr>
        <a:xfrm>
          <a:off x="3274003" y="6901201"/>
          <a:ext cx="450031" cy="1088040"/>
        </a:xfrm>
        <a:prstGeom prst="rect">
          <a:avLst/>
        </a:prstGeom>
      </xdr:spPr>
    </xdr:pic>
    <xdr:clientData/>
  </xdr:twoCellAnchor>
  <xdr:twoCellAnchor>
    <xdr:from>
      <xdr:col>14</xdr:col>
      <xdr:colOff>69695</xdr:colOff>
      <xdr:row>46</xdr:row>
      <xdr:rowOff>108000</xdr:rowOff>
    </xdr:from>
    <xdr:to>
      <xdr:col>14</xdr:col>
      <xdr:colOff>201706</xdr:colOff>
      <xdr:row>50</xdr:row>
      <xdr:rowOff>59872</xdr:rowOff>
    </xdr:to>
    <xdr:sp macro="" textlink="">
      <xdr:nvSpPr>
        <xdr:cNvPr id="19" name="Rechteck 18">
          <a:extLst>
            <a:ext uri="{FF2B5EF4-FFF2-40B4-BE49-F238E27FC236}">
              <a16:creationId xmlns:a16="http://schemas.microsoft.com/office/drawing/2014/main" id="{00000000-0008-0000-0B00-000013000000}"/>
            </a:ext>
          </a:extLst>
        </xdr:cNvPr>
        <xdr:cNvSpPr/>
      </xdr:nvSpPr>
      <xdr:spPr>
        <a:xfrm>
          <a:off x="3612995" y="7889925"/>
          <a:ext cx="132011" cy="5995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29738</xdr:colOff>
      <xdr:row>46</xdr:row>
      <xdr:rowOff>106709</xdr:rowOff>
    </xdr:from>
    <xdr:to>
      <xdr:col>4</xdr:col>
      <xdr:colOff>131958</xdr:colOff>
      <xdr:row>50</xdr:row>
      <xdr:rowOff>59871</xdr:rowOff>
    </xdr:to>
    <xdr:sp macro="" textlink="">
      <xdr:nvSpPr>
        <xdr:cNvPr id="20" name="Rechteck 19">
          <a:extLst>
            <a:ext uri="{FF2B5EF4-FFF2-40B4-BE49-F238E27FC236}">
              <a16:creationId xmlns:a16="http://schemas.microsoft.com/office/drawing/2014/main" id="{00000000-0008-0000-0B00-000014000000}"/>
            </a:ext>
          </a:extLst>
        </xdr:cNvPr>
        <xdr:cNvSpPr/>
      </xdr:nvSpPr>
      <xdr:spPr>
        <a:xfrm>
          <a:off x="1296563" y="7888634"/>
          <a:ext cx="187945" cy="60086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41608</xdr:rowOff>
    </xdr:from>
    <xdr:to>
      <xdr:col>14</xdr:col>
      <xdr:colOff>209550</xdr:colOff>
      <xdr:row>49</xdr:row>
      <xdr:rowOff>41608</xdr:rowOff>
    </xdr:to>
    <xdr:cxnSp macro="">
      <xdr:nvCxnSpPr>
        <xdr:cNvPr id="21" name="Gerader Verbinder 20">
          <a:extLst>
            <a:ext uri="{FF2B5EF4-FFF2-40B4-BE49-F238E27FC236}">
              <a16:creationId xmlns:a16="http://schemas.microsoft.com/office/drawing/2014/main" id="{00000000-0008-0000-0B00-000015000000}"/>
            </a:ext>
          </a:extLst>
        </xdr:cNvPr>
        <xdr:cNvCxnSpPr/>
      </xdr:nvCxnSpPr>
      <xdr:spPr>
        <a:xfrm>
          <a:off x="1308497" y="8309308"/>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54</xdr:row>
      <xdr:rowOff>85112</xdr:rowOff>
    </xdr:from>
    <xdr:to>
      <xdr:col>26</xdr:col>
      <xdr:colOff>111141</xdr:colOff>
      <xdr:row>58</xdr:row>
      <xdr:rowOff>78280</xdr:rowOff>
    </xdr:to>
    <xdr:cxnSp macro="">
      <xdr:nvCxnSpPr>
        <xdr:cNvPr id="22" name="Gerader Verbinder 21">
          <a:extLst>
            <a:ext uri="{FF2B5EF4-FFF2-40B4-BE49-F238E27FC236}">
              <a16:creationId xmlns:a16="http://schemas.microsoft.com/office/drawing/2014/main" id="{00000000-0008-0000-0B00-000016000000}"/>
            </a:ext>
          </a:extLst>
        </xdr:cNvPr>
        <xdr:cNvCxnSpPr/>
      </xdr:nvCxnSpPr>
      <xdr:spPr>
        <a:xfrm>
          <a:off x="6283341" y="9162437"/>
          <a:ext cx="0" cy="64086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168858</xdr:rowOff>
    </xdr:from>
    <xdr:to>
      <xdr:col>26</xdr:col>
      <xdr:colOff>196235</xdr:colOff>
      <xdr:row>57</xdr:row>
      <xdr:rowOff>168858</xdr:rowOff>
    </xdr:to>
    <xdr:cxnSp macro="">
      <xdr:nvCxnSpPr>
        <xdr:cNvPr id="23" name="Gerader Verbinder 22">
          <a:extLst>
            <a:ext uri="{FF2B5EF4-FFF2-40B4-BE49-F238E27FC236}">
              <a16:creationId xmlns:a16="http://schemas.microsoft.com/office/drawing/2014/main" id="{00000000-0008-0000-0B00-000017000000}"/>
            </a:ext>
          </a:extLst>
        </xdr:cNvPr>
        <xdr:cNvCxnSpPr/>
      </xdr:nvCxnSpPr>
      <xdr:spPr>
        <a:xfrm>
          <a:off x="5402745" y="972243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53</xdr:row>
      <xdr:rowOff>144037</xdr:rowOff>
    </xdr:to>
    <xdr:cxnSp macro="">
      <xdr:nvCxnSpPr>
        <xdr:cNvPr id="24" name="Gerader Verbinder 23">
          <a:extLst>
            <a:ext uri="{FF2B5EF4-FFF2-40B4-BE49-F238E27FC236}">
              <a16:creationId xmlns:a16="http://schemas.microsoft.com/office/drawing/2014/main" id="{00000000-0008-0000-0B00-000018000000}"/>
            </a:ext>
          </a:extLst>
        </xdr:cNvPr>
        <xdr:cNvCxnSpPr/>
      </xdr:nvCxnSpPr>
      <xdr:spPr>
        <a:xfrm>
          <a:off x="6282933" y="6073074"/>
          <a:ext cx="0" cy="298636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53</xdr:row>
      <xdr:rowOff>57454</xdr:rowOff>
    </xdr:from>
    <xdr:to>
      <xdr:col>26</xdr:col>
      <xdr:colOff>197625</xdr:colOff>
      <xdr:row>53</xdr:row>
      <xdr:rowOff>57454</xdr:rowOff>
    </xdr:to>
    <xdr:cxnSp macro="">
      <xdr:nvCxnSpPr>
        <xdr:cNvPr id="25" name="Gerader Verbinder 24">
          <a:extLst>
            <a:ext uri="{FF2B5EF4-FFF2-40B4-BE49-F238E27FC236}">
              <a16:creationId xmlns:a16="http://schemas.microsoft.com/office/drawing/2014/main" id="{00000000-0008-0000-0B00-000019000000}"/>
            </a:ext>
          </a:extLst>
        </xdr:cNvPr>
        <xdr:cNvCxnSpPr/>
      </xdr:nvCxnSpPr>
      <xdr:spPr>
        <a:xfrm>
          <a:off x="5404135" y="897285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89820</xdr:colOff>
      <xdr:row>35</xdr:row>
      <xdr:rowOff>150759</xdr:rowOff>
    </xdr:from>
    <xdr:to>
      <xdr:col>26</xdr:col>
      <xdr:colOff>179210</xdr:colOff>
      <xdr:row>35</xdr:row>
      <xdr:rowOff>150759</xdr:rowOff>
    </xdr:to>
    <xdr:cxnSp macro="">
      <xdr:nvCxnSpPr>
        <xdr:cNvPr id="26" name="Gerader Verbinder 25">
          <a:extLst>
            <a:ext uri="{FF2B5EF4-FFF2-40B4-BE49-F238E27FC236}">
              <a16:creationId xmlns:a16="http://schemas.microsoft.com/office/drawing/2014/main" id="{00000000-0008-0000-0B00-00001A000000}"/>
            </a:ext>
          </a:extLst>
        </xdr:cNvPr>
        <xdr:cNvCxnSpPr/>
      </xdr:nvCxnSpPr>
      <xdr:spPr>
        <a:xfrm>
          <a:off x="5385720" y="6151509"/>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57</xdr:row>
      <xdr:rowOff>101693</xdr:rowOff>
    </xdr:from>
    <xdr:to>
      <xdr:col>26</xdr:col>
      <xdr:colOff>174620</xdr:colOff>
      <xdr:row>58</xdr:row>
      <xdr:rowOff>43878</xdr:rowOff>
    </xdr:to>
    <xdr:cxnSp macro="">
      <xdr:nvCxnSpPr>
        <xdr:cNvPr id="27" name="Gerader Verbinder 26">
          <a:extLst>
            <a:ext uri="{FF2B5EF4-FFF2-40B4-BE49-F238E27FC236}">
              <a16:creationId xmlns:a16="http://schemas.microsoft.com/office/drawing/2014/main" id="{00000000-0008-0000-0B00-00001B000000}"/>
            </a:ext>
          </a:extLst>
        </xdr:cNvPr>
        <xdr:cNvCxnSpPr/>
      </xdr:nvCxnSpPr>
      <xdr:spPr>
        <a:xfrm flipV="1">
          <a:off x="6232116" y="9664793"/>
          <a:ext cx="114704" cy="104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52</xdr:row>
      <xdr:rowOff>160104</xdr:rowOff>
    </xdr:from>
    <xdr:to>
      <xdr:col>26</xdr:col>
      <xdr:colOff>172696</xdr:colOff>
      <xdr:row>53</xdr:row>
      <xdr:rowOff>110583</xdr:rowOff>
    </xdr:to>
    <xdr:cxnSp macro="">
      <xdr:nvCxnSpPr>
        <xdr:cNvPr id="28" name="Gerader Verbinder 27">
          <a:extLst>
            <a:ext uri="{FF2B5EF4-FFF2-40B4-BE49-F238E27FC236}">
              <a16:creationId xmlns:a16="http://schemas.microsoft.com/office/drawing/2014/main" id="{00000000-0008-0000-0B00-00001C000000}"/>
            </a:ext>
          </a:extLst>
        </xdr:cNvPr>
        <xdr:cNvCxnSpPr/>
      </xdr:nvCxnSpPr>
      <xdr:spPr>
        <a:xfrm flipV="1">
          <a:off x="6230192" y="8913579"/>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9" name="Gerader Verbinder 28">
          <a:extLst>
            <a:ext uri="{FF2B5EF4-FFF2-40B4-BE49-F238E27FC236}">
              <a16:creationId xmlns:a16="http://schemas.microsoft.com/office/drawing/2014/main" id="{00000000-0008-0000-0B00-00001D000000}"/>
            </a:ext>
          </a:extLst>
        </xdr:cNvPr>
        <xdr:cNvCxnSpPr/>
      </xdr:nvCxnSpPr>
      <xdr:spPr>
        <a:xfrm flipV="1">
          <a:off x="6225561" y="6096556"/>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5361" name="Drop Down 1" hidden="1">
              <a:extLst>
                <a:ext uri="{63B3BB69-23CF-44E3-9099-C40C66FF867C}">
                  <a14:compatExt spid="_x0000_s15361"/>
                </a:ext>
                <a:ext uri="{FF2B5EF4-FFF2-40B4-BE49-F238E27FC236}">
                  <a16:creationId xmlns:a16="http://schemas.microsoft.com/office/drawing/2014/main" id="{00000000-0008-0000-0B00-00000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1" name="Grafik 30">
          <a:extLst>
            <a:ext uri="{FF2B5EF4-FFF2-40B4-BE49-F238E27FC236}">
              <a16:creationId xmlns:a16="http://schemas.microsoft.com/office/drawing/2014/main" id="{00000000-0008-0000-0B00-00001F000000}"/>
            </a:ext>
          </a:extLst>
        </xdr:cNvPr>
        <xdr:cNvPicPr>
          <a:picLocks noChangeAspect="1"/>
        </xdr:cNvPicPr>
      </xdr:nvPicPr>
      <xdr:blipFill rotWithShape="1">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rcRect t="3845" b="7693"/>
        <a:stretch/>
      </xdr:blipFill>
      <xdr:spPr>
        <a:xfrm>
          <a:off x="2723027" y="6112809"/>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787</xdr:rowOff>
    </xdr:to>
    <xdr:pic>
      <xdr:nvPicPr>
        <xdr:cNvPr id="32" name="Grafik 31">
          <a:extLst>
            <a:ext uri="{FF2B5EF4-FFF2-40B4-BE49-F238E27FC236}">
              <a16:creationId xmlns:a16="http://schemas.microsoft.com/office/drawing/2014/main" id="{00000000-0008-0000-0B00-000020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101605"/>
          <a:ext cx="1006848" cy="547632"/>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B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B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B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B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B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B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B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B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B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0</xdr:colOff>
          <xdr:row>32</xdr:row>
          <xdr:rowOff>0</xdr:rowOff>
        </xdr:from>
        <xdr:to>
          <xdr:col>41</xdr:col>
          <xdr:colOff>0</xdr:colOff>
          <xdr:row>33</xdr:row>
          <xdr:rowOff>0</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B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4</xdr:row>
          <xdr:rowOff>171450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B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B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6</xdr:row>
          <xdr:rowOff>0</xdr:rowOff>
        </xdr:from>
        <xdr:to>
          <xdr:col>43</xdr:col>
          <xdr:colOff>0</xdr:colOff>
          <xdr:row>7</xdr:row>
          <xdr:rowOff>19050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B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B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B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B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B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45407</xdr:colOff>
      <xdr:row>48</xdr:row>
      <xdr:rowOff>134587</xdr:rowOff>
    </xdr:from>
    <xdr:to>
      <xdr:col>4</xdr:col>
      <xdr:colOff>73735</xdr:colOff>
      <xdr:row>49</xdr:row>
      <xdr:rowOff>95502</xdr:rowOff>
    </xdr:to>
    <xdr:cxnSp macro="">
      <xdr:nvCxnSpPr>
        <xdr:cNvPr id="50" name="Gerader Verbinder 49">
          <a:extLst>
            <a:ext uri="{FF2B5EF4-FFF2-40B4-BE49-F238E27FC236}">
              <a16:creationId xmlns:a16="http://schemas.microsoft.com/office/drawing/2014/main" id="{00000000-0008-0000-0B00-000032000000}"/>
            </a:ext>
          </a:extLst>
        </xdr:cNvPr>
        <xdr:cNvCxnSpPr/>
      </xdr:nvCxnSpPr>
      <xdr:spPr>
        <a:xfrm flipV="1">
          <a:off x="1312232" y="8240362"/>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94224</xdr:colOff>
      <xdr:row>48</xdr:row>
      <xdr:rowOff>130502</xdr:rowOff>
    </xdr:from>
    <xdr:to>
      <xdr:col>14</xdr:col>
      <xdr:colOff>205896</xdr:colOff>
      <xdr:row>49</xdr:row>
      <xdr:rowOff>93711</xdr:rowOff>
    </xdr:to>
    <xdr:cxnSp macro="">
      <xdr:nvCxnSpPr>
        <xdr:cNvPr id="51" name="Gerader Verbinder 50">
          <a:extLst>
            <a:ext uri="{FF2B5EF4-FFF2-40B4-BE49-F238E27FC236}">
              <a16:creationId xmlns:a16="http://schemas.microsoft.com/office/drawing/2014/main" id="{00000000-0008-0000-0B00-000033000000}"/>
            </a:ext>
          </a:extLst>
        </xdr:cNvPr>
        <xdr:cNvCxnSpPr/>
      </xdr:nvCxnSpPr>
      <xdr:spPr>
        <a:xfrm flipV="1">
          <a:off x="3637524" y="823627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57150</xdr:rowOff>
        </xdr:from>
        <xdr:to>
          <xdr:col>7</xdr:col>
          <xdr:colOff>38100</xdr:colOff>
          <xdr:row>44</xdr:row>
          <xdr:rowOff>57150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B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57150</xdr:rowOff>
        </xdr:from>
        <xdr:to>
          <xdr:col>12</xdr:col>
          <xdr:colOff>152400</xdr:colOff>
          <xdr:row>44</xdr:row>
          <xdr:rowOff>47625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B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114300</xdr:rowOff>
        </xdr:from>
        <xdr:to>
          <xdr:col>9</xdr:col>
          <xdr:colOff>47625</xdr:colOff>
          <xdr:row>53</xdr:row>
          <xdr:rowOff>114300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B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52</xdr:row>
          <xdr:rowOff>114300</xdr:rowOff>
        </xdr:from>
        <xdr:to>
          <xdr:col>10</xdr:col>
          <xdr:colOff>76200</xdr:colOff>
          <xdr:row>53</xdr:row>
          <xdr:rowOff>114300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B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44</xdr:row>
      <xdr:rowOff>96582</xdr:rowOff>
    </xdr:from>
    <xdr:to>
      <xdr:col>14</xdr:col>
      <xdr:colOff>152400</xdr:colOff>
      <xdr:row>50</xdr:row>
      <xdr:rowOff>81643</xdr:rowOff>
    </xdr:to>
    <xdr:cxnSp macro="">
      <xdr:nvCxnSpPr>
        <xdr:cNvPr id="56" name="Gerader Verbinder 55">
          <a:extLst>
            <a:ext uri="{FF2B5EF4-FFF2-40B4-BE49-F238E27FC236}">
              <a16:creationId xmlns:a16="http://schemas.microsoft.com/office/drawing/2014/main" id="{00000000-0008-0000-0B00-000038000000}"/>
            </a:ext>
          </a:extLst>
        </xdr:cNvPr>
        <xdr:cNvCxnSpPr/>
      </xdr:nvCxnSpPr>
      <xdr:spPr>
        <a:xfrm>
          <a:off x="3695700" y="7554657"/>
          <a:ext cx="0" cy="95661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44</xdr:row>
      <xdr:rowOff>46933</xdr:rowOff>
    </xdr:from>
    <xdr:to>
      <xdr:col>4</xdr:col>
      <xdr:colOff>19050</xdr:colOff>
      <xdr:row>50</xdr:row>
      <xdr:rowOff>70757</xdr:rowOff>
    </xdr:to>
    <xdr:cxnSp macro="">
      <xdr:nvCxnSpPr>
        <xdr:cNvPr id="57" name="Gerader Verbinder 56">
          <a:extLst>
            <a:ext uri="{FF2B5EF4-FFF2-40B4-BE49-F238E27FC236}">
              <a16:creationId xmlns:a16="http://schemas.microsoft.com/office/drawing/2014/main" id="{00000000-0008-0000-0B00-000039000000}"/>
            </a:ext>
          </a:extLst>
        </xdr:cNvPr>
        <xdr:cNvCxnSpPr/>
      </xdr:nvCxnSpPr>
      <xdr:spPr>
        <a:xfrm>
          <a:off x="1371600" y="7505008"/>
          <a:ext cx="0" cy="99537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B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B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30</xdr:col>
      <xdr:colOff>41413</xdr:colOff>
      <xdr:row>60</xdr:row>
      <xdr:rowOff>11207</xdr:rowOff>
    </xdr:from>
    <xdr:to>
      <xdr:col>45</xdr:col>
      <xdr:colOff>731</xdr:colOff>
      <xdr:row>67</xdr:row>
      <xdr:rowOff>84863</xdr:rowOff>
    </xdr:to>
    <xdr:pic>
      <xdr:nvPicPr>
        <xdr:cNvPr id="60" name="Grafik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39">
          <a:duotone>
            <a:prstClr val="black"/>
            <a:schemeClr val="bg1">
              <a:lumMod val="65000"/>
              <a:tint val="45000"/>
              <a:satMod val="400000"/>
            </a:schemeClr>
          </a:duotone>
        </a:blip>
        <a:stretch>
          <a:fillRect/>
        </a:stretch>
      </xdr:blipFill>
      <xdr:spPr>
        <a:xfrm>
          <a:off x="7089913" y="10060082"/>
          <a:ext cx="3121618" cy="12071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B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62</xdr:row>
          <xdr:rowOff>0</xdr:rowOff>
        </xdr:from>
        <xdr:to>
          <xdr:col>35</xdr:col>
          <xdr:colOff>9525</xdr:colOff>
          <xdr:row>63</xdr:row>
          <xdr:rowOff>9525</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B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161925</xdr:colOff>
          <xdr:row>62</xdr:row>
          <xdr:rowOff>0</xdr:rowOff>
        </xdr:from>
        <xdr:to>
          <xdr:col>38</xdr:col>
          <xdr:colOff>152400</xdr:colOff>
          <xdr:row>63</xdr:row>
          <xdr:rowOff>19050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B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142875</xdr:colOff>
          <xdr:row>62</xdr:row>
          <xdr:rowOff>0</xdr:rowOff>
        </xdr:from>
        <xdr:to>
          <xdr:col>42</xdr:col>
          <xdr:colOff>142875</xdr:colOff>
          <xdr:row>63</xdr:row>
          <xdr:rowOff>9525</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B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B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B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B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B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B00-000045000000}"/>
            </a:ext>
          </a:extLst>
        </xdr:cNvPr>
        <xdr:cNvCxnSpPr/>
      </xdr:nvCxnSpPr>
      <xdr:spPr>
        <a:xfrm>
          <a:off x="5464488" y="7982067"/>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B00-000046000000}"/>
            </a:ext>
          </a:extLst>
        </xdr:cNvPr>
        <xdr:cNvCxnSpPr/>
      </xdr:nvCxnSpPr>
      <xdr:spPr>
        <a:xfrm>
          <a:off x="5620705" y="7365845"/>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B00-000047000000}"/>
            </a:ext>
          </a:extLst>
        </xdr:cNvPr>
        <xdr:cNvCxnSpPr/>
      </xdr:nvCxnSpPr>
      <xdr:spPr>
        <a:xfrm>
          <a:off x="5094773" y="7461363"/>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72" name="Gerader Verbinder 71">
          <a:extLst>
            <a:ext uri="{FF2B5EF4-FFF2-40B4-BE49-F238E27FC236}">
              <a16:creationId xmlns:a16="http://schemas.microsoft.com/office/drawing/2014/main" id="{00000000-0008-0000-0B00-000048000000}"/>
            </a:ext>
          </a:extLst>
        </xdr:cNvPr>
        <xdr:cNvCxnSpPr/>
      </xdr:nvCxnSpPr>
      <xdr:spPr>
        <a:xfrm flipV="1">
          <a:off x="5564542" y="74039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3" name="Gerader Verbinder 72">
          <a:extLst>
            <a:ext uri="{FF2B5EF4-FFF2-40B4-BE49-F238E27FC236}">
              <a16:creationId xmlns:a16="http://schemas.microsoft.com/office/drawing/2014/main" id="{00000000-0008-0000-0B00-000049000000}"/>
            </a:ext>
          </a:extLst>
        </xdr:cNvPr>
        <xdr:cNvCxnSpPr/>
      </xdr:nvCxnSpPr>
      <xdr:spPr>
        <a:xfrm flipV="1">
          <a:off x="5564542" y="7922267"/>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B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B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B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B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B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B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B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B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94</xdr:row>
          <xdr:rowOff>0</xdr:rowOff>
        </xdr:from>
        <xdr:to>
          <xdr:col>21</xdr:col>
          <xdr:colOff>0</xdr:colOff>
          <xdr:row>95</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B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123263</xdr:rowOff>
    </xdr:from>
    <xdr:to>
      <xdr:col>16</xdr:col>
      <xdr:colOff>156882</xdr:colOff>
      <xdr:row>75</xdr:row>
      <xdr:rowOff>133829</xdr:rowOff>
    </xdr:to>
    <xdr:sp macro="" textlink="">
      <xdr:nvSpPr>
        <xdr:cNvPr id="83" name="Rechteck 82">
          <a:extLst>
            <a:ext uri="{FF2B5EF4-FFF2-40B4-BE49-F238E27FC236}">
              <a16:creationId xmlns:a16="http://schemas.microsoft.com/office/drawing/2014/main" id="{00000000-0008-0000-0B00-000053000000}"/>
            </a:ext>
          </a:extLst>
        </xdr:cNvPr>
        <xdr:cNvSpPr/>
      </xdr:nvSpPr>
      <xdr:spPr>
        <a:xfrm>
          <a:off x="3964620" y="12115238"/>
          <a:ext cx="173712" cy="49634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B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B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B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17288</xdr:rowOff>
    </xdr:to>
    <xdr:sp macro="" textlink="">
      <xdr:nvSpPr>
        <xdr:cNvPr id="87" name="Rechteck 86">
          <a:extLst>
            <a:ext uri="{FF2B5EF4-FFF2-40B4-BE49-F238E27FC236}">
              <a16:creationId xmlns:a16="http://schemas.microsoft.com/office/drawing/2014/main" id="{00000000-0008-0000-0B00-000057000000}"/>
            </a:ext>
          </a:extLst>
        </xdr:cNvPr>
        <xdr:cNvSpPr/>
      </xdr:nvSpPr>
      <xdr:spPr>
        <a:xfrm>
          <a:off x="3432341" y="13084971"/>
          <a:ext cx="186551" cy="53401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B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9" name="Rechteck 88">
          <a:extLst>
            <a:ext uri="{FF2B5EF4-FFF2-40B4-BE49-F238E27FC236}">
              <a16:creationId xmlns:a16="http://schemas.microsoft.com/office/drawing/2014/main" id="{00000000-0008-0000-0B00-000059000000}"/>
            </a:ext>
          </a:extLst>
        </xdr:cNvPr>
        <xdr:cNvSpPr/>
      </xdr:nvSpPr>
      <xdr:spPr>
        <a:xfrm>
          <a:off x="3365106" y="10376577"/>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28575</xdr:colOff>
          <xdr:row>62</xdr:row>
          <xdr:rowOff>57150</xdr:rowOff>
        </xdr:from>
        <xdr:to>
          <xdr:col>14</xdr:col>
          <xdr:colOff>38100</xdr:colOff>
          <xdr:row>63</xdr:row>
          <xdr:rowOff>57150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B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11</xdr:col>
      <xdr:colOff>81222</xdr:colOff>
      <xdr:row>68</xdr:row>
      <xdr:rowOff>51546</xdr:rowOff>
    </xdr:from>
    <xdr:to>
      <xdr:col>12</xdr:col>
      <xdr:colOff>29135</xdr:colOff>
      <xdr:row>69</xdr:row>
      <xdr:rowOff>147276</xdr:rowOff>
    </xdr:to>
    <xdr:sp macro="" textlink="">
      <xdr:nvSpPr>
        <xdr:cNvPr id="91" name="Rechteck 90">
          <a:extLst>
            <a:ext uri="{FF2B5EF4-FFF2-40B4-BE49-F238E27FC236}">
              <a16:creationId xmlns:a16="http://schemas.microsoft.com/office/drawing/2014/main" id="{00000000-0008-0000-0B00-00005B000000}"/>
            </a:ext>
          </a:extLst>
        </xdr:cNvPr>
        <xdr:cNvSpPr/>
      </xdr:nvSpPr>
      <xdr:spPr>
        <a:xfrm>
          <a:off x="2967297" y="11395821"/>
          <a:ext cx="166988"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11</xdr:col>
          <xdr:colOff>28575</xdr:colOff>
          <xdr:row>68</xdr:row>
          <xdr:rowOff>47625</xdr:rowOff>
        </xdr:from>
        <xdr:to>
          <xdr:col>12</xdr:col>
          <xdr:colOff>38100</xdr:colOff>
          <xdr:row>69</xdr:row>
          <xdr:rowOff>47625</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B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B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56</xdr:row>
          <xdr:rowOff>0</xdr:rowOff>
        </xdr:from>
        <xdr:to>
          <xdr:col>24</xdr:col>
          <xdr:colOff>0</xdr:colOff>
          <xdr:row>57</xdr:row>
          <xdr:rowOff>38100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B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5" name="Gerader Verbinder 94">
          <a:extLst>
            <a:ext uri="{FF2B5EF4-FFF2-40B4-BE49-F238E27FC236}">
              <a16:creationId xmlns:a16="http://schemas.microsoft.com/office/drawing/2014/main" id="{00000000-0008-0000-0B00-00005F000000}"/>
            </a:ext>
          </a:extLst>
        </xdr:cNvPr>
        <xdr:cNvCxnSpPr/>
      </xdr:nvCxnSpPr>
      <xdr:spPr>
        <a:xfrm flipV="1">
          <a:off x="1296709" y="4918902"/>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40</xdr:col>
          <xdr:colOff>0</xdr:colOff>
          <xdr:row>33</xdr:row>
          <xdr:rowOff>0</xdr:rowOff>
        </xdr:from>
        <xdr:to>
          <xdr:col>41</xdr:col>
          <xdr:colOff>0</xdr:colOff>
          <xdr:row>34</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B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7" name="Gerader Verbinder 96">
          <a:extLst>
            <a:ext uri="{FF2B5EF4-FFF2-40B4-BE49-F238E27FC236}">
              <a16:creationId xmlns:a16="http://schemas.microsoft.com/office/drawing/2014/main" id="{00000000-0008-0000-0B00-000061000000}"/>
            </a:ext>
          </a:extLst>
        </xdr:cNvPr>
        <xdr:cNvCxnSpPr/>
      </xdr:nvCxnSpPr>
      <xdr:spPr>
        <a:xfrm flipV="1">
          <a:off x="2170217" y="492485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8" name="Gerader Verbinder 97">
          <a:extLst>
            <a:ext uri="{FF2B5EF4-FFF2-40B4-BE49-F238E27FC236}">
              <a16:creationId xmlns:a16="http://schemas.microsoft.com/office/drawing/2014/main" id="{00000000-0008-0000-0B00-000062000000}"/>
            </a:ext>
          </a:extLst>
        </xdr:cNvPr>
        <xdr:cNvCxnSpPr/>
      </xdr:nvCxnSpPr>
      <xdr:spPr>
        <a:xfrm flipV="1">
          <a:off x="3044135" y="492842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9" name="Gerader Verbinder 98">
          <a:extLst>
            <a:ext uri="{FF2B5EF4-FFF2-40B4-BE49-F238E27FC236}">
              <a16:creationId xmlns:a16="http://schemas.microsoft.com/office/drawing/2014/main" id="{00000000-0008-0000-0B00-000063000000}"/>
            </a:ext>
          </a:extLst>
        </xdr:cNvPr>
        <xdr:cNvCxnSpPr/>
      </xdr:nvCxnSpPr>
      <xdr:spPr>
        <a:xfrm flipV="1">
          <a:off x="3924007" y="4926046"/>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0" name="Gerader Verbinder 99">
          <a:extLst>
            <a:ext uri="{FF2B5EF4-FFF2-40B4-BE49-F238E27FC236}">
              <a16:creationId xmlns:a16="http://schemas.microsoft.com/office/drawing/2014/main" id="{00000000-0008-0000-0B00-000064000000}"/>
            </a:ext>
          </a:extLst>
        </xdr:cNvPr>
        <xdr:cNvCxnSpPr/>
      </xdr:nvCxnSpPr>
      <xdr:spPr>
        <a:xfrm flipV="1">
          <a:off x="4797925" y="4923665"/>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1" name="Gerader Verbinder 100">
          <a:extLst>
            <a:ext uri="{FF2B5EF4-FFF2-40B4-BE49-F238E27FC236}">
              <a16:creationId xmlns:a16="http://schemas.microsoft.com/office/drawing/2014/main" id="{00000000-0008-0000-0B00-000065000000}"/>
            </a:ext>
          </a:extLst>
        </xdr:cNvPr>
        <xdr:cNvCxnSpPr/>
      </xdr:nvCxnSpPr>
      <xdr:spPr>
        <a:xfrm flipV="1">
          <a:off x="5677797" y="4927237"/>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2" name="Gerader Verbinder 101">
          <a:extLst>
            <a:ext uri="{FF2B5EF4-FFF2-40B4-BE49-F238E27FC236}">
              <a16:creationId xmlns:a16="http://schemas.microsoft.com/office/drawing/2014/main" id="{00000000-0008-0000-0B00-000066000000}"/>
            </a:ext>
          </a:extLst>
        </xdr:cNvPr>
        <xdr:cNvCxnSpPr/>
      </xdr:nvCxnSpPr>
      <xdr:spPr>
        <a:xfrm flipV="1">
          <a:off x="6551715" y="4924856"/>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3" name="Gerader Verbinder 102">
          <a:extLst>
            <a:ext uri="{FF2B5EF4-FFF2-40B4-BE49-F238E27FC236}">
              <a16:creationId xmlns:a16="http://schemas.microsoft.com/office/drawing/2014/main" id="{00000000-0008-0000-0B00-000067000000}"/>
            </a:ext>
          </a:extLst>
        </xdr:cNvPr>
        <xdr:cNvCxnSpPr/>
      </xdr:nvCxnSpPr>
      <xdr:spPr>
        <a:xfrm flipV="1">
          <a:off x="7431587" y="4922475"/>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4" name="Gerader Verbinder 103">
          <a:extLst>
            <a:ext uri="{FF2B5EF4-FFF2-40B4-BE49-F238E27FC236}">
              <a16:creationId xmlns:a16="http://schemas.microsoft.com/office/drawing/2014/main" id="{00000000-0008-0000-0B00-000068000000}"/>
            </a:ext>
          </a:extLst>
        </xdr:cNvPr>
        <xdr:cNvCxnSpPr/>
      </xdr:nvCxnSpPr>
      <xdr:spPr>
        <a:xfrm flipV="1">
          <a:off x="8305505" y="4926047"/>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5" name="Gerader Verbinder 104">
          <a:extLst>
            <a:ext uri="{FF2B5EF4-FFF2-40B4-BE49-F238E27FC236}">
              <a16:creationId xmlns:a16="http://schemas.microsoft.com/office/drawing/2014/main" id="{00000000-0008-0000-0B00-000069000000}"/>
            </a:ext>
          </a:extLst>
        </xdr:cNvPr>
        <xdr:cNvCxnSpPr/>
      </xdr:nvCxnSpPr>
      <xdr:spPr>
        <a:xfrm flipV="1">
          <a:off x="9179424" y="4917713"/>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6" name="Gerader Verbinder 105">
          <a:extLst>
            <a:ext uri="{FF2B5EF4-FFF2-40B4-BE49-F238E27FC236}">
              <a16:creationId xmlns:a16="http://schemas.microsoft.com/office/drawing/2014/main" id="{00000000-0008-0000-0B00-00006A000000}"/>
            </a:ext>
          </a:extLst>
        </xdr:cNvPr>
        <xdr:cNvCxnSpPr/>
      </xdr:nvCxnSpPr>
      <xdr:spPr>
        <a:xfrm flipV="1">
          <a:off x="10059296" y="4927238"/>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7" name="Grafik 106">
          <a:extLst>
            <a:ext uri="{FF2B5EF4-FFF2-40B4-BE49-F238E27FC236}">
              <a16:creationId xmlns:a16="http://schemas.microsoft.com/office/drawing/2014/main" id="{00000000-0008-0000-0B00-00006B000000}"/>
            </a:ext>
          </a:extLst>
        </xdr:cNvPr>
        <xdr:cNvPicPr>
          <a:picLocks noChangeAspect="1"/>
        </xdr:cNvPicPr>
      </xdr:nvPicPr>
      <xdr:blipFill>
        <a:blip xmlns:r="http://schemas.openxmlformats.org/officeDocument/2006/relationships" r:embed="rId40"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B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B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B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B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12" name="Grafik 111">
          <a:extLst>
            <a:ext uri="{FF2B5EF4-FFF2-40B4-BE49-F238E27FC236}">
              <a16:creationId xmlns:a16="http://schemas.microsoft.com/office/drawing/2014/main" id="{00000000-0008-0000-0B00-000070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77" t="10351" r="77528" b="74663"/>
        <a:stretch/>
      </xdr:blipFill>
      <xdr:spPr>
        <a:xfrm>
          <a:off x="6472514" y="16927236"/>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13" name="Grafik 112">
          <a:extLst>
            <a:ext uri="{FF2B5EF4-FFF2-40B4-BE49-F238E27FC236}">
              <a16:creationId xmlns:a16="http://schemas.microsoft.com/office/drawing/2014/main" id="{00000000-0008-0000-0B00-000071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25697" t="10250" r="56015" b="76270"/>
        <a:stretch/>
      </xdr:blipFill>
      <xdr:spPr>
        <a:xfrm>
          <a:off x="7721414" y="16912589"/>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14" name="Grafik 113">
          <a:extLst>
            <a:ext uri="{FF2B5EF4-FFF2-40B4-BE49-F238E27FC236}">
              <a16:creationId xmlns:a16="http://schemas.microsoft.com/office/drawing/2014/main" id="{00000000-0008-0000-0B00-000072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8824" t="10375" r="34746" b="74144"/>
        <a:stretch/>
      </xdr:blipFill>
      <xdr:spPr>
        <a:xfrm>
          <a:off x="9146522" y="16926583"/>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15" name="Grafik 114">
          <a:extLst>
            <a:ext uri="{FF2B5EF4-FFF2-40B4-BE49-F238E27FC236}">
              <a16:creationId xmlns:a16="http://schemas.microsoft.com/office/drawing/2014/main" id="{00000000-0008-0000-0B00-000073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2700" r="40451" b="43145"/>
        <a:stretch/>
      </xdr:blipFill>
      <xdr:spPr>
        <a:xfrm>
          <a:off x="6563926" y="18598454"/>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165007</xdr:rowOff>
    </xdr:to>
    <xdr:pic>
      <xdr:nvPicPr>
        <xdr:cNvPr id="116" name="Grafik 115">
          <a:extLst>
            <a:ext uri="{FF2B5EF4-FFF2-40B4-BE49-F238E27FC236}">
              <a16:creationId xmlns:a16="http://schemas.microsoft.com/office/drawing/2014/main" id="{00000000-0008-0000-0B00-000074000000}"/>
            </a:ext>
          </a:extLst>
        </xdr:cNvPr>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46350" t="40330" r="40451" b="41065"/>
        <a:stretch/>
      </xdr:blipFill>
      <xdr:spPr>
        <a:xfrm>
          <a:off x="9225824" y="18373736"/>
          <a:ext cx="884662" cy="1784246"/>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7" name="Rechteck 116">
          <a:extLst>
            <a:ext uri="{FF2B5EF4-FFF2-40B4-BE49-F238E27FC236}">
              <a16:creationId xmlns:a16="http://schemas.microsoft.com/office/drawing/2014/main" id="{00000000-0008-0000-0B00-000075000000}"/>
            </a:ext>
          </a:extLst>
        </xdr:cNvPr>
        <xdr:cNvSpPr/>
      </xdr:nvSpPr>
      <xdr:spPr>
        <a:xfrm>
          <a:off x="7861588" y="18498815"/>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179296</xdr:rowOff>
    </xdr:to>
    <xdr:pic>
      <xdr:nvPicPr>
        <xdr:cNvPr id="118" name="Grafik 117">
          <a:extLst>
            <a:ext uri="{FF2B5EF4-FFF2-40B4-BE49-F238E27FC236}">
              <a16:creationId xmlns:a16="http://schemas.microsoft.com/office/drawing/2014/main" id="{00000000-0008-0000-0B00-000076000000}"/>
            </a:ext>
          </a:extLst>
        </xdr:cNvPr>
        <xdr:cNvPicPr>
          <a:picLocks noChangeAspect="1"/>
        </xdr:cNvPicPr>
      </xdr:nvPicPr>
      <xdr:blipFill rotWithShape="1">
        <a:blip xmlns:r="http://schemas.openxmlformats.org/officeDocument/2006/relationships" r:embed="rId42" cstate="print">
          <a:duotone>
            <a:prstClr val="black"/>
            <a:schemeClr val="accent3">
              <a:tint val="45000"/>
              <a:satMod val="400000"/>
            </a:schemeClr>
          </a:duotone>
          <a:extLst>
            <a:ext uri="{BEBA8EAE-BF5A-486C-A8C5-ECC9F3942E4B}">
              <a14:imgProps xmlns:a14="http://schemas.microsoft.com/office/drawing/2010/main">
                <a14:imgLayer r:embed="rId43">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36731"/>
          <a:ext cx="3941304" cy="2183465"/>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116523</xdr:rowOff>
    </xdr:to>
    <xdr:pic>
      <xdr:nvPicPr>
        <xdr:cNvPr id="119" name="Grafik 118">
          <a:extLst>
            <a:ext uri="{FF2B5EF4-FFF2-40B4-BE49-F238E27FC236}">
              <a16:creationId xmlns:a16="http://schemas.microsoft.com/office/drawing/2014/main" id="{00000000-0008-0000-0B00-000077000000}"/>
            </a:ext>
          </a:extLst>
        </xdr:cNvPr>
        <xdr:cNvPicPr>
          <a:picLocks noChangeAspect="1"/>
        </xdr:cNvPicPr>
      </xdr:nvPicPr>
      <xdr:blipFill rotWithShape="1">
        <a:blip xmlns:r="http://schemas.openxmlformats.org/officeDocument/2006/relationships" r:embed="rId44" cstate="print">
          <a:extLst>
            <a:ext uri="{28A0092B-C50C-407E-A947-70E740481C1C}">
              <a14:useLocalDpi xmlns:a14="http://schemas.microsoft.com/office/drawing/2010/main" val="0"/>
            </a:ext>
          </a:extLst>
        </a:blip>
        <a:srcRect l="63390" t="41256" r="16917" b="41369"/>
        <a:stretch/>
      </xdr:blipFill>
      <xdr:spPr>
        <a:xfrm>
          <a:off x="7709911" y="18500722"/>
          <a:ext cx="1332502" cy="1608776"/>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0" name="Rechteck 119">
          <a:extLst>
            <a:ext uri="{FF2B5EF4-FFF2-40B4-BE49-F238E27FC236}">
              <a16:creationId xmlns:a16="http://schemas.microsoft.com/office/drawing/2014/main" id="{00000000-0008-0000-0B00-000078000000}"/>
            </a:ext>
          </a:extLst>
        </xdr:cNvPr>
        <xdr:cNvSpPr/>
      </xdr:nvSpPr>
      <xdr:spPr>
        <a:xfrm>
          <a:off x="4346202" y="14897100"/>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21" name="Pfeil nach rechts 16">
          <a:hlinkClick xmlns:r="http://schemas.openxmlformats.org/officeDocument/2006/relationships" r:id="rId45"/>
          <a:extLst>
            <a:ext uri="{FF2B5EF4-FFF2-40B4-BE49-F238E27FC236}">
              <a16:creationId xmlns:a16="http://schemas.microsoft.com/office/drawing/2014/main" id="{00000000-0008-0000-0B00-000079000000}"/>
            </a:ext>
          </a:extLst>
        </xdr:cNvPr>
        <xdr:cNvSpPr/>
      </xdr:nvSpPr>
      <xdr:spPr>
        <a:xfrm>
          <a:off x="14883653" y="4315230"/>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48</xdr:col>
      <xdr:colOff>22411</xdr:colOff>
      <xdr:row>75</xdr:row>
      <xdr:rowOff>33617</xdr:rowOff>
    </xdr:from>
    <xdr:to>
      <xdr:col>48</xdr:col>
      <xdr:colOff>706555</xdr:colOff>
      <xdr:row>79</xdr:row>
      <xdr:rowOff>131766</xdr:rowOff>
    </xdr:to>
    <xdr:pic>
      <xdr:nvPicPr>
        <xdr:cNvPr id="122" name="Grafik 121">
          <a:extLst>
            <a:ext uri="{FF2B5EF4-FFF2-40B4-BE49-F238E27FC236}">
              <a16:creationId xmlns:a16="http://schemas.microsoft.com/office/drawing/2014/main" id="{00000000-0008-0000-0B00-00007A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r="52107"/>
        <a:stretch/>
      </xdr:blipFill>
      <xdr:spPr>
        <a:xfrm>
          <a:off x="11271436" y="12511367"/>
          <a:ext cx="684144" cy="745849"/>
        </a:xfrm>
        <a:prstGeom prst="rect">
          <a:avLst/>
        </a:prstGeom>
        <a:ln>
          <a:noFill/>
        </a:ln>
      </xdr:spPr>
    </xdr:pic>
    <xdr:clientData/>
  </xdr:twoCellAnchor>
  <xdr:twoCellAnchor editAs="oneCell">
    <xdr:from>
      <xdr:col>49</xdr:col>
      <xdr:colOff>44824</xdr:colOff>
      <xdr:row>75</xdr:row>
      <xdr:rowOff>33618</xdr:rowOff>
    </xdr:from>
    <xdr:to>
      <xdr:col>49</xdr:col>
      <xdr:colOff>744445</xdr:colOff>
      <xdr:row>79</xdr:row>
      <xdr:rowOff>131767</xdr:rowOff>
    </xdr:to>
    <xdr:pic>
      <xdr:nvPicPr>
        <xdr:cNvPr id="123" name="Grafik 122">
          <a:extLst>
            <a:ext uri="{FF2B5EF4-FFF2-40B4-BE49-F238E27FC236}">
              <a16:creationId xmlns:a16="http://schemas.microsoft.com/office/drawing/2014/main" id="{00000000-0008-0000-0B00-00007B000000}"/>
            </a:ext>
          </a:extLst>
        </xdr:cNvPr>
        <xdr:cNvPicPr>
          <a:picLocks noChangeAspect="1"/>
        </xdr:cNvPicPr>
      </xdr:nvPicPr>
      <xdr:blipFill rotWithShape="1">
        <a:blip xmlns:r="http://schemas.openxmlformats.org/officeDocument/2006/relationships" r:embed="rId46">
          <a:duotone>
            <a:prstClr val="black"/>
            <a:schemeClr val="accent3">
              <a:tint val="45000"/>
              <a:satMod val="400000"/>
            </a:schemeClr>
          </a:duotone>
          <a:extLst>
            <a:ext uri="{BEBA8EAE-BF5A-486C-A8C5-ECC9F3942E4B}">
              <a14:imgProps xmlns:a14="http://schemas.microsoft.com/office/drawing/2010/main">
                <a14:imgLayer r:embed="rId47">
                  <a14:imgEffect>
                    <a14:colorTemperature colorTemp="11500"/>
                  </a14:imgEffect>
                </a14:imgLayer>
              </a14:imgProps>
            </a:ext>
          </a:extLst>
        </a:blip>
        <a:srcRect l="51024"/>
        <a:stretch/>
      </xdr:blipFill>
      <xdr:spPr>
        <a:xfrm>
          <a:off x="12055849" y="12511368"/>
          <a:ext cx="699621" cy="745849"/>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1</xdr:row>
      <xdr:rowOff>142875</xdr:rowOff>
    </xdr:from>
    <xdr:to>
      <xdr:col>2</xdr:col>
      <xdr:colOff>2678206</xdr:colOff>
      <xdr:row>2</xdr:row>
      <xdr:rowOff>310266</xdr:rowOff>
    </xdr:to>
    <xdr:pic>
      <xdr:nvPicPr>
        <xdr:cNvPr id="2" name="Grafik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5850" y="314325"/>
          <a:ext cx="2668681" cy="338841"/>
        </a:xfrm>
        <a:prstGeom prst="rect">
          <a:avLst/>
        </a:prstGeom>
      </xdr:spPr>
    </xdr:pic>
    <xdr:clientData/>
  </xdr:twoCellAnchor>
  <xdr:twoCellAnchor editAs="oneCell">
    <xdr:from>
      <xdr:col>2</xdr:col>
      <xdr:colOff>19050</xdr:colOff>
      <xdr:row>16</xdr:row>
      <xdr:rowOff>38100</xdr:rowOff>
    </xdr:from>
    <xdr:to>
      <xdr:col>2</xdr:col>
      <xdr:colOff>1781175</xdr:colOff>
      <xdr:row>16</xdr:row>
      <xdr:rowOff>1654437</xdr:rowOff>
    </xdr:to>
    <xdr:pic>
      <xdr:nvPicPr>
        <xdr:cNvPr id="3" name="Grafik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duotone>
            <a:prstClr val="black"/>
            <a:schemeClr val="accent3">
              <a:tint val="45000"/>
              <a:satMod val="400000"/>
            </a:schemeClr>
          </a:duotone>
          <a:extLst>
            <a:ext uri="{BEBA8EAE-BF5A-486C-A8C5-ECC9F3942E4B}">
              <a14:imgProps xmlns:a14="http://schemas.microsoft.com/office/drawing/2010/main">
                <a14:imgLayer r:embed="rId3">
                  <a14:imgEffect>
                    <a14:colorTemperature colorTemp="11500"/>
                  </a14:imgEffect>
                  <a14:imgEffect>
                    <a14:saturation sat="400000"/>
                  </a14:imgEffect>
                </a14:imgLayer>
              </a14:imgProps>
            </a:ext>
          </a:extLst>
        </a:blip>
        <a:stretch>
          <a:fillRect/>
        </a:stretch>
      </xdr:blipFill>
      <xdr:spPr>
        <a:xfrm>
          <a:off x="1095375" y="3943350"/>
          <a:ext cx="1762125" cy="1616337"/>
        </a:xfrm>
        <a:prstGeom prst="rect">
          <a:avLst/>
        </a:prstGeom>
        <a:ln w="19050">
          <a:solidFill>
            <a:schemeClr val="tx1"/>
          </a:solidFill>
        </a:ln>
      </xdr:spPr>
    </xdr:pic>
    <xdr:clientData/>
  </xdr:twoCellAnchor>
  <xdr:twoCellAnchor editAs="oneCell">
    <xdr:from>
      <xdr:col>2</xdr:col>
      <xdr:colOff>2381251</xdr:colOff>
      <xdr:row>16</xdr:row>
      <xdr:rowOff>38101</xdr:rowOff>
    </xdr:from>
    <xdr:to>
      <xdr:col>2</xdr:col>
      <xdr:colOff>3933032</xdr:colOff>
      <xdr:row>16</xdr:row>
      <xdr:rowOff>1657350</xdr:rowOff>
    </xdr:to>
    <xdr:pic>
      <xdr:nvPicPr>
        <xdr:cNvPr id="4" name="Grafik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4"/>
        <a:stretch>
          <a:fillRect/>
        </a:stretch>
      </xdr:blipFill>
      <xdr:spPr>
        <a:xfrm>
          <a:off x="3457576" y="3943351"/>
          <a:ext cx="1551781" cy="1619249"/>
        </a:xfrm>
        <a:prstGeom prst="rect">
          <a:avLst/>
        </a:prstGeom>
        <a:ln w="19050">
          <a:solidFill>
            <a:schemeClr val="tx1"/>
          </a:solidFill>
        </a:ln>
      </xdr:spPr>
    </xdr:pic>
    <xdr:clientData/>
  </xdr:twoCellAnchor>
  <xdr:twoCellAnchor>
    <xdr:from>
      <xdr:col>2</xdr:col>
      <xdr:colOff>1905000</xdr:colOff>
      <xdr:row>16</xdr:row>
      <xdr:rowOff>695325</xdr:rowOff>
    </xdr:from>
    <xdr:to>
      <xdr:col>2</xdr:col>
      <xdr:colOff>2247900</xdr:colOff>
      <xdr:row>16</xdr:row>
      <xdr:rowOff>923925</xdr:rowOff>
    </xdr:to>
    <xdr:sp macro="" textlink="">
      <xdr:nvSpPr>
        <xdr:cNvPr id="5" name="Pfeil nach rechts 4">
          <a:extLst>
            <a:ext uri="{FF2B5EF4-FFF2-40B4-BE49-F238E27FC236}">
              <a16:creationId xmlns:a16="http://schemas.microsoft.com/office/drawing/2014/main" id="{00000000-0008-0000-0C00-000005000000}"/>
            </a:ext>
          </a:extLst>
        </xdr:cNvPr>
        <xdr:cNvSpPr/>
      </xdr:nvSpPr>
      <xdr:spPr>
        <a:xfrm>
          <a:off x="2981325" y="308610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21</xdr:row>
      <xdr:rowOff>19050</xdr:rowOff>
    </xdr:from>
    <xdr:to>
      <xdr:col>2</xdr:col>
      <xdr:colOff>1771431</xdr:colOff>
      <xdr:row>21</xdr:row>
      <xdr:rowOff>952383</xdr:rowOff>
    </xdr:to>
    <xdr:pic>
      <xdr:nvPicPr>
        <xdr:cNvPr id="6" name="Grafik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095375" y="5600700"/>
          <a:ext cx="1752381" cy="933333"/>
        </a:xfrm>
        <a:prstGeom prst="rect">
          <a:avLst/>
        </a:prstGeom>
        <a:ln w="19050">
          <a:solidFill>
            <a:schemeClr val="tx1"/>
          </a:solidFill>
        </a:ln>
      </xdr:spPr>
    </xdr:pic>
    <xdr:clientData/>
  </xdr:twoCellAnchor>
  <xdr:twoCellAnchor editAs="oneCell">
    <xdr:from>
      <xdr:col>2</xdr:col>
      <xdr:colOff>2381250</xdr:colOff>
      <xdr:row>21</xdr:row>
      <xdr:rowOff>19050</xdr:rowOff>
    </xdr:from>
    <xdr:to>
      <xdr:col>2</xdr:col>
      <xdr:colOff>4105060</xdr:colOff>
      <xdr:row>21</xdr:row>
      <xdr:rowOff>685717</xdr:rowOff>
    </xdr:to>
    <xdr:pic>
      <xdr:nvPicPr>
        <xdr:cNvPr id="7" name="Grafik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3457575" y="5600700"/>
          <a:ext cx="1723810" cy="666667"/>
        </a:xfrm>
        <a:prstGeom prst="rect">
          <a:avLst/>
        </a:prstGeom>
        <a:ln w="19050">
          <a:solidFill>
            <a:schemeClr val="tx1"/>
          </a:solidFill>
        </a:ln>
      </xdr:spPr>
    </xdr:pic>
    <xdr:clientData/>
  </xdr:twoCellAnchor>
  <xdr:twoCellAnchor>
    <xdr:from>
      <xdr:col>2</xdr:col>
      <xdr:colOff>1905000</xdr:colOff>
      <xdr:row>21</xdr:row>
      <xdr:rowOff>209550</xdr:rowOff>
    </xdr:from>
    <xdr:to>
      <xdr:col>2</xdr:col>
      <xdr:colOff>2247900</xdr:colOff>
      <xdr:row>21</xdr:row>
      <xdr:rowOff>438150</xdr:rowOff>
    </xdr:to>
    <xdr:sp macro="" textlink="">
      <xdr:nvSpPr>
        <xdr:cNvPr id="8" name="Pfeil nach rechts 7">
          <a:extLst>
            <a:ext uri="{FF2B5EF4-FFF2-40B4-BE49-F238E27FC236}">
              <a16:creationId xmlns:a16="http://schemas.microsoft.com/office/drawing/2014/main" id="{00000000-0008-0000-0C00-000008000000}"/>
            </a:ext>
          </a:extLst>
        </xdr:cNvPr>
        <xdr:cNvSpPr/>
      </xdr:nvSpPr>
      <xdr:spPr>
        <a:xfrm>
          <a:off x="2981325" y="579120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4410075</xdr:colOff>
      <xdr:row>26</xdr:row>
      <xdr:rowOff>19050</xdr:rowOff>
    </xdr:from>
    <xdr:to>
      <xdr:col>7</xdr:col>
      <xdr:colOff>37769</xdr:colOff>
      <xdr:row>26</xdr:row>
      <xdr:rowOff>1485717</xdr:rowOff>
    </xdr:to>
    <xdr:pic>
      <xdr:nvPicPr>
        <xdr:cNvPr id="9" name="Grafik 8">
          <a:extLst>
            <a:ext uri="{FF2B5EF4-FFF2-40B4-BE49-F238E27FC236}">
              <a16:creationId xmlns:a16="http://schemas.microsoft.com/office/drawing/2014/main" id="{00000000-0008-0000-0C00-000009000000}"/>
            </a:ext>
          </a:extLst>
        </xdr:cNvPr>
        <xdr:cNvPicPr>
          <a:picLocks noChangeAspect="1"/>
        </xdr:cNvPicPr>
      </xdr:nvPicPr>
      <xdr:blipFill rotWithShape="1">
        <a:blip xmlns:r="http://schemas.openxmlformats.org/officeDocument/2006/relationships" r:embed="rId7"/>
        <a:srcRect l="7196"/>
        <a:stretch/>
      </xdr:blipFill>
      <xdr:spPr>
        <a:xfrm>
          <a:off x="5486400" y="8258175"/>
          <a:ext cx="2457119" cy="1466667"/>
        </a:xfrm>
        <a:prstGeom prst="rect">
          <a:avLst/>
        </a:prstGeom>
        <a:ln w="19050">
          <a:solidFill>
            <a:schemeClr val="tx1"/>
          </a:solidFill>
        </a:ln>
      </xdr:spPr>
    </xdr:pic>
    <xdr:clientData/>
  </xdr:twoCellAnchor>
  <xdr:twoCellAnchor editAs="oneCell">
    <xdr:from>
      <xdr:col>2</xdr:col>
      <xdr:colOff>19050</xdr:colOff>
      <xdr:row>26</xdr:row>
      <xdr:rowOff>9526</xdr:rowOff>
    </xdr:from>
    <xdr:to>
      <xdr:col>2</xdr:col>
      <xdr:colOff>3804241</xdr:colOff>
      <xdr:row>26</xdr:row>
      <xdr:rowOff>1704976</xdr:rowOff>
    </xdr:to>
    <xdr:pic>
      <xdr:nvPicPr>
        <xdr:cNvPr id="10" name="Grafik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8"/>
        <a:stretch>
          <a:fillRect/>
        </a:stretch>
      </xdr:blipFill>
      <xdr:spPr>
        <a:xfrm>
          <a:off x="1095375" y="8248651"/>
          <a:ext cx="3785191" cy="1695450"/>
        </a:xfrm>
        <a:prstGeom prst="rect">
          <a:avLst/>
        </a:prstGeom>
        <a:ln w="19050">
          <a:solidFill>
            <a:schemeClr val="tx1"/>
          </a:solidFill>
        </a:ln>
      </xdr:spPr>
    </xdr:pic>
    <xdr:clientData/>
  </xdr:twoCellAnchor>
  <xdr:twoCellAnchor>
    <xdr:from>
      <xdr:col>2</xdr:col>
      <xdr:colOff>76201</xdr:colOff>
      <xdr:row>26</xdr:row>
      <xdr:rowOff>352425</xdr:rowOff>
    </xdr:from>
    <xdr:to>
      <xdr:col>2</xdr:col>
      <xdr:colOff>1524001</xdr:colOff>
      <xdr:row>26</xdr:row>
      <xdr:rowOff>1495425</xdr:rowOff>
    </xdr:to>
    <xdr:sp macro="" textlink="">
      <xdr:nvSpPr>
        <xdr:cNvPr id="11" name="Rechteck 10">
          <a:extLst>
            <a:ext uri="{FF2B5EF4-FFF2-40B4-BE49-F238E27FC236}">
              <a16:creationId xmlns:a16="http://schemas.microsoft.com/office/drawing/2014/main" id="{00000000-0008-0000-0C00-00000B000000}"/>
            </a:ext>
          </a:extLst>
        </xdr:cNvPr>
        <xdr:cNvSpPr/>
      </xdr:nvSpPr>
      <xdr:spPr>
        <a:xfrm>
          <a:off x="1152526" y="8591550"/>
          <a:ext cx="1447800" cy="1143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733425</xdr:colOff>
      <xdr:row>26</xdr:row>
      <xdr:rowOff>923925</xdr:rowOff>
    </xdr:from>
    <xdr:to>
      <xdr:col>5</xdr:col>
      <xdr:colOff>647700</xdr:colOff>
      <xdr:row>26</xdr:row>
      <xdr:rowOff>1066800</xdr:rowOff>
    </xdr:to>
    <xdr:sp macro="" textlink="">
      <xdr:nvSpPr>
        <xdr:cNvPr id="12" name="Rechteck 11">
          <a:extLst>
            <a:ext uri="{FF2B5EF4-FFF2-40B4-BE49-F238E27FC236}">
              <a16:creationId xmlns:a16="http://schemas.microsoft.com/office/drawing/2014/main" id="{00000000-0008-0000-0C00-00000C000000}"/>
            </a:ext>
          </a:extLst>
        </xdr:cNvPr>
        <xdr:cNvSpPr/>
      </xdr:nvSpPr>
      <xdr:spPr>
        <a:xfrm>
          <a:off x="6400800" y="9163050"/>
          <a:ext cx="676275" cy="1428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xdr:col>
      <xdr:colOff>1552576</xdr:colOff>
      <xdr:row>26</xdr:row>
      <xdr:rowOff>352425</xdr:rowOff>
    </xdr:from>
    <xdr:to>
      <xdr:col>2</xdr:col>
      <xdr:colOff>2247900</xdr:colOff>
      <xdr:row>26</xdr:row>
      <xdr:rowOff>1495425</xdr:rowOff>
    </xdr:to>
    <xdr:sp macro="" textlink="">
      <xdr:nvSpPr>
        <xdr:cNvPr id="13" name="Rechteck 12">
          <a:extLst>
            <a:ext uri="{FF2B5EF4-FFF2-40B4-BE49-F238E27FC236}">
              <a16:creationId xmlns:a16="http://schemas.microsoft.com/office/drawing/2014/main" id="{00000000-0008-0000-0C00-00000D000000}"/>
            </a:ext>
          </a:extLst>
        </xdr:cNvPr>
        <xdr:cNvSpPr/>
      </xdr:nvSpPr>
      <xdr:spPr>
        <a:xfrm>
          <a:off x="2628901" y="8591550"/>
          <a:ext cx="695324" cy="11430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26</xdr:row>
      <xdr:rowOff>1085850</xdr:rowOff>
    </xdr:from>
    <xdr:to>
      <xdr:col>5</xdr:col>
      <xdr:colOff>647700</xdr:colOff>
      <xdr:row>26</xdr:row>
      <xdr:rowOff>1238250</xdr:rowOff>
    </xdr:to>
    <xdr:sp macro="" textlink="">
      <xdr:nvSpPr>
        <xdr:cNvPr id="14" name="Rechteck 13">
          <a:extLst>
            <a:ext uri="{FF2B5EF4-FFF2-40B4-BE49-F238E27FC236}">
              <a16:creationId xmlns:a16="http://schemas.microsoft.com/office/drawing/2014/main" id="{00000000-0008-0000-0C00-00000E000000}"/>
            </a:ext>
          </a:extLst>
        </xdr:cNvPr>
        <xdr:cNvSpPr/>
      </xdr:nvSpPr>
      <xdr:spPr>
        <a:xfrm>
          <a:off x="6400801" y="9324975"/>
          <a:ext cx="676274" cy="1524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2276476</xdr:colOff>
      <xdr:row>26</xdr:row>
      <xdr:rowOff>352425</xdr:rowOff>
    </xdr:from>
    <xdr:to>
      <xdr:col>2</xdr:col>
      <xdr:colOff>3714750</xdr:colOff>
      <xdr:row>26</xdr:row>
      <xdr:rowOff>1495425</xdr:rowOff>
    </xdr:to>
    <xdr:sp macro="" textlink="">
      <xdr:nvSpPr>
        <xdr:cNvPr id="15" name="Rechteck 14">
          <a:extLst>
            <a:ext uri="{FF2B5EF4-FFF2-40B4-BE49-F238E27FC236}">
              <a16:creationId xmlns:a16="http://schemas.microsoft.com/office/drawing/2014/main" id="{00000000-0008-0000-0C00-00000F000000}"/>
            </a:ext>
          </a:extLst>
        </xdr:cNvPr>
        <xdr:cNvSpPr/>
      </xdr:nvSpPr>
      <xdr:spPr>
        <a:xfrm>
          <a:off x="3352801" y="8591550"/>
          <a:ext cx="1438274" cy="1143000"/>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26</xdr:row>
      <xdr:rowOff>1247775</xdr:rowOff>
    </xdr:from>
    <xdr:to>
      <xdr:col>5</xdr:col>
      <xdr:colOff>647700</xdr:colOff>
      <xdr:row>26</xdr:row>
      <xdr:rowOff>1409700</xdr:rowOff>
    </xdr:to>
    <xdr:sp macro="" textlink="">
      <xdr:nvSpPr>
        <xdr:cNvPr id="16" name="Rechteck 15">
          <a:extLst>
            <a:ext uri="{FF2B5EF4-FFF2-40B4-BE49-F238E27FC236}">
              <a16:creationId xmlns:a16="http://schemas.microsoft.com/office/drawing/2014/main" id="{00000000-0008-0000-0C00-000010000000}"/>
            </a:ext>
          </a:extLst>
        </xdr:cNvPr>
        <xdr:cNvSpPr/>
      </xdr:nvSpPr>
      <xdr:spPr>
        <a:xfrm>
          <a:off x="6400801" y="9486900"/>
          <a:ext cx="676274" cy="161925"/>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3943350</xdr:colOff>
      <xdr:row>26</xdr:row>
      <xdr:rowOff>590550</xdr:rowOff>
    </xdr:from>
    <xdr:to>
      <xdr:col>2</xdr:col>
      <xdr:colOff>4286250</xdr:colOff>
      <xdr:row>26</xdr:row>
      <xdr:rowOff>819150</xdr:rowOff>
    </xdr:to>
    <xdr:sp macro="" textlink="">
      <xdr:nvSpPr>
        <xdr:cNvPr id="17" name="Pfeil nach rechts 16">
          <a:extLst>
            <a:ext uri="{FF2B5EF4-FFF2-40B4-BE49-F238E27FC236}">
              <a16:creationId xmlns:a16="http://schemas.microsoft.com/office/drawing/2014/main" id="{00000000-0008-0000-0C00-000011000000}"/>
            </a:ext>
          </a:extLst>
        </xdr:cNvPr>
        <xdr:cNvSpPr/>
      </xdr:nvSpPr>
      <xdr:spPr>
        <a:xfrm>
          <a:off x="5019675" y="8829675"/>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31</xdr:row>
      <xdr:rowOff>19050</xdr:rowOff>
    </xdr:from>
    <xdr:to>
      <xdr:col>2</xdr:col>
      <xdr:colOff>3960354</xdr:colOff>
      <xdr:row>39</xdr:row>
      <xdr:rowOff>92446</xdr:rowOff>
    </xdr:to>
    <xdr:pic>
      <xdr:nvPicPr>
        <xdr:cNvPr id="18" name="Grafik 17">
          <a:extLst>
            <a:ext uri="{FF2B5EF4-FFF2-40B4-BE49-F238E27FC236}">
              <a16:creationId xmlns:a16="http://schemas.microsoft.com/office/drawing/2014/main" id="{00000000-0008-0000-0C00-000012000000}"/>
            </a:ext>
          </a:extLst>
        </xdr:cNvPr>
        <xdr:cNvPicPr>
          <a:picLocks noChangeAspect="1"/>
        </xdr:cNvPicPr>
      </xdr:nvPicPr>
      <xdr:blipFill rotWithShape="1">
        <a:blip xmlns:r="http://schemas.openxmlformats.org/officeDocument/2006/relationships" r:embed="rId9" cstate="print">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1095375" y="11830050"/>
          <a:ext cx="3941304" cy="2111746"/>
        </a:xfrm>
        <a:prstGeom prst="rect">
          <a:avLst/>
        </a:prstGeom>
        <a:ln w="19050">
          <a:solidFill>
            <a:schemeClr val="tx1"/>
          </a:solidFill>
        </a:ln>
      </xdr:spPr>
    </xdr:pic>
    <xdr:clientData/>
  </xdr:twoCellAnchor>
  <xdr:twoCellAnchor editAs="oneCell">
    <xdr:from>
      <xdr:col>6</xdr:col>
      <xdr:colOff>314325</xdr:colOff>
      <xdr:row>31</xdr:row>
      <xdr:rowOff>76200</xdr:rowOff>
    </xdr:from>
    <xdr:to>
      <xdr:col>7</xdr:col>
      <xdr:colOff>443181</xdr:colOff>
      <xdr:row>37</xdr:row>
      <xdr:rowOff>19050</xdr:rowOff>
    </xdr:to>
    <xdr:pic>
      <xdr:nvPicPr>
        <xdr:cNvPr id="19" name="Grafik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11"/>
        <a:stretch>
          <a:fillRect/>
        </a:stretch>
      </xdr:blipFill>
      <xdr:spPr>
        <a:xfrm>
          <a:off x="7505700" y="11887200"/>
          <a:ext cx="843231" cy="914400"/>
        </a:xfrm>
        <a:prstGeom prst="rect">
          <a:avLst/>
        </a:prstGeom>
      </xdr:spPr>
    </xdr:pic>
    <xdr:clientData/>
  </xdr:twoCellAnchor>
  <xdr:twoCellAnchor>
    <xdr:from>
      <xdr:col>2</xdr:col>
      <xdr:colOff>4122645</xdr:colOff>
      <xdr:row>33</xdr:row>
      <xdr:rowOff>85165</xdr:rowOff>
    </xdr:from>
    <xdr:to>
      <xdr:col>2</xdr:col>
      <xdr:colOff>4465545</xdr:colOff>
      <xdr:row>34</xdr:row>
      <xdr:rowOff>146797</xdr:rowOff>
    </xdr:to>
    <xdr:sp macro="" textlink="">
      <xdr:nvSpPr>
        <xdr:cNvPr id="20" name="Pfeil nach rechts 19">
          <a:extLst>
            <a:ext uri="{FF2B5EF4-FFF2-40B4-BE49-F238E27FC236}">
              <a16:creationId xmlns:a16="http://schemas.microsoft.com/office/drawing/2014/main" id="{00000000-0008-0000-0C00-000014000000}"/>
            </a:ext>
          </a:extLst>
        </xdr:cNvPr>
        <xdr:cNvSpPr/>
      </xdr:nvSpPr>
      <xdr:spPr>
        <a:xfrm>
          <a:off x="5198970" y="12200965"/>
          <a:ext cx="342900" cy="214032"/>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9525</xdr:colOff>
      <xdr:row>44</xdr:row>
      <xdr:rowOff>28576</xdr:rowOff>
    </xdr:from>
    <xdr:to>
      <xdr:col>2</xdr:col>
      <xdr:colOff>4143374</xdr:colOff>
      <xdr:row>58</xdr:row>
      <xdr:rowOff>112246</xdr:rowOff>
    </xdr:to>
    <xdr:pic>
      <xdr:nvPicPr>
        <xdr:cNvPr id="21" name="Grafik 20">
          <a:extLst>
            <a:ext uri="{FF2B5EF4-FFF2-40B4-BE49-F238E27FC236}">
              <a16:creationId xmlns:a16="http://schemas.microsoft.com/office/drawing/2014/main" id="{00000000-0008-0000-0C00-000015000000}"/>
            </a:ext>
          </a:extLst>
        </xdr:cNvPr>
        <xdr:cNvPicPr>
          <a:picLocks noChangeAspect="1"/>
        </xdr:cNvPicPr>
      </xdr:nvPicPr>
      <xdr:blipFill>
        <a:blip xmlns:r="http://schemas.openxmlformats.org/officeDocument/2006/relationships" r:embed="rId12">
          <a:duotone>
            <a:prstClr val="black"/>
            <a:schemeClr val="accent3">
              <a:tint val="45000"/>
              <a:satMod val="400000"/>
            </a:schemeClr>
          </a:duotone>
        </a:blip>
        <a:stretch>
          <a:fillRect/>
        </a:stretch>
      </xdr:blipFill>
      <xdr:spPr>
        <a:xfrm>
          <a:off x="1085850" y="16173451"/>
          <a:ext cx="4133849" cy="2350620"/>
        </a:xfrm>
        <a:prstGeom prst="rect">
          <a:avLst/>
        </a:prstGeom>
      </xdr:spPr>
    </xdr:pic>
    <xdr:clientData/>
  </xdr:twoCellAnchor>
  <xdr:twoCellAnchor>
    <xdr:from>
      <xdr:col>2</xdr:col>
      <xdr:colOff>70757</xdr:colOff>
      <xdr:row>53</xdr:row>
      <xdr:rowOff>103414</xdr:rowOff>
    </xdr:from>
    <xdr:to>
      <xdr:col>2</xdr:col>
      <xdr:colOff>70757</xdr:colOff>
      <xdr:row>60</xdr:row>
      <xdr:rowOff>114300</xdr:rowOff>
    </xdr:to>
    <xdr:cxnSp macro="">
      <xdr:nvCxnSpPr>
        <xdr:cNvPr id="24" name="Gerader Verbinder 23">
          <a:extLst>
            <a:ext uri="{FF2B5EF4-FFF2-40B4-BE49-F238E27FC236}">
              <a16:creationId xmlns:a16="http://schemas.microsoft.com/office/drawing/2014/main" id="{00000000-0008-0000-0C00-000018000000}"/>
            </a:ext>
          </a:extLst>
        </xdr:cNvPr>
        <xdr:cNvCxnSpPr/>
      </xdr:nvCxnSpPr>
      <xdr:spPr>
        <a:xfrm>
          <a:off x="1148443" y="17760043"/>
          <a:ext cx="0" cy="1153886"/>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4060371</xdr:colOff>
      <xdr:row>53</xdr:row>
      <xdr:rowOff>108857</xdr:rowOff>
    </xdr:from>
    <xdr:to>
      <xdr:col>2</xdr:col>
      <xdr:colOff>4060371</xdr:colOff>
      <xdr:row>60</xdr:row>
      <xdr:rowOff>97971</xdr:rowOff>
    </xdr:to>
    <xdr:cxnSp macro="">
      <xdr:nvCxnSpPr>
        <xdr:cNvPr id="25" name="Gerader Verbinder 24">
          <a:extLst>
            <a:ext uri="{FF2B5EF4-FFF2-40B4-BE49-F238E27FC236}">
              <a16:creationId xmlns:a16="http://schemas.microsoft.com/office/drawing/2014/main" id="{00000000-0008-0000-0C00-000019000000}"/>
            </a:ext>
          </a:extLst>
        </xdr:cNvPr>
        <xdr:cNvCxnSpPr/>
      </xdr:nvCxnSpPr>
      <xdr:spPr>
        <a:xfrm>
          <a:off x="5138057" y="17765486"/>
          <a:ext cx="0" cy="1132114"/>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10885</xdr:colOff>
      <xdr:row>60</xdr:row>
      <xdr:rowOff>21771</xdr:rowOff>
    </xdr:from>
    <xdr:to>
      <xdr:col>2</xdr:col>
      <xdr:colOff>4125685</xdr:colOff>
      <xdr:row>60</xdr:row>
      <xdr:rowOff>21771</xdr:rowOff>
    </xdr:to>
    <xdr:cxnSp macro="">
      <xdr:nvCxnSpPr>
        <xdr:cNvPr id="27" name="Gerader Verbinder 26">
          <a:extLst>
            <a:ext uri="{FF2B5EF4-FFF2-40B4-BE49-F238E27FC236}">
              <a16:creationId xmlns:a16="http://schemas.microsoft.com/office/drawing/2014/main" id="{00000000-0008-0000-0C00-00001B000000}"/>
            </a:ext>
          </a:extLst>
        </xdr:cNvPr>
        <xdr:cNvCxnSpPr/>
      </xdr:nvCxnSpPr>
      <xdr:spPr>
        <a:xfrm>
          <a:off x="1088571" y="18821400"/>
          <a:ext cx="4114800" cy="0"/>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2035628</xdr:colOff>
      <xdr:row>58</xdr:row>
      <xdr:rowOff>136069</xdr:rowOff>
    </xdr:from>
    <xdr:to>
      <xdr:col>2</xdr:col>
      <xdr:colOff>4114800</xdr:colOff>
      <xdr:row>58</xdr:row>
      <xdr:rowOff>136069</xdr:rowOff>
    </xdr:to>
    <xdr:cxnSp macro="">
      <xdr:nvCxnSpPr>
        <xdr:cNvPr id="30" name="Gerader Verbinder 29">
          <a:extLst>
            <a:ext uri="{FF2B5EF4-FFF2-40B4-BE49-F238E27FC236}">
              <a16:creationId xmlns:a16="http://schemas.microsoft.com/office/drawing/2014/main" id="{00000000-0008-0000-0C00-00001E000000}"/>
            </a:ext>
          </a:extLst>
        </xdr:cNvPr>
        <xdr:cNvCxnSpPr/>
      </xdr:nvCxnSpPr>
      <xdr:spPr>
        <a:xfrm>
          <a:off x="3113314" y="18609126"/>
          <a:ext cx="2079172" cy="0"/>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2106386</xdr:colOff>
      <xdr:row>53</xdr:row>
      <xdr:rowOff>157843</xdr:rowOff>
    </xdr:from>
    <xdr:to>
      <xdr:col>2</xdr:col>
      <xdr:colOff>2106386</xdr:colOff>
      <xdr:row>59</xdr:row>
      <xdr:rowOff>54428</xdr:rowOff>
    </xdr:to>
    <xdr:cxnSp macro="">
      <xdr:nvCxnSpPr>
        <xdr:cNvPr id="32" name="Gerader Verbinder 31">
          <a:extLst>
            <a:ext uri="{FF2B5EF4-FFF2-40B4-BE49-F238E27FC236}">
              <a16:creationId xmlns:a16="http://schemas.microsoft.com/office/drawing/2014/main" id="{00000000-0008-0000-0C00-000020000000}"/>
            </a:ext>
          </a:extLst>
        </xdr:cNvPr>
        <xdr:cNvCxnSpPr/>
      </xdr:nvCxnSpPr>
      <xdr:spPr>
        <a:xfrm>
          <a:off x="3184072" y="17814472"/>
          <a:ext cx="0" cy="876299"/>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5442</xdr:colOff>
      <xdr:row>59</xdr:row>
      <xdr:rowOff>136071</xdr:rowOff>
    </xdr:from>
    <xdr:to>
      <xdr:col>2</xdr:col>
      <xdr:colOff>125185</xdr:colOff>
      <xdr:row>60</xdr:row>
      <xdr:rowOff>92528</xdr:rowOff>
    </xdr:to>
    <xdr:cxnSp macro="">
      <xdr:nvCxnSpPr>
        <xdr:cNvPr id="40" name="Gerader Verbinder 39">
          <a:extLst>
            <a:ext uri="{FF2B5EF4-FFF2-40B4-BE49-F238E27FC236}">
              <a16:creationId xmlns:a16="http://schemas.microsoft.com/office/drawing/2014/main" id="{00000000-0008-0000-0C00-000028000000}"/>
            </a:ext>
          </a:extLst>
        </xdr:cNvPr>
        <xdr:cNvCxnSpPr/>
      </xdr:nvCxnSpPr>
      <xdr:spPr>
        <a:xfrm flipV="1">
          <a:off x="1083128" y="18772414"/>
          <a:ext cx="119743" cy="119743"/>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2046513</xdr:colOff>
      <xdr:row>58</xdr:row>
      <xdr:rowOff>76200</xdr:rowOff>
    </xdr:from>
    <xdr:to>
      <xdr:col>2</xdr:col>
      <xdr:colOff>2166256</xdr:colOff>
      <xdr:row>59</xdr:row>
      <xdr:rowOff>32657</xdr:rowOff>
    </xdr:to>
    <xdr:cxnSp macro="">
      <xdr:nvCxnSpPr>
        <xdr:cNvPr id="41" name="Gerader Verbinder 40">
          <a:extLst>
            <a:ext uri="{FF2B5EF4-FFF2-40B4-BE49-F238E27FC236}">
              <a16:creationId xmlns:a16="http://schemas.microsoft.com/office/drawing/2014/main" id="{00000000-0008-0000-0C00-000029000000}"/>
            </a:ext>
          </a:extLst>
        </xdr:cNvPr>
        <xdr:cNvCxnSpPr/>
      </xdr:nvCxnSpPr>
      <xdr:spPr>
        <a:xfrm flipV="1">
          <a:off x="3124199" y="18549257"/>
          <a:ext cx="119743" cy="119743"/>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3989613</xdr:colOff>
      <xdr:row>58</xdr:row>
      <xdr:rowOff>81643</xdr:rowOff>
    </xdr:from>
    <xdr:to>
      <xdr:col>2</xdr:col>
      <xdr:colOff>4109356</xdr:colOff>
      <xdr:row>59</xdr:row>
      <xdr:rowOff>38100</xdr:rowOff>
    </xdr:to>
    <xdr:cxnSp macro="">
      <xdr:nvCxnSpPr>
        <xdr:cNvPr id="42" name="Gerader Verbinder 41">
          <a:extLst>
            <a:ext uri="{FF2B5EF4-FFF2-40B4-BE49-F238E27FC236}">
              <a16:creationId xmlns:a16="http://schemas.microsoft.com/office/drawing/2014/main" id="{00000000-0008-0000-0C00-00002A000000}"/>
            </a:ext>
          </a:extLst>
        </xdr:cNvPr>
        <xdr:cNvCxnSpPr/>
      </xdr:nvCxnSpPr>
      <xdr:spPr>
        <a:xfrm flipV="1">
          <a:off x="5067299" y="18554700"/>
          <a:ext cx="119743" cy="119743"/>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3995056</xdr:colOff>
      <xdr:row>59</xdr:row>
      <xdr:rowOff>125185</xdr:rowOff>
    </xdr:from>
    <xdr:to>
      <xdr:col>2</xdr:col>
      <xdr:colOff>4114799</xdr:colOff>
      <xdr:row>60</xdr:row>
      <xdr:rowOff>81642</xdr:rowOff>
    </xdr:to>
    <xdr:cxnSp macro="">
      <xdr:nvCxnSpPr>
        <xdr:cNvPr id="43" name="Gerader Verbinder 42">
          <a:extLst>
            <a:ext uri="{FF2B5EF4-FFF2-40B4-BE49-F238E27FC236}">
              <a16:creationId xmlns:a16="http://schemas.microsoft.com/office/drawing/2014/main" id="{00000000-0008-0000-0C00-00002B000000}"/>
            </a:ext>
          </a:extLst>
        </xdr:cNvPr>
        <xdr:cNvCxnSpPr/>
      </xdr:nvCxnSpPr>
      <xdr:spPr>
        <a:xfrm flipV="1">
          <a:off x="5072742" y="18761528"/>
          <a:ext cx="119743" cy="119743"/>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229913</xdr:colOff>
      <xdr:row>43</xdr:row>
      <xdr:rowOff>98534</xdr:rowOff>
    </xdr:from>
    <xdr:to>
      <xdr:col>2</xdr:col>
      <xdr:colOff>4217276</xdr:colOff>
      <xdr:row>61</xdr:row>
      <xdr:rowOff>13138</xdr:rowOff>
    </xdr:to>
    <xdr:sp macro="" textlink="">
      <xdr:nvSpPr>
        <xdr:cNvPr id="44" name="Rechteck 43">
          <a:extLst>
            <a:ext uri="{FF2B5EF4-FFF2-40B4-BE49-F238E27FC236}">
              <a16:creationId xmlns:a16="http://schemas.microsoft.com/office/drawing/2014/main" id="{00000000-0008-0000-0C00-00002C000000}"/>
            </a:ext>
          </a:extLst>
        </xdr:cNvPr>
        <xdr:cNvSpPr/>
      </xdr:nvSpPr>
      <xdr:spPr>
        <a:xfrm>
          <a:off x="1057603" y="16113672"/>
          <a:ext cx="4236983" cy="2870638"/>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ctrlProp" Target="../ctrlProps/ctrlProp172.xml"/><Relationship Id="rId18" Type="http://schemas.openxmlformats.org/officeDocument/2006/relationships/ctrlProp" Target="../ctrlProps/ctrlProp177.xml"/><Relationship Id="rId26" Type="http://schemas.openxmlformats.org/officeDocument/2006/relationships/ctrlProp" Target="../ctrlProps/ctrlProp185.xml"/><Relationship Id="rId39" Type="http://schemas.openxmlformats.org/officeDocument/2006/relationships/ctrlProp" Target="../ctrlProps/ctrlProp198.xml"/><Relationship Id="rId21" Type="http://schemas.openxmlformats.org/officeDocument/2006/relationships/ctrlProp" Target="../ctrlProps/ctrlProp180.xml"/><Relationship Id="rId34" Type="http://schemas.openxmlformats.org/officeDocument/2006/relationships/ctrlProp" Target="../ctrlProps/ctrlProp193.xml"/><Relationship Id="rId42" Type="http://schemas.openxmlformats.org/officeDocument/2006/relationships/ctrlProp" Target="../ctrlProps/ctrlProp201.xml"/><Relationship Id="rId47" Type="http://schemas.openxmlformats.org/officeDocument/2006/relationships/ctrlProp" Target="../ctrlProps/ctrlProp206.xml"/><Relationship Id="rId50" Type="http://schemas.openxmlformats.org/officeDocument/2006/relationships/ctrlProp" Target="../ctrlProps/ctrlProp209.xml"/><Relationship Id="rId55" Type="http://schemas.openxmlformats.org/officeDocument/2006/relationships/ctrlProp" Target="../ctrlProps/ctrlProp214.xml"/><Relationship Id="rId7" Type="http://schemas.openxmlformats.org/officeDocument/2006/relationships/ctrlProp" Target="../ctrlProps/ctrlProp166.xml"/><Relationship Id="rId12" Type="http://schemas.openxmlformats.org/officeDocument/2006/relationships/ctrlProp" Target="../ctrlProps/ctrlProp171.xml"/><Relationship Id="rId17" Type="http://schemas.openxmlformats.org/officeDocument/2006/relationships/ctrlProp" Target="../ctrlProps/ctrlProp176.xml"/><Relationship Id="rId25" Type="http://schemas.openxmlformats.org/officeDocument/2006/relationships/ctrlProp" Target="../ctrlProps/ctrlProp184.xml"/><Relationship Id="rId33" Type="http://schemas.openxmlformats.org/officeDocument/2006/relationships/ctrlProp" Target="../ctrlProps/ctrlProp192.xml"/><Relationship Id="rId38" Type="http://schemas.openxmlformats.org/officeDocument/2006/relationships/ctrlProp" Target="../ctrlProps/ctrlProp197.xml"/><Relationship Id="rId46" Type="http://schemas.openxmlformats.org/officeDocument/2006/relationships/ctrlProp" Target="../ctrlProps/ctrlProp205.xml"/><Relationship Id="rId2" Type="http://schemas.openxmlformats.org/officeDocument/2006/relationships/drawing" Target="../drawings/drawing5.xml"/><Relationship Id="rId16" Type="http://schemas.openxmlformats.org/officeDocument/2006/relationships/ctrlProp" Target="../ctrlProps/ctrlProp175.xml"/><Relationship Id="rId20" Type="http://schemas.openxmlformats.org/officeDocument/2006/relationships/ctrlProp" Target="../ctrlProps/ctrlProp179.xml"/><Relationship Id="rId29" Type="http://schemas.openxmlformats.org/officeDocument/2006/relationships/ctrlProp" Target="../ctrlProps/ctrlProp188.xml"/><Relationship Id="rId41" Type="http://schemas.openxmlformats.org/officeDocument/2006/relationships/ctrlProp" Target="../ctrlProps/ctrlProp200.xml"/><Relationship Id="rId54" Type="http://schemas.openxmlformats.org/officeDocument/2006/relationships/ctrlProp" Target="../ctrlProps/ctrlProp213.xml"/><Relationship Id="rId1" Type="http://schemas.openxmlformats.org/officeDocument/2006/relationships/printerSettings" Target="../printerSettings/printerSettings10.bin"/><Relationship Id="rId6" Type="http://schemas.openxmlformats.org/officeDocument/2006/relationships/ctrlProp" Target="../ctrlProps/ctrlProp165.xml"/><Relationship Id="rId11" Type="http://schemas.openxmlformats.org/officeDocument/2006/relationships/ctrlProp" Target="../ctrlProps/ctrlProp170.xml"/><Relationship Id="rId24" Type="http://schemas.openxmlformats.org/officeDocument/2006/relationships/ctrlProp" Target="../ctrlProps/ctrlProp183.xml"/><Relationship Id="rId32" Type="http://schemas.openxmlformats.org/officeDocument/2006/relationships/ctrlProp" Target="../ctrlProps/ctrlProp191.xml"/><Relationship Id="rId37" Type="http://schemas.openxmlformats.org/officeDocument/2006/relationships/ctrlProp" Target="../ctrlProps/ctrlProp196.xml"/><Relationship Id="rId40" Type="http://schemas.openxmlformats.org/officeDocument/2006/relationships/ctrlProp" Target="../ctrlProps/ctrlProp199.xml"/><Relationship Id="rId45" Type="http://schemas.openxmlformats.org/officeDocument/2006/relationships/ctrlProp" Target="../ctrlProps/ctrlProp204.xml"/><Relationship Id="rId53" Type="http://schemas.openxmlformats.org/officeDocument/2006/relationships/ctrlProp" Target="../ctrlProps/ctrlProp212.xml"/><Relationship Id="rId58" Type="http://schemas.openxmlformats.org/officeDocument/2006/relationships/comments" Target="../comments8.xml"/><Relationship Id="rId5" Type="http://schemas.openxmlformats.org/officeDocument/2006/relationships/ctrlProp" Target="../ctrlProps/ctrlProp164.xml"/><Relationship Id="rId15" Type="http://schemas.openxmlformats.org/officeDocument/2006/relationships/ctrlProp" Target="../ctrlProps/ctrlProp174.xml"/><Relationship Id="rId23" Type="http://schemas.openxmlformats.org/officeDocument/2006/relationships/ctrlProp" Target="../ctrlProps/ctrlProp182.xml"/><Relationship Id="rId28" Type="http://schemas.openxmlformats.org/officeDocument/2006/relationships/ctrlProp" Target="../ctrlProps/ctrlProp187.xml"/><Relationship Id="rId36" Type="http://schemas.openxmlformats.org/officeDocument/2006/relationships/ctrlProp" Target="../ctrlProps/ctrlProp195.xml"/><Relationship Id="rId49" Type="http://schemas.openxmlformats.org/officeDocument/2006/relationships/ctrlProp" Target="../ctrlProps/ctrlProp208.xml"/><Relationship Id="rId57" Type="http://schemas.openxmlformats.org/officeDocument/2006/relationships/ctrlProp" Target="../ctrlProps/ctrlProp216.xml"/><Relationship Id="rId10" Type="http://schemas.openxmlformats.org/officeDocument/2006/relationships/ctrlProp" Target="../ctrlProps/ctrlProp169.xml"/><Relationship Id="rId19" Type="http://schemas.openxmlformats.org/officeDocument/2006/relationships/ctrlProp" Target="../ctrlProps/ctrlProp178.xml"/><Relationship Id="rId31" Type="http://schemas.openxmlformats.org/officeDocument/2006/relationships/ctrlProp" Target="../ctrlProps/ctrlProp190.xml"/><Relationship Id="rId44" Type="http://schemas.openxmlformats.org/officeDocument/2006/relationships/ctrlProp" Target="../ctrlProps/ctrlProp203.xml"/><Relationship Id="rId52" Type="http://schemas.openxmlformats.org/officeDocument/2006/relationships/ctrlProp" Target="../ctrlProps/ctrlProp211.xml"/><Relationship Id="rId4" Type="http://schemas.openxmlformats.org/officeDocument/2006/relationships/ctrlProp" Target="../ctrlProps/ctrlProp163.xml"/><Relationship Id="rId9" Type="http://schemas.openxmlformats.org/officeDocument/2006/relationships/ctrlProp" Target="../ctrlProps/ctrlProp168.xml"/><Relationship Id="rId14" Type="http://schemas.openxmlformats.org/officeDocument/2006/relationships/ctrlProp" Target="../ctrlProps/ctrlProp173.xml"/><Relationship Id="rId22" Type="http://schemas.openxmlformats.org/officeDocument/2006/relationships/ctrlProp" Target="../ctrlProps/ctrlProp181.xml"/><Relationship Id="rId27" Type="http://schemas.openxmlformats.org/officeDocument/2006/relationships/ctrlProp" Target="../ctrlProps/ctrlProp186.xml"/><Relationship Id="rId30" Type="http://schemas.openxmlformats.org/officeDocument/2006/relationships/ctrlProp" Target="../ctrlProps/ctrlProp189.xml"/><Relationship Id="rId35" Type="http://schemas.openxmlformats.org/officeDocument/2006/relationships/ctrlProp" Target="../ctrlProps/ctrlProp194.xml"/><Relationship Id="rId43" Type="http://schemas.openxmlformats.org/officeDocument/2006/relationships/ctrlProp" Target="../ctrlProps/ctrlProp202.xml"/><Relationship Id="rId48" Type="http://schemas.openxmlformats.org/officeDocument/2006/relationships/ctrlProp" Target="../ctrlProps/ctrlProp207.xml"/><Relationship Id="rId56" Type="http://schemas.openxmlformats.org/officeDocument/2006/relationships/ctrlProp" Target="../ctrlProps/ctrlProp215.xml"/><Relationship Id="rId8" Type="http://schemas.openxmlformats.org/officeDocument/2006/relationships/ctrlProp" Target="../ctrlProps/ctrlProp167.xml"/><Relationship Id="rId51" Type="http://schemas.openxmlformats.org/officeDocument/2006/relationships/ctrlProp" Target="../ctrlProps/ctrlProp2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226.xml"/><Relationship Id="rId18" Type="http://schemas.openxmlformats.org/officeDocument/2006/relationships/ctrlProp" Target="../ctrlProps/ctrlProp231.xml"/><Relationship Id="rId26" Type="http://schemas.openxmlformats.org/officeDocument/2006/relationships/ctrlProp" Target="../ctrlProps/ctrlProp239.xml"/><Relationship Id="rId39" Type="http://schemas.openxmlformats.org/officeDocument/2006/relationships/ctrlProp" Target="../ctrlProps/ctrlProp252.xml"/><Relationship Id="rId21" Type="http://schemas.openxmlformats.org/officeDocument/2006/relationships/ctrlProp" Target="../ctrlProps/ctrlProp234.xml"/><Relationship Id="rId34" Type="http://schemas.openxmlformats.org/officeDocument/2006/relationships/ctrlProp" Target="../ctrlProps/ctrlProp247.xml"/><Relationship Id="rId42" Type="http://schemas.openxmlformats.org/officeDocument/2006/relationships/ctrlProp" Target="../ctrlProps/ctrlProp255.xml"/><Relationship Id="rId47" Type="http://schemas.openxmlformats.org/officeDocument/2006/relationships/ctrlProp" Target="../ctrlProps/ctrlProp260.xml"/><Relationship Id="rId50" Type="http://schemas.openxmlformats.org/officeDocument/2006/relationships/ctrlProp" Target="../ctrlProps/ctrlProp263.xml"/><Relationship Id="rId55" Type="http://schemas.openxmlformats.org/officeDocument/2006/relationships/ctrlProp" Target="../ctrlProps/ctrlProp268.xml"/><Relationship Id="rId7" Type="http://schemas.openxmlformats.org/officeDocument/2006/relationships/ctrlProp" Target="../ctrlProps/ctrlProp220.xml"/><Relationship Id="rId12" Type="http://schemas.openxmlformats.org/officeDocument/2006/relationships/ctrlProp" Target="../ctrlProps/ctrlProp225.xml"/><Relationship Id="rId17" Type="http://schemas.openxmlformats.org/officeDocument/2006/relationships/ctrlProp" Target="../ctrlProps/ctrlProp230.xml"/><Relationship Id="rId25" Type="http://schemas.openxmlformats.org/officeDocument/2006/relationships/ctrlProp" Target="../ctrlProps/ctrlProp238.xml"/><Relationship Id="rId33" Type="http://schemas.openxmlformats.org/officeDocument/2006/relationships/ctrlProp" Target="../ctrlProps/ctrlProp246.xml"/><Relationship Id="rId38" Type="http://schemas.openxmlformats.org/officeDocument/2006/relationships/ctrlProp" Target="../ctrlProps/ctrlProp251.xml"/><Relationship Id="rId46" Type="http://schemas.openxmlformats.org/officeDocument/2006/relationships/ctrlProp" Target="../ctrlProps/ctrlProp259.xml"/><Relationship Id="rId2" Type="http://schemas.openxmlformats.org/officeDocument/2006/relationships/drawing" Target="../drawings/drawing6.xml"/><Relationship Id="rId16" Type="http://schemas.openxmlformats.org/officeDocument/2006/relationships/ctrlProp" Target="../ctrlProps/ctrlProp229.xml"/><Relationship Id="rId20" Type="http://schemas.openxmlformats.org/officeDocument/2006/relationships/ctrlProp" Target="../ctrlProps/ctrlProp233.xml"/><Relationship Id="rId29" Type="http://schemas.openxmlformats.org/officeDocument/2006/relationships/ctrlProp" Target="../ctrlProps/ctrlProp242.xml"/><Relationship Id="rId41" Type="http://schemas.openxmlformats.org/officeDocument/2006/relationships/ctrlProp" Target="../ctrlProps/ctrlProp254.xml"/><Relationship Id="rId54" Type="http://schemas.openxmlformats.org/officeDocument/2006/relationships/ctrlProp" Target="../ctrlProps/ctrlProp267.xml"/><Relationship Id="rId1" Type="http://schemas.openxmlformats.org/officeDocument/2006/relationships/printerSettings" Target="../printerSettings/printerSettings12.bin"/><Relationship Id="rId6" Type="http://schemas.openxmlformats.org/officeDocument/2006/relationships/ctrlProp" Target="../ctrlProps/ctrlProp219.xml"/><Relationship Id="rId11" Type="http://schemas.openxmlformats.org/officeDocument/2006/relationships/ctrlProp" Target="../ctrlProps/ctrlProp224.xml"/><Relationship Id="rId24" Type="http://schemas.openxmlformats.org/officeDocument/2006/relationships/ctrlProp" Target="../ctrlProps/ctrlProp237.xml"/><Relationship Id="rId32" Type="http://schemas.openxmlformats.org/officeDocument/2006/relationships/ctrlProp" Target="../ctrlProps/ctrlProp245.xml"/><Relationship Id="rId37" Type="http://schemas.openxmlformats.org/officeDocument/2006/relationships/ctrlProp" Target="../ctrlProps/ctrlProp250.xml"/><Relationship Id="rId40" Type="http://schemas.openxmlformats.org/officeDocument/2006/relationships/ctrlProp" Target="../ctrlProps/ctrlProp253.xml"/><Relationship Id="rId45" Type="http://schemas.openxmlformats.org/officeDocument/2006/relationships/ctrlProp" Target="../ctrlProps/ctrlProp258.xml"/><Relationship Id="rId53" Type="http://schemas.openxmlformats.org/officeDocument/2006/relationships/ctrlProp" Target="../ctrlProps/ctrlProp266.xml"/><Relationship Id="rId58" Type="http://schemas.openxmlformats.org/officeDocument/2006/relationships/comments" Target="../comments10.xml"/><Relationship Id="rId5" Type="http://schemas.openxmlformats.org/officeDocument/2006/relationships/ctrlProp" Target="../ctrlProps/ctrlProp218.xml"/><Relationship Id="rId15" Type="http://schemas.openxmlformats.org/officeDocument/2006/relationships/ctrlProp" Target="../ctrlProps/ctrlProp228.xml"/><Relationship Id="rId23" Type="http://schemas.openxmlformats.org/officeDocument/2006/relationships/ctrlProp" Target="../ctrlProps/ctrlProp236.xml"/><Relationship Id="rId28" Type="http://schemas.openxmlformats.org/officeDocument/2006/relationships/ctrlProp" Target="../ctrlProps/ctrlProp241.xml"/><Relationship Id="rId36" Type="http://schemas.openxmlformats.org/officeDocument/2006/relationships/ctrlProp" Target="../ctrlProps/ctrlProp249.xml"/><Relationship Id="rId49" Type="http://schemas.openxmlformats.org/officeDocument/2006/relationships/ctrlProp" Target="../ctrlProps/ctrlProp262.xml"/><Relationship Id="rId57" Type="http://schemas.openxmlformats.org/officeDocument/2006/relationships/ctrlProp" Target="../ctrlProps/ctrlProp270.xml"/><Relationship Id="rId10" Type="http://schemas.openxmlformats.org/officeDocument/2006/relationships/ctrlProp" Target="../ctrlProps/ctrlProp223.xml"/><Relationship Id="rId19" Type="http://schemas.openxmlformats.org/officeDocument/2006/relationships/ctrlProp" Target="../ctrlProps/ctrlProp232.xml"/><Relationship Id="rId31" Type="http://schemas.openxmlformats.org/officeDocument/2006/relationships/ctrlProp" Target="../ctrlProps/ctrlProp244.xml"/><Relationship Id="rId44" Type="http://schemas.openxmlformats.org/officeDocument/2006/relationships/ctrlProp" Target="../ctrlProps/ctrlProp257.xml"/><Relationship Id="rId52" Type="http://schemas.openxmlformats.org/officeDocument/2006/relationships/ctrlProp" Target="../ctrlProps/ctrlProp265.xml"/><Relationship Id="rId4" Type="http://schemas.openxmlformats.org/officeDocument/2006/relationships/ctrlProp" Target="../ctrlProps/ctrlProp217.xml"/><Relationship Id="rId9" Type="http://schemas.openxmlformats.org/officeDocument/2006/relationships/ctrlProp" Target="../ctrlProps/ctrlProp222.xml"/><Relationship Id="rId14" Type="http://schemas.openxmlformats.org/officeDocument/2006/relationships/ctrlProp" Target="../ctrlProps/ctrlProp227.xml"/><Relationship Id="rId22" Type="http://schemas.openxmlformats.org/officeDocument/2006/relationships/ctrlProp" Target="../ctrlProps/ctrlProp235.xml"/><Relationship Id="rId27" Type="http://schemas.openxmlformats.org/officeDocument/2006/relationships/ctrlProp" Target="../ctrlProps/ctrlProp240.xml"/><Relationship Id="rId30" Type="http://schemas.openxmlformats.org/officeDocument/2006/relationships/ctrlProp" Target="../ctrlProps/ctrlProp243.xml"/><Relationship Id="rId35" Type="http://schemas.openxmlformats.org/officeDocument/2006/relationships/ctrlProp" Target="../ctrlProps/ctrlProp248.xml"/><Relationship Id="rId43" Type="http://schemas.openxmlformats.org/officeDocument/2006/relationships/ctrlProp" Target="../ctrlProps/ctrlProp256.xml"/><Relationship Id="rId48" Type="http://schemas.openxmlformats.org/officeDocument/2006/relationships/ctrlProp" Target="../ctrlProps/ctrlProp261.xml"/><Relationship Id="rId56" Type="http://schemas.openxmlformats.org/officeDocument/2006/relationships/ctrlProp" Target="../ctrlProps/ctrlProp269.xml"/><Relationship Id="rId8" Type="http://schemas.openxmlformats.org/officeDocument/2006/relationships/ctrlProp" Target="../ctrlProps/ctrlProp221.xml"/><Relationship Id="rId51" Type="http://schemas.openxmlformats.org/officeDocument/2006/relationships/ctrlProp" Target="../ctrlProps/ctrlProp264.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hyperlink" Target="mailto:orders@sky-frame.ch?subject=Sky-Frame%20Bestellung:%20OOOO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3.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6.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omments" Target="../comments4.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118.xml"/><Relationship Id="rId18" Type="http://schemas.openxmlformats.org/officeDocument/2006/relationships/ctrlProp" Target="../ctrlProps/ctrlProp123.xml"/><Relationship Id="rId26" Type="http://schemas.openxmlformats.org/officeDocument/2006/relationships/ctrlProp" Target="../ctrlProps/ctrlProp131.xml"/><Relationship Id="rId39" Type="http://schemas.openxmlformats.org/officeDocument/2006/relationships/ctrlProp" Target="../ctrlProps/ctrlProp144.xml"/><Relationship Id="rId21" Type="http://schemas.openxmlformats.org/officeDocument/2006/relationships/ctrlProp" Target="../ctrlProps/ctrlProp126.xml"/><Relationship Id="rId34" Type="http://schemas.openxmlformats.org/officeDocument/2006/relationships/ctrlProp" Target="../ctrlProps/ctrlProp139.xml"/><Relationship Id="rId42" Type="http://schemas.openxmlformats.org/officeDocument/2006/relationships/ctrlProp" Target="../ctrlProps/ctrlProp147.xml"/><Relationship Id="rId47" Type="http://schemas.openxmlformats.org/officeDocument/2006/relationships/ctrlProp" Target="../ctrlProps/ctrlProp152.xml"/><Relationship Id="rId50" Type="http://schemas.openxmlformats.org/officeDocument/2006/relationships/ctrlProp" Target="../ctrlProps/ctrlProp155.xml"/><Relationship Id="rId55" Type="http://schemas.openxmlformats.org/officeDocument/2006/relationships/ctrlProp" Target="../ctrlProps/ctrlProp160.xml"/><Relationship Id="rId7" Type="http://schemas.openxmlformats.org/officeDocument/2006/relationships/ctrlProp" Target="../ctrlProps/ctrlProp112.xml"/><Relationship Id="rId12" Type="http://schemas.openxmlformats.org/officeDocument/2006/relationships/ctrlProp" Target="../ctrlProps/ctrlProp117.xml"/><Relationship Id="rId17" Type="http://schemas.openxmlformats.org/officeDocument/2006/relationships/ctrlProp" Target="../ctrlProps/ctrlProp122.xml"/><Relationship Id="rId25" Type="http://schemas.openxmlformats.org/officeDocument/2006/relationships/ctrlProp" Target="../ctrlProps/ctrlProp130.xml"/><Relationship Id="rId33" Type="http://schemas.openxmlformats.org/officeDocument/2006/relationships/ctrlProp" Target="../ctrlProps/ctrlProp138.xml"/><Relationship Id="rId38" Type="http://schemas.openxmlformats.org/officeDocument/2006/relationships/ctrlProp" Target="../ctrlProps/ctrlProp143.xml"/><Relationship Id="rId46" Type="http://schemas.openxmlformats.org/officeDocument/2006/relationships/ctrlProp" Target="../ctrlProps/ctrlProp151.xml"/><Relationship Id="rId2" Type="http://schemas.openxmlformats.org/officeDocument/2006/relationships/drawing" Target="../drawings/drawing4.xml"/><Relationship Id="rId16" Type="http://schemas.openxmlformats.org/officeDocument/2006/relationships/ctrlProp" Target="../ctrlProps/ctrlProp121.xml"/><Relationship Id="rId20" Type="http://schemas.openxmlformats.org/officeDocument/2006/relationships/ctrlProp" Target="../ctrlProps/ctrlProp125.xml"/><Relationship Id="rId29" Type="http://schemas.openxmlformats.org/officeDocument/2006/relationships/ctrlProp" Target="../ctrlProps/ctrlProp134.xml"/><Relationship Id="rId41" Type="http://schemas.openxmlformats.org/officeDocument/2006/relationships/ctrlProp" Target="../ctrlProps/ctrlProp146.xml"/><Relationship Id="rId54" Type="http://schemas.openxmlformats.org/officeDocument/2006/relationships/ctrlProp" Target="../ctrlProps/ctrlProp159.xml"/><Relationship Id="rId1" Type="http://schemas.openxmlformats.org/officeDocument/2006/relationships/printerSettings" Target="../printerSettings/printerSettings8.bin"/><Relationship Id="rId6" Type="http://schemas.openxmlformats.org/officeDocument/2006/relationships/ctrlProp" Target="../ctrlProps/ctrlProp111.xml"/><Relationship Id="rId11" Type="http://schemas.openxmlformats.org/officeDocument/2006/relationships/ctrlProp" Target="../ctrlProps/ctrlProp116.xml"/><Relationship Id="rId24" Type="http://schemas.openxmlformats.org/officeDocument/2006/relationships/ctrlProp" Target="../ctrlProps/ctrlProp129.xml"/><Relationship Id="rId32" Type="http://schemas.openxmlformats.org/officeDocument/2006/relationships/ctrlProp" Target="../ctrlProps/ctrlProp137.xml"/><Relationship Id="rId37" Type="http://schemas.openxmlformats.org/officeDocument/2006/relationships/ctrlProp" Target="../ctrlProps/ctrlProp142.xml"/><Relationship Id="rId40" Type="http://schemas.openxmlformats.org/officeDocument/2006/relationships/ctrlProp" Target="../ctrlProps/ctrlProp145.xml"/><Relationship Id="rId45" Type="http://schemas.openxmlformats.org/officeDocument/2006/relationships/ctrlProp" Target="../ctrlProps/ctrlProp150.xml"/><Relationship Id="rId53" Type="http://schemas.openxmlformats.org/officeDocument/2006/relationships/ctrlProp" Target="../ctrlProps/ctrlProp158.xml"/><Relationship Id="rId58" Type="http://schemas.openxmlformats.org/officeDocument/2006/relationships/comments" Target="../comments6.xml"/><Relationship Id="rId5" Type="http://schemas.openxmlformats.org/officeDocument/2006/relationships/ctrlProp" Target="../ctrlProps/ctrlProp110.xml"/><Relationship Id="rId15" Type="http://schemas.openxmlformats.org/officeDocument/2006/relationships/ctrlProp" Target="../ctrlProps/ctrlProp120.xml"/><Relationship Id="rId23" Type="http://schemas.openxmlformats.org/officeDocument/2006/relationships/ctrlProp" Target="../ctrlProps/ctrlProp128.xml"/><Relationship Id="rId28" Type="http://schemas.openxmlformats.org/officeDocument/2006/relationships/ctrlProp" Target="../ctrlProps/ctrlProp133.xml"/><Relationship Id="rId36" Type="http://schemas.openxmlformats.org/officeDocument/2006/relationships/ctrlProp" Target="../ctrlProps/ctrlProp141.xml"/><Relationship Id="rId49" Type="http://schemas.openxmlformats.org/officeDocument/2006/relationships/ctrlProp" Target="../ctrlProps/ctrlProp154.xml"/><Relationship Id="rId57" Type="http://schemas.openxmlformats.org/officeDocument/2006/relationships/ctrlProp" Target="../ctrlProps/ctrlProp162.xml"/><Relationship Id="rId10" Type="http://schemas.openxmlformats.org/officeDocument/2006/relationships/ctrlProp" Target="../ctrlProps/ctrlProp115.xml"/><Relationship Id="rId19" Type="http://schemas.openxmlformats.org/officeDocument/2006/relationships/ctrlProp" Target="../ctrlProps/ctrlProp124.xml"/><Relationship Id="rId31" Type="http://schemas.openxmlformats.org/officeDocument/2006/relationships/ctrlProp" Target="../ctrlProps/ctrlProp136.xml"/><Relationship Id="rId44" Type="http://schemas.openxmlformats.org/officeDocument/2006/relationships/ctrlProp" Target="../ctrlProps/ctrlProp149.xml"/><Relationship Id="rId52" Type="http://schemas.openxmlformats.org/officeDocument/2006/relationships/ctrlProp" Target="../ctrlProps/ctrlProp157.xml"/><Relationship Id="rId4" Type="http://schemas.openxmlformats.org/officeDocument/2006/relationships/ctrlProp" Target="../ctrlProps/ctrlProp109.xml"/><Relationship Id="rId9" Type="http://schemas.openxmlformats.org/officeDocument/2006/relationships/ctrlProp" Target="../ctrlProps/ctrlProp114.xml"/><Relationship Id="rId14" Type="http://schemas.openxmlformats.org/officeDocument/2006/relationships/ctrlProp" Target="../ctrlProps/ctrlProp119.xml"/><Relationship Id="rId22" Type="http://schemas.openxmlformats.org/officeDocument/2006/relationships/ctrlProp" Target="../ctrlProps/ctrlProp127.xml"/><Relationship Id="rId27" Type="http://schemas.openxmlformats.org/officeDocument/2006/relationships/ctrlProp" Target="../ctrlProps/ctrlProp132.xml"/><Relationship Id="rId30" Type="http://schemas.openxmlformats.org/officeDocument/2006/relationships/ctrlProp" Target="../ctrlProps/ctrlProp135.xml"/><Relationship Id="rId35" Type="http://schemas.openxmlformats.org/officeDocument/2006/relationships/ctrlProp" Target="../ctrlProps/ctrlProp140.xml"/><Relationship Id="rId43" Type="http://schemas.openxmlformats.org/officeDocument/2006/relationships/ctrlProp" Target="../ctrlProps/ctrlProp148.xml"/><Relationship Id="rId48" Type="http://schemas.openxmlformats.org/officeDocument/2006/relationships/ctrlProp" Target="../ctrlProps/ctrlProp153.xml"/><Relationship Id="rId56" Type="http://schemas.openxmlformats.org/officeDocument/2006/relationships/ctrlProp" Target="../ctrlProps/ctrlProp161.xml"/><Relationship Id="rId8" Type="http://schemas.openxmlformats.org/officeDocument/2006/relationships/ctrlProp" Target="../ctrlProps/ctrlProp113.xml"/><Relationship Id="rId51" Type="http://schemas.openxmlformats.org/officeDocument/2006/relationships/ctrlProp" Target="../ctrlProps/ctrlProp156.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2:H49"/>
  <sheetViews>
    <sheetView workbookViewId="0">
      <pane ySplit="3" topLeftCell="A46" activePane="bottomLeft" state="frozen"/>
      <selection pane="bottomLeft" activeCell="H40" sqref="H40"/>
    </sheetView>
  </sheetViews>
  <sheetFormatPr baseColWidth="10" defaultColWidth="11.42578125" defaultRowHeight="12.75" x14ac:dyDescent="0.2"/>
  <cols>
    <col min="1" max="2" width="11.42578125" style="1"/>
    <col min="3" max="3" width="48.28515625" style="1" customWidth="1"/>
    <col min="4" max="5" width="5.85546875" style="1" customWidth="1"/>
    <col min="6" max="6" width="6.140625" style="1" customWidth="1"/>
    <col min="7" max="7" width="11.42578125" style="1"/>
    <col min="8" max="8" width="41.5703125" style="1" customWidth="1"/>
    <col min="9" max="16384" width="11.42578125" style="1"/>
  </cols>
  <sheetData>
    <row r="2" spans="1:8" ht="13.5" thickBot="1" x14ac:dyDescent="0.25"/>
    <row r="3" spans="1:8" ht="66.75" thickTop="1" x14ac:dyDescent="0.2">
      <c r="A3" s="164" t="s">
        <v>538</v>
      </c>
      <c r="B3" s="165" t="s">
        <v>534</v>
      </c>
      <c r="C3" s="166" t="s">
        <v>535</v>
      </c>
      <c r="D3" s="167" t="s">
        <v>536</v>
      </c>
      <c r="E3" s="168" t="s">
        <v>548</v>
      </c>
      <c r="F3" s="169" t="s">
        <v>537</v>
      </c>
      <c r="G3" s="166" t="s">
        <v>534</v>
      </c>
      <c r="H3" s="170" t="s">
        <v>542</v>
      </c>
    </row>
    <row r="4" spans="1:8" x14ac:dyDescent="0.2">
      <c r="A4" s="171" t="s">
        <v>540</v>
      </c>
      <c r="B4" s="172">
        <v>42333</v>
      </c>
      <c r="C4" s="179" t="s">
        <v>541</v>
      </c>
      <c r="D4" s="173" t="s">
        <v>539</v>
      </c>
      <c r="E4" s="174"/>
      <c r="F4" s="175"/>
      <c r="G4" s="176">
        <v>42333</v>
      </c>
      <c r="H4" s="177" t="s">
        <v>543</v>
      </c>
    </row>
    <row r="5" spans="1:8" ht="25.5" x14ac:dyDescent="0.2">
      <c r="A5" s="171" t="s">
        <v>540</v>
      </c>
      <c r="B5" s="172">
        <v>42333</v>
      </c>
      <c r="C5" s="179" t="s">
        <v>544</v>
      </c>
      <c r="D5" s="173"/>
      <c r="E5" s="174"/>
      <c r="F5" s="175" t="s">
        <v>539</v>
      </c>
      <c r="G5" s="176">
        <v>42339</v>
      </c>
      <c r="H5" s="178"/>
    </row>
    <row r="6" spans="1:8" ht="25.5" x14ac:dyDescent="0.2">
      <c r="A6" s="171" t="s">
        <v>540</v>
      </c>
      <c r="B6" s="172">
        <v>42333</v>
      </c>
      <c r="C6" s="179" t="s">
        <v>545</v>
      </c>
      <c r="D6" s="173" t="s">
        <v>539</v>
      </c>
      <c r="E6" s="174"/>
      <c r="F6" s="175"/>
      <c r="G6" s="176">
        <v>42333</v>
      </c>
      <c r="H6" s="178" t="s">
        <v>546</v>
      </c>
    </row>
    <row r="7" spans="1:8" ht="38.25" x14ac:dyDescent="0.2">
      <c r="A7" s="171" t="s">
        <v>547</v>
      </c>
      <c r="B7" s="172">
        <v>42333</v>
      </c>
      <c r="C7" s="179" t="s">
        <v>549</v>
      </c>
      <c r="D7" s="173" t="s">
        <v>539</v>
      </c>
      <c r="E7" s="174"/>
      <c r="F7" s="175"/>
      <c r="G7" s="176"/>
      <c r="H7" s="178"/>
    </row>
    <row r="8" spans="1:8" x14ac:dyDescent="0.2">
      <c r="A8" s="171" t="s">
        <v>540</v>
      </c>
      <c r="B8" s="172">
        <v>42333</v>
      </c>
      <c r="C8" s="179" t="s">
        <v>550</v>
      </c>
      <c r="D8" s="173"/>
      <c r="E8" s="174"/>
      <c r="F8" s="175" t="s">
        <v>539</v>
      </c>
      <c r="G8" s="176">
        <v>42339</v>
      </c>
      <c r="H8" s="178"/>
    </row>
    <row r="9" spans="1:8" x14ac:dyDescent="0.2">
      <c r="A9" s="171" t="s">
        <v>540</v>
      </c>
      <c r="B9" s="172">
        <v>42333</v>
      </c>
      <c r="C9" s="179" t="s">
        <v>551</v>
      </c>
      <c r="D9" s="173" t="s">
        <v>539</v>
      </c>
      <c r="E9" s="174"/>
      <c r="F9" s="175"/>
      <c r="G9" s="176">
        <v>42333</v>
      </c>
      <c r="H9" s="178" t="s">
        <v>552</v>
      </c>
    </row>
    <row r="10" spans="1:8" ht="25.5" x14ac:dyDescent="0.2">
      <c r="A10" s="171" t="s">
        <v>540</v>
      </c>
      <c r="B10" s="172">
        <v>42333</v>
      </c>
      <c r="C10" s="179" t="s">
        <v>553</v>
      </c>
      <c r="D10" s="173" t="s">
        <v>539</v>
      </c>
      <c r="E10" s="174"/>
      <c r="F10" s="175"/>
      <c r="G10" s="176">
        <v>42333</v>
      </c>
      <c r="H10" s="178" t="s">
        <v>554</v>
      </c>
    </row>
    <row r="11" spans="1:8" ht="25.5" x14ac:dyDescent="0.2">
      <c r="A11" s="171" t="s">
        <v>547</v>
      </c>
      <c r="B11" s="172">
        <v>42333</v>
      </c>
      <c r="C11" s="179" t="s">
        <v>555</v>
      </c>
      <c r="D11" s="173"/>
      <c r="E11" s="174"/>
      <c r="F11" s="175" t="s">
        <v>539</v>
      </c>
      <c r="G11" s="176">
        <v>42340</v>
      </c>
      <c r="H11" s="178" t="s">
        <v>591</v>
      </c>
    </row>
    <row r="12" spans="1:8" x14ac:dyDescent="0.2">
      <c r="A12" s="171" t="s">
        <v>540</v>
      </c>
      <c r="B12" s="172">
        <v>42333</v>
      </c>
      <c r="C12" s="179" t="s">
        <v>556</v>
      </c>
      <c r="D12" s="173"/>
      <c r="E12" s="174"/>
      <c r="F12" s="175" t="s">
        <v>539</v>
      </c>
      <c r="G12" s="176">
        <v>42333</v>
      </c>
      <c r="H12" s="178"/>
    </row>
    <row r="13" spans="1:8" x14ac:dyDescent="0.2">
      <c r="A13" s="171" t="s">
        <v>540</v>
      </c>
      <c r="B13" s="172">
        <v>42333</v>
      </c>
      <c r="C13" s="179" t="s">
        <v>557</v>
      </c>
      <c r="D13" s="173" t="s">
        <v>539</v>
      </c>
      <c r="E13" s="174"/>
      <c r="F13" s="175"/>
      <c r="G13" s="176">
        <v>42333</v>
      </c>
      <c r="H13" s="178" t="s">
        <v>558</v>
      </c>
    </row>
    <row r="14" spans="1:8" x14ac:dyDescent="0.2">
      <c r="A14" s="171" t="s">
        <v>540</v>
      </c>
      <c r="B14" s="172">
        <v>42333</v>
      </c>
      <c r="C14" s="179" t="s">
        <v>559</v>
      </c>
      <c r="D14" s="173"/>
      <c r="E14" s="174"/>
      <c r="F14" s="175" t="s">
        <v>539</v>
      </c>
      <c r="G14" s="176">
        <v>42335</v>
      </c>
      <c r="H14" s="178"/>
    </row>
    <row r="15" spans="1:8" ht="25.5" x14ac:dyDescent="0.2">
      <c r="A15" s="171" t="s">
        <v>540</v>
      </c>
      <c r="B15" s="172">
        <v>42333</v>
      </c>
      <c r="C15" s="179" t="s">
        <v>560</v>
      </c>
      <c r="D15" s="173" t="s">
        <v>539</v>
      </c>
      <c r="E15" s="174"/>
      <c r="F15" s="175"/>
      <c r="G15" s="176">
        <v>42333</v>
      </c>
      <c r="H15" s="178" t="s">
        <v>561</v>
      </c>
    </row>
    <row r="16" spans="1:8" x14ac:dyDescent="0.2">
      <c r="A16" s="171" t="s">
        <v>575</v>
      </c>
      <c r="B16" s="172">
        <v>42333</v>
      </c>
      <c r="C16" s="179" t="s">
        <v>562</v>
      </c>
      <c r="D16" s="173"/>
      <c r="E16" s="174"/>
      <c r="F16" s="175" t="s">
        <v>539</v>
      </c>
      <c r="G16" s="176">
        <v>42339</v>
      </c>
      <c r="H16" s="178" t="s">
        <v>585</v>
      </c>
    </row>
    <row r="17" spans="1:8" ht="25.5" x14ac:dyDescent="0.2">
      <c r="A17" s="171" t="s">
        <v>540</v>
      </c>
      <c r="B17" s="172">
        <v>42333</v>
      </c>
      <c r="C17" s="179" t="s">
        <v>563</v>
      </c>
      <c r="D17" s="173"/>
      <c r="E17" s="174"/>
      <c r="F17" s="175" t="s">
        <v>539</v>
      </c>
      <c r="G17" s="176">
        <v>42333</v>
      </c>
      <c r="H17" s="178"/>
    </row>
    <row r="18" spans="1:8" x14ac:dyDescent="0.2">
      <c r="A18" s="171" t="s">
        <v>571</v>
      </c>
      <c r="B18" s="172">
        <v>42333</v>
      </c>
      <c r="C18" s="179" t="s">
        <v>564</v>
      </c>
      <c r="D18" s="173"/>
      <c r="E18" s="174"/>
      <c r="F18" s="175" t="s">
        <v>539</v>
      </c>
      <c r="G18" s="176">
        <v>42333</v>
      </c>
      <c r="H18" s="178"/>
    </row>
    <row r="19" spans="1:8" x14ac:dyDescent="0.2">
      <c r="A19" s="171" t="s">
        <v>540</v>
      </c>
      <c r="B19" s="172">
        <v>42333</v>
      </c>
      <c r="C19" s="179" t="s">
        <v>565</v>
      </c>
      <c r="D19" s="173"/>
      <c r="E19" s="174"/>
      <c r="F19" s="175" t="s">
        <v>539</v>
      </c>
      <c r="G19" s="176">
        <v>42333</v>
      </c>
      <c r="H19" s="178"/>
    </row>
    <row r="20" spans="1:8" ht="25.5" x14ac:dyDescent="0.2">
      <c r="A20" s="171" t="s">
        <v>566</v>
      </c>
      <c r="B20" s="172">
        <v>42333</v>
      </c>
      <c r="C20" s="179" t="s">
        <v>567</v>
      </c>
      <c r="D20" s="173"/>
      <c r="E20" s="174"/>
      <c r="F20" s="175" t="s">
        <v>539</v>
      </c>
      <c r="G20" s="176">
        <v>42338</v>
      </c>
      <c r="H20" s="178"/>
    </row>
    <row r="21" spans="1:8" ht="25.5" x14ac:dyDescent="0.2">
      <c r="A21" s="171" t="s">
        <v>568</v>
      </c>
      <c r="B21" s="172">
        <v>42333</v>
      </c>
      <c r="C21" s="179" t="s">
        <v>569</v>
      </c>
      <c r="D21" s="173"/>
      <c r="E21" s="174"/>
      <c r="F21" s="175" t="s">
        <v>539</v>
      </c>
      <c r="G21" s="176">
        <v>42338</v>
      </c>
      <c r="H21" s="178"/>
    </row>
    <row r="22" spans="1:8" ht="25.5" x14ac:dyDescent="0.2">
      <c r="A22" s="171" t="s">
        <v>568</v>
      </c>
      <c r="B22" s="172">
        <v>42333</v>
      </c>
      <c r="C22" s="179" t="s">
        <v>570</v>
      </c>
      <c r="D22" s="173"/>
      <c r="E22" s="174"/>
      <c r="F22" s="175" t="s">
        <v>539</v>
      </c>
      <c r="G22" s="176">
        <v>42338</v>
      </c>
      <c r="H22" s="178"/>
    </row>
    <row r="23" spans="1:8" x14ac:dyDescent="0.2">
      <c r="A23" s="171" t="s">
        <v>568</v>
      </c>
      <c r="B23" s="172">
        <v>42333</v>
      </c>
      <c r="C23" s="179" t="s">
        <v>572</v>
      </c>
      <c r="D23" s="173"/>
      <c r="E23" s="174"/>
      <c r="F23" s="175" t="s">
        <v>539</v>
      </c>
      <c r="G23" s="176">
        <v>42333</v>
      </c>
      <c r="H23" s="178"/>
    </row>
    <row r="24" spans="1:8" ht="25.5" x14ac:dyDescent="0.2">
      <c r="A24" s="171" t="s">
        <v>568</v>
      </c>
      <c r="B24" s="172">
        <v>42333</v>
      </c>
      <c r="C24" s="179" t="s">
        <v>573</v>
      </c>
      <c r="D24" s="173"/>
      <c r="E24" s="174"/>
      <c r="F24" s="175" t="s">
        <v>539</v>
      </c>
      <c r="G24" s="176">
        <v>42333</v>
      </c>
      <c r="H24" s="178"/>
    </row>
    <row r="25" spans="1:8" ht="25.5" x14ac:dyDescent="0.2">
      <c r="A25" s="171" t="s">
        <v>568</v>
      </c>
      <c r="B25" s="172">
        <v>42333</v>
      </c>
      <c r="C25" s="179" t="s">
        <v>574</v>
      </c>
      <c r="D25" s="173"/>
      <c r="E25" s="174"/>
      <c r="F25" s="175" t="s">
        <v>539</v>
      </c>
      <c r="G25" s="176">
        <v>42335</v>
      </c>
      <c r="H25" s="178"/>
    </row>
    <row r="26" spans="1:8" ht="25.5" x14ac:dyDescent="0.2">
      <c r="A26" s="171" t="s">
        <v>576</v>
      </c>
      <c r="B26" s="172">
        <v>42338</v>
      </c>
      <c r="C26" s="179" t="s">
        <v>577</v>
      </c>
      <c r="D26" s="173"/>
      <c r="E26" s="174"/>
      <c r="F26" s="175" t="s">
        <v>539</v>
      </c>
      <c r="G26" s="176">
        <v>42339</v>
      </c>
      <c r="H26" s="178" t="s">
        <v>578</v>
      </c>
    </row>
    <row r="27" spans="1:8" ht="25.5" x14ac:dyDescent="0.2">
      <c r="A27" s="171" t="s">
        <v>576</v>
      </c>
      <c r="B27" s="172">
        <v>42338</v>
      </c>
      <c r="C27" s="179" t="s">
        <v>579</v>
      </c>
      <c r="D27" s="173"/>
      <c r="E27" s="174"/>
      <c r="F27" s="175" t="s">
        <v>539</v>
      </c>
      <c r="G27" s="176">
        <v>42339</v>
      </c>
      <c r="H27" s="178" t="s">
        <v>578</v>
      </c>
    </row>
    <row r="28" spans="1:8" x14ac:dyDescent="0.2">
      <c r="A28" s="171" t="s">
        <v>576</v>
      </c>
      <c r="B28" s="172">
        <v>42338</v>
      </c>
      <c r="C28" s="179" t="s">
        <v>580</v>
      </c>
      <c r="D28" s="173"/>
      <c r="E28" s="174"/>
      <c r="F28" s="175" t="s">
        <v>539</v>
      </c>
      <c r="G28" s="176">
        <v>42340</v>
      </c>
      <c r="H28" s="178"/>
    </row>
    <row r="29" spans="1:8" ht="25.5" x14ac:dyDescent="0.2">
      <c r="A29" s="171" t="s">
        <v>576</v>
      </c>
      <c r="B29" s="172">
        <v>42340</v>
      </c>
      <c r="C29" s="179" t="s">
        <v>587</v>
      </c>
      <c r="D29" s="173"/>
      <c r="E29" s="174"/>
      <c r="F29" s="175" t="s">
        <v>539</v>
      </c>
      <c r="G29" s="176">
        <v>42340</v>
      </c>
      <c r="H29" s="178" t="s">
        <v>588</v>
      </c>
    </row>
    <row r="30" spans="1:8" x14ac:dyDescent="0.2">
      <c r="A30" s="171" t="s">
        <v>597</v>
      </c>
      <c r="B30" s="172">
        <v>42341</v>
      </c>
      <c r="C30" s="179" t="s">
        <v>598</v>
      </c>
      <c r="D30" s="173"/>
      <c r="E30" s="174"/>
      <c r="F30" s="175" t="s">
        <v>539</v>
      </c>
      <c r="G30" s="176">
        <v>42341</v>
      </c>
      <c r="H30" s="178" t="s">
        <v>599</v>
      </c>
    </row>
    <row r="31" spans="1:8" x14ac:dyDescent="0.2">
      <c r="A31" s="171" t="s">
        <v>597</v>
      </c>
      <c r="B31" s="172">
        <v>42341</v>
      </c>
      <c r="C31" s="179" t="s">
        <v>629</v>
      </c>
      <c r="D31" s="173"/>
      <c r="E31" s="174"/>
      <c r="F31" s="175" t="s">
        <v>539</v>
      </c>
      <c r="G31" s="176">
        <v>42341</v>
      </c>
      <c r="H31" s="178"/>
    </row>
    <row r="32" spans="1:8" ht="38.25" x14ac:dyDescent="0.2">
      <c r="A32" s="171" t="s">
        <v>597</v>
      </c>
      <c r="B32" s="172">
        <v>42341</v>
      </c>
      <c r="C32" s="179" t="s">
        <v>630</v>
      </c>
      <c r="D32" s="173"/>
      <c r="E32" s="174"/>
      <c r="F32" s="175" t="s">
        <v>539</v>
      </c>
      <c r="G32" s="176">
        <v>42345</v>
      </c>
      <c r="H32" s="178"/>
    </row>
    <row r="33" spans="1:8" x14ac:dyDescent="0.2">
      <c r="A33" s="171" t="s">
        <v>631</v>
      </c>
      <c r="B33" s="172">
        <v>42341</v>
      </c>
      <c r="C33" s="179" t="s">
        <v>632</v>
      </c>
      <c r="D33" s="173"/>
      <c r="E33" s="174"/>
      <c r="F33" s="175" t="s">
        <v>539</v>
      </c>
      <c r="G33" s="176">
        <v>42345</v>
      </c>
      <c r="H33" s="178" t="s">
        <v>633</v>
      </c>
    </row>
    <row r="34" spans="1:8" ht="25.5" x14ac:dyDescent="0.2">
      <c r="A34" s="171" t="s">
        <v>634</v>
      </c>
      <c r="B34" s="172">
        <v>42341</v>
      </c>
      <c r="C34" s="179" t="s">
        <v>635</v>
      </c>
      <c r="D34" s="173"/>
      <c r="E34" s="174"/>
      <c r="F34" s="175" t="s">
        <v>539</v>
      </c>
      <c r="G34" s="176">
        <v>42345</v>
      </c>
      <c r="H34" s="178"/>
    </row>
    <row r="35" spans="1:8" ht="25.5" x14ac:dyDescent="0.2">
      <c r="A35" s="171" t="s">
        <v>634</v>
      </c>
      <c r="B35" s="172">
        <v>42345</v>
      </c>
      <c r="C35" s="179" t="s">
        <v>636</v>
      </c>
      <c r="D35" s="173"/>
      <c r="E35" s="174"/>
      <c r="F35" s="175"/>
      <c r="G35" s="176"/>
      <c r="H35" s="178"/>
    </row>
    <row r="36" spans="1:8" x14ac:dyDescent="0.2">
      <c r="A36" s="171" t="s">
        <v>634</v>
      </c>
      <c r="B36" s="172">
        <v>42345</v>
      </c>
      <c r="C36" s="1" t="s">
        <v>637</v>
      </c>
      <c r="D36" s="173"/>
      <c r="E36" s="174"/>
      <c r="F36" s="175"/>
      <c r="G36" s="176"/>
      <c r="H36" s="178"/>
    </row>
    <row r="37" spans="1:8" x14ac:dyDescent="0.2">
      <c r="A37" s="171" t="s">
        <v>634</v>
      </c>
      <c r="B37" s="172">
        <v>42345</v>
      </c>
      <c r="C37" s="179" t="s">
        <v>638</v>
      </c>
      <c r="D37" s="173"/>
      <c r="E37" s="174"/>
      <c r="F37" s="175"/>
      <c r="G37" s="176"/>
      <c r="H37" s="178"/>
    </row>
    <row r="38" spans="1:8" ht="25.5" x14ac:dyDescent="0.2">
      <c r="A38" s="171" t="s">
        <v>634</v>
      </c>
      <c r="B38" s="172">
        <v>42345</v>
      </c>
      <c r="C38" s="179" t="s">
        <v>643</v>
      </c>
      <c r="D38" s="173"/>
      <c r="E38" s="174"/>
      <c r="F38" s="175"/>
      <c r="G38" s="176"/>
      <c r="H38" s="178"/>
    </row>
    <row r="39" spans="1:8" ht="25.5" x14ac:dyDescent="0.2">
      <c r="A39" s="171" t="s">
        <v>639</v>
      </c>
      <c r="B39" s="172">
        <v>42345</v>
      </c>
      <c r="C39" s="179" t="s">
        <v>640</v>
      </c>
      <c r="D39" s="173" t="s">
        <v>539</v>
      </c>
      <c r="E39" s="174"/>
      <c r="F39" s="175"/>
      <c r="G39" s="176"/>
      <c r="H39" s="178" t="s">
        <v>699</v>
      </c>
    </row>
    <row r="40" spans="1:8" x14ac:dyDescent="0.2">
      <c r="A40" s="171" t="s">
        <v>634</v>
      </c>
      <c r="B40" s="172">
        <v>42345</v>
      </c>
      <c r="C40" s="179" t="s">
        <v>641</v>
      </c>
      <c r="D40" s="173"/>
      <c r="E40" s="174"/>
      <c r="F40" s="175" t="s">
        <v>539</v>
      </c>
      <c r="G40" s="176">
        <v>42349</v>
      </c>
      <c r="H40" s="178" t="s">
        <v>642</v>
      </c>
    </row>
    <row r="41" spans="1:8" x14ac:dyDescent="0.2">
      <c r="A41" s="171"/>
      <c r="B41" s="172"/>
      <c r="C41" s="179"/>
      <c r="D41" s="173"/>
      <c r="E41" s="174"/>
      <c r="F41" s="175"/>
      <c r="G41" s="176"/>
      <c r="H41" s="178"/>
    </row>
    <row r="42" spans="1:8" x14ac:dyDescent="0.2">
      <c r="A42" s="171"/>
      <c r="B42" s="172"/>
      <c r="C42" s="179"/>
      <c r="D42" s="173"/>
      <c r="E42" s="174"/>
      <c r="F42" s="175"/>
      <c r="G42" s="176"/>
      <c r="H42" s="178"/>
    </row>
    <row r="43" spans="1:8" x14ac:dyDescent="0.2">
      <c r="A43" s="171"/>
      <c r="B43" s="172"/>
      <c r="C43" s="179"/>
      <c r="D43" s="173"/>
      <c r="E43" s="174"/>
      <c r="F43" s="175"/>
      <c r="G43" s="176"/>
      <c r="H43" s="178"/>
    </row>
    <row r="44" spans="1:8" x14ac:dyDescent="0.2">
      <c r="A44" s="171"/>
      <c r="B44" s="172"/>
      <c r="C44" s="179"/>
      <c r="D44" s="173"/>
      <c r="E44" s="174"/>
      <c r="F44" s="175"/>
      <c r="G44" s="176"/>
      <c r="H44" s="178"/>
    </row>
    <row r="45" spans="1:8" x14ac:dyDescent="0.2">
      <c r="A45" s="171"/>
      <c r="B45" s="172"/>
      <c r="C45" s="179"/>
      <c r="D45" s="173"/>
      <c r="E45" s="174"/>
      <c r="F45" s="175"/>
      <c r="G45" s="176"/>
      <c r="H45" s="178"/>
    </row>
    <row r="46" spans="1:8" x14ac:dyDescent="0.2">
      <c r="A46" s="171"/>
      <c r="B46" s="172"/>
      <c r="C46" s="179"/>
      <c r="D46" s="173"/>
      <c r="E46" s="174"/>
      <c r="F46" s="175"/>
      <c r="G46" s="176"/>
      <c r="H46" s="178"/>
    </row>
    <row r="47" spans="1:8" x14ac:dyDescent="0.2">
      <c r="A47" s="171"/>
      <c r="B47" s="172"/>
      <c r="C47" s="179"/>
      <c r="D47" s="173"/>
      <c r="E47" s="174"/>
      <c r="F47" s="175"/>
      <c r="G47" s="176"/>
      <c r="H47" s="178"/>
    </row>
    <row r="48" spans="1:8" x14ac:dyDescent="0.2">
      <c r="A48" s="171"/>
      <c r="B48" s="172"/>
      <c r="C48" s="179"/>
      <c r="D48" s="173"/>
      <c r="E48" s="174"/>
      <c r="F48" s="175"/>
      <c r="G48" s="176"/>
      <c r="H48" s="178"/>
    </row>
    <row r="49" spans="1:8" x14ac:dyDescent="0.2">
      <c r="A49" s="171"/>
      <c r="B49" s="172"/>
      <c r="C49" s="179"/>
      <c r="D49" s="173"/>
      <c r="E49" s="174"/>
      <c r="F49" s="175"/>
      <c r="G49" s="176"/>
      <c r="H49" s="178"/>
    </row>
  </sheetData>
  <conditionalFormatting sqref="A4:H30 A41:H49">
    <cfRule type="expression" dxfId="1603" priority="7">
      <formula>$E4="x"</formula>
    </cfRule>
    <cfRule type="expression" dxfId="1602" priority="8">
      <formula>$D4="x"</formula>
    </cfRule>
    <cfRule type="expression" dxfId="1601" priority="9">
      <formula>$F4="x"</formula>
    </cfRule>
  </conditionalFormatting>
  <conditionalFormatting sqref="A38:H40 A31:H35 A36:B37 D36:H37">
    <cfRule type="expression" dxfId="1600" priority="1">
      <formula>$E31="x"</formula>
    </cfRule>
    <cfRule type="expression" dxfId="1599" priority="2">
      <formula>$D31="x"</formula>
    </cfRule>
    <cfRule type="expression" dxfId="1598" priority="3">
      <formula>$F31="x"</formula>
    </cfRule>
  </conditionalFormatting>
  <conditionalFormatting sqref="C37">
    <cfRule type="expression" dxfId="1597" priority="4">
      <formula>$E36="x"</formula>
    </cfRule>
    <cfRule type="expression" dxfId="1596" priority="5">
      <formula>$D36="x"</formula>
    </cfRule>
    <cfRule type="expression" dxfId="1595" priority="6">
      <formula>$F36="x"</formula>
    </cfRule>
  </conditionalFormatting>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6350C-C2F0-4C03-84D7-5CF7187DF408}">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6" width="5.5703125" style="141" customWidth="1"/>
    <col min="57" max="57" width="5.140625" style="141" customWidth="1"/>
    <col min="58" max="58" width="1.85546875" style="141" customWidth="1"/>
    <col min="59" max="59" width="5.7109375" style="141" customWidth="1"/>
    <col min="60" max="60" width="6.28515625" style="141" customWidth="1"/>
    <col min="61" max="61" width="5.85546875" style="141" customWidth="1"/>
    <col min="62" max="64" width="11.42578125" style="141" hidden="1" customWidth="1"/>
    <col min="65" max="16384" width="11.42578125" style="141"/>
  </cols>
  <sheetData>
    <row r="1" spans="1:64" ht="13.5" thickBot="1" x14ac:dyDescent="0.25">
      <c r="A1" s="159" t="s">
        <v>533</v>
      </c>
      <c r="C1" s="61"/>
      <c r="AW1" s="160"/>
    </row>
    <row r="2" spans="1:64" ht="13.5" thickTop="1" x14ac:dyDescent="0.2">
      <c r="B2" s="204">
        <v>4</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13"/>
      <c r="AW2" s="422"/>
      <c r="AX2" s="241"/>
      <c r="AY2" s="241"/>
      <c r="AZ2" s="241"/>
      <c r="BA2" s="241"/>
      <c r="BB2" s="359" t="str">
        <f>CONCATENATE(ROUND(SUM(I46:K49)*Z42/1000000,2)*AJ6,"m²")</f>
        <v>0m²</v>
      </c>
      <c r="BD2" s="240"/>
      <c r="BE2" s="241"/>
      <c r="BF2" s="241"/>
      <c r="BG2" s="241"/>
      <c r="BH2" s="241"/>
      <c r="BI2" s="242"/>
    </row>
    <row r="3" spans="1:64" ht="36.75" customHeight="1" x14ac:dyDescent="0.3">
      <c r="B3" s="20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42"/>
      <c r="AR3" s="84"/>
      <c r="AS3" s="84"/>
      <c r="AT3" s="143" t="s">
        <v>456</v>
      </c>
      <c r="AU3" s="115"/>
      <c r="AW3" s="243"/>
      <c r="AX3" s="244" t="str">
        <f>'Sprachen &amp; Rückgabewerte(4)'!$H$2</f>
        <v>Sprache:</v>
      </c>
      <c r="AY3" s="61"/>
      <c r="AZ3" s="61"/>
      <c r="BA3" s="61"/>
      <c r="BB3" s="378" t="str">
        <f>IF(AND(AJ6&gt;1),CONCATENATE(AH6," ",AJ6),"")</f>
        <v/>
      </c>
      <c r="BD3" s="243"/>
      <c r="BE3" s="416" t="str">
        <f>'Sprachen &amp; Rückgabewerte(4)'!H183</f>
        <v>Inch-Rechner</v>
      </c>
      <c r="BF3" s="416"/>
      <c r="BG3" s="61"/>
      <c r="BH3" s="61"/>
      <c r="BI3" s="245"/>
    </row>
    <row r="4" spans="1:64" ht="19.5" customHeight="1" x14ac:dyDescent="0.2">
      <c r="B4" s="111"/>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13"/>
      <c r="AW4" s="243"/>
      <c r="AX4" s="61"/>
      <c r="AY4" s="61"/>
      <c r="AZ4" s="61"/>
      <c r="BA4" s="61"/>
      <c r="BB4" s="245"/>
      <c r="BD4" s="243"/>
      <c r="BE4" s="156" t="str">
        <f>'Sprachen &amp; Rückgabewerte(4)'!H184</f>
        <v>Fuss:</v>
      </c>
      <c r="BF4" s="156"/>
      <c r="BG4" s="156" t="str">
        <f>'Sprachen &amp; Rückgabewerte(4)'!H185</f>
        <v>Zoll:</v>
      </c>
      <c r="BH4" s="61"/>
      <c r="BI4" s="245"/>
    </row>
    <row r="5" spans="1:64" ht="15" customHeight="1" x14ac:dyDescent="0.2">
      <c r="B5" s="60"/>
      <c r="C5" s="126"/>
      <c r="D5" s="127"/>
      <c r="E5" s="128" t="str">
        <f>'Sprachen &amp; Rückgabewerte(4)'!H4</f>
        <v>BESTELLUNG</v>
      </c>
      <c r="F5" s="127"/>
      <c r="G5" s="127"/>
      <c r="H5" s="127"/>
      <c r="I5" s="127"/>
      <c r="J5" s="127"/>
      <c r="K5" s="127"/>
      <c r="L5" s="127"/>
      <c r="M5" s="127"/>
      <c r="N5" s="127"/>
      <c r="O5" s="127"/>
      <c r="P5" s="127"/>
      <c r="Q5" s="127"/>
      <c r="R5" s="129"/>
      <c r="S5" s="680" t="str">
        <f>'Sprachen &amp; Rückgabewerte(4)'!$H$130</f>
        <v>Vertriebspartner:</v>
      </c>
      <c r="T5" s="681"/>
      <c r="U5" s="681"/>
      <c r="V5" s="681"/>
      <c r="W5" s="681"/>
      <c r="X5" s="682"/>
      <c r="Y5" s="689"/>
      <c r="Z5" s="690"/>
      <c r="AA5" s="690"/>
      <c r="AB5" s="690"/>
      <c r="AC5" s="690"/>
      <c r="AD5" s="690"/>
      <c r="AE5" s="690"/>
      <c r="AF5" s="691"/>
      <c r="AG5" s="144"/>
      <c r="AH5" s="130" t="str">
        <f>'Sprachen &amp; Rückgabewerte(4)'!H55</f>
        <v>Pos:</v>
      </c>
      <c r="AI5" s="145"/>
      <c r="AJ5" s="683"/>
      <c r="AK5" s="684"/>
      <c r="AL5" s="685"/>
      <c r="AM5" s="144"/>
      <c r="AN5" s="130" t="str">
        <f>'Sprachen &amp; Rückgabewerte(4)'!$H$10</f>
        <v>2-gleisig</v>
      </c>
      <c r="AO5" s="145"/>
      <c r="AP5" s="145"/>
      <c r="AQ5" s="145"/>
      <c r="AR5" s="145"/>
      <c r="AS5" s="145"/>
      <c r="AT5" s="189"/>
      <c r="AU5" s="114"/>
      <c r="AW5" s="243"/>
      <c r="AY5" s="61"/>
      <c r="AZ5" s="61"/>
      <c r="BA5" s="61"/>
      <c r="BB5" s="245"/>
      <c r="BD5" s="243"/>
      <c r="BE5" s="582"/>
      <c r="BF5" s="586" t="str">
        <f>"'"</f>
        <v>'</v>
      </c>
      <c r="BG5" s="584"/>
      <c r="BH5" s="414"/>
      <c r="BI5" s="245"/>
      <c r="BJ5" s="141">
        <f>BE5*304.8</f>
        <v>0</v>
      </c>
      <c r="BK5" s="141">
        <f>BG5*25.4</f>
        <v>0</v>
      </c>
      <c r="BL5" s="141">
        <f>IF(AND(BH5="",BH6=""),0,25.4*BH5/BH6)</f>
        <v>0</v>
      </c>
    </row>
    <row r="6" spans="1:64" ht="12" customHeight="1" x14ac:dyDescent="0.2">
      <c r="B6" s="60"/>
      <c r="C6" s="131"/>
      <c r="D6" s="132"/>
      <c r="E6" s="67"/>
      <c r="F6" s="132" t="str">
        <f>'Sprachen &amp; Rückgabewerte(4)'!$H$5</f>
        <v>Gemäss Zeichnung Nr.:</v>
      </c>
      <c r="G6" s="132"/>
      <c r="H6" s="132"/>
      <c r="I6" s="132"/>
      <c r="J6" s="132"/>
      <c r="K6" s="132"/>
      <c r="L6" s="146"/>
      <c r="M6" s="546"/>
      <c r="N6" s="547"/>
      <c r="O6" s="547"/>
      <c r="P6" s="547"/>
      <c r="Q6" s="548"/>
      <c r="R6" s="133"/>
      <c r="S6" s="134" t="str">
        <f>'Sprachen &amp; Rückgabewerte(4)'!$H$7</f>
        <v xml:space="preserve">Objekt: </v>
      </c>
      <c r="T6" s="132"/>
      <c r="U6" s="132"/>
      <c r="V6" s="132"/>
      <c r="W6" s="132"/>
      <c r="X6" s="91"/>
      <c r="Y6" s="686"/>
      <c r="Z6" s="687"/>
      <c r="AA6" s="687"/>
      <c r="AB6" s="687"/>
      <c r="AC6" s="687"/>
      <c r="AD6" s="687"/>
      <c r="AE6" s="687"/>
      <c r="AF6" s="688"/>
      <c r="AG6" s="133"/>
      <c r="AH6" s="134" t="str">
        <f>'Sprachen &amp; Rückgabewerte(4)'!H56</f>
        <v>Stück:</v>
      </c>
      <c r="AI6" s="132"/>
      <c r="AJ6" s="692"/>
      <c r="AK6" s="693"/>
      <c r="AL6" s="694"/>
      <c r="AM6" s="116"/>
      <c r="AN6" s="134" t="str">
        <f>'Sprachen &amp; Rückgabewerte(4)'!$H$11</f>
        <v>3-gleisig</v>
      </c>
      <c r="AO6" s="132"/>
      <c r="AP6" s="132"/>
      <c r="AQ6" s="132"/>
      <c r="AR6" s="132"/>
      <c r="AS6" s="132"/>
      <c r="AT6" s="133"/>
      <c r="AU6" s="114"/>
      <c r="AW6" s="243"/>
      <c r="AY6" s="61"/>
      <c r="AZ6" s="61"/>
      <c r="BA6" s="61"/>
      <c r="BB6" s="245"/>
      <c r="BD6" s="243"/>
      <c r="BE6" s="583"/>
      <c r="BF6" s="586"/>
      <c r="BG6" s="585"/>
      <c r="BH6" s="415"/>
      <c r="BI6" s="245"/>
    </row>
    <row r="7" spans="1:64" ht="12" customHeight="1" x14ac:dyDescent="0.2">
      <c r="B7" s="60"/>
      <c r="C7" s="131"/>
      <c r="D7" s="132"/>
      <c r="E7" s="67"/>
      <c r="F7" s="132" t="str">
        <f>'Sprachen &amp; Rückgabewerte(4)'!$H$6</f>
        <v>Gemäss Skizze: (Ansicht von Aussen)</v>
      </c>
      <c r="G7" s="132"/>
      <c r="H7" s="132"/>
      <c r="I7" s="132"/>
      <c r="J7" s="132"/>
      <c r="K7" s="132"/>
      <c r="L7" s="132"/>
      <c r="M7" s="132"/>
      <c r="N7" s="132"/>
      <c r="O7" s="132"/>
      <c r="P7" s="132"/>
      <c r="Q7" s="132"/>
      <c r="R7" s="133"/>
      <c r="S7" s="134" t="str">
        <f>'Sprachen &amp; Rückgabewerte(4)'!$H$8</f>
        <v>Bestelldatum:</v>
      </c>
      <c r="T7" s="132"/>
      <c r="U7" s="132"/>
      <c r="V7" s="132"/>
      <c r="W7" s="132"/>
      <c r="X7" s="91"/>
      <c r="Y7" s="673"/>
      <c r="Z7" s="674"/>
      <c r="AA7" s="674"/>
      <c r="AB7" s="674"/>
      <c r="AC7" s="674"/>
      <c r="AD7" s="674"/>
      <c r="AE7" s="674"/>
      <c r="AF7" s="675"/>
      <c r="AG7" s="147"/>
      <c r="AH7" s="134" t="str">
        <f>'Sprachen &amp; Rückgabewerte(4)'!H57</f>
        <v>Seite:</v>
      </c>
      <c r="AI7" s="148"/>
      <c r="AJ7" s="683"/>
      <c r="AK7" s="684"/>
      <c r="AL7" s="685"/>
      <c r="AM7" s="116"/>
      <c r="AN7" s="134" t="str">
        <f>IF($AT$5="",'Sprachen &amp; Rückgabewerte(4)'!$H$12,'Sprachen &amp; Rückgabewerte(4)'!$H$133)</f>
        <v>4-gleisig</v>
      </c>
      <c r="AO7" s="91"/>
      <c r="AP7" s="146"/>
      <c r="AQ7" s="146"/>
      <c r="AR7" s="146"/>
      <c r="AS7" s="146"/>
      <c r="AT7" s="133"/>
      <c r="AU7" s="114"/>
      <c r="AW7" s="243"/>
      <c r="AX7" s="155" t="str">
        <f>'Sprachen &amp; Rückgabewerte(4)'!H193</f>
        <v>Sonstiges:</v>
      </c>
      <c r="AY7" s="61"/>
      <c r="AZ7" s="61"/>
      <c r="BA7" s="61"/>
      <c r="BB7" s="245"/>
      <c r="BD7" s="243"/>
      <c r="BE7" s="61"/>
      <c r="BF7" s="61"/>
      <c r="BG7" s="61"/>
      <c r="BH7" s="61"/>
      <c r="BI7" s="245"/>
    </row>
    <row r="8" spans="1:64" ht="7.5" customHeight="1" thickBot="1" x14ac:dyDescent="0.25">
      <c r="B8" s="60"/>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3"/>
      <c r="AX8" s="61"/>
      <c r="AY8" s="61"/>
      <c r="AZ8" s="61"/>
      <c r="BA8" s="61"/>
      <c r="BB8" s="245"/>
      <c r="BD8" s="243"/>
      <c r="BE8" s="61"/>
      <c r="BF8" s="61"/>
      <c r="BG8" s="61"/>
      <c r="BH8" s="61"/>
      <c r="BI8" s="245"/>
    </row>
    <row r="9" spans="1:64" ht="15" customHeight="1" thickTop="1" x14ac:dyDescent="0.2">
      <c r="A9" s="653" t="str">
        <f>IF('Sprachen &amp; Rückgabewerte(4)'!L62=1,'Sprachen &amp; Rückgabewerte(4)'!$H$132,"")</f>
        <v/>
      </c>
      <c r="B9" s="228"/>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4"/>
      <c r="AU9" s="114"/>
      <c r="AW9" s="243"/>
      <c r="AX9" s="426" t="str">
        <f>'Sprachen &amp; Rückgabewerte(4)'!H194</f>
        <v>Sichtbare Rahmenprofile (aussen):</v>
      </c>
      <c r="AY9" s="426"/>
      <c r="AZ9" s="617"/>
      <c r="BA9" s="619"/>
      <c r="BB9" s="245"/>
      <c r="BD9" s="243"/>
      <c r="BE9" s="587">
        <f>ROUND(SUM(BJ5,BK5,BL5),1)</f>
        <v>0</v>
      </c>
      <c r="BF9" s="588"/>
      <c r="BG9" s="589"/>
      <c r="BH9" s="156" t="s">
        <v>179</v>
      </c>
      <c r="BI9" s="245"/>
    </row>
    <row r="10" spans="1:64" ht="15" customHeight="1" thickBot="1" x14ac:dyDescent="0.25">
      <c r="A10" s="654"/>
      <c r="B10" s="228"/>
      <c r="C10" s="60"/>
      <c r="D10" s="61"/>
      <c r="E10" s="61"/>
      <c r="F10" s="676"/>
      <c r="G10" s="677"/>
      <c r="H10" s="61"/>
      <c r="I10" s="61"/>
      <c r="J10" s="676"/>
      <c r="K10" s="677"/>
      <c r="L10" s="61"/>
      <c r="M10" s="61"/>
      <c r="N10" s="676"/>
      <c r="O10" s="677"/>
      <c r="P10" s="61"/>
      <c r="Q10" s="61"/>
      <c r="R10" s="676"/>
      <c r="S10" s="677"/>
      <c r="T10" s="61"/>
      <c r="U10" s="61"/>
      <c r="V10" s="676"/>
      <c r="W10" s="677"/>
      <c r="X10" s="61"/>
      <c r="Y10" s="61"/>
      <c r="Z10" s="676"/>
      <c r="AA10" s="677"/>
      <c r="AB10" s="61"/>
      <c r="AC10" s="61"/>
      <c r="AD10" s="676"/>
      <c r="AE10" s="677"/>
      <c r="AF10" s="61"/>
      <c r="AG10" s="61"/>
      <c r="AH10" s="676"/>
      <c r="AI10" s="677"/>
      <c r="AJ10" s="61"/>
      <c r="AK10" s="61"/>
      <c r="AL10" s="676"/>
      <c r="AM10" s="677"/>
      <c r="AN10" s="61"/>
      <c r="AO10" s="61"/>
      <c r="AP10" s="676"/>
      <c r="AQ10" s="677"/>
      <c r="AR10" s="61"/>
      <c r="AS10" s="61"/>
      <c r="AT10" s="114"/>
      <c r="AU10" s="114"/>
      <c r="AW10" s="243"/>
      <c r="AX10" s="426" t="str">
        <f>'Sprachen &amp; Rückgabewerte(4)'!H195</f>
        <v>Lieferung Glas und Rahmen:</v>
      </c>
      <c r="AY10" s="426"/>
      <c r="AZ10" s="617"/>
      <c r="BA10" s="619"/>
      <c r="BB10" s="245"/>
      <c r="BD10" s="259"/>
      <c r="BE10" s="249"/>
      <c r="BF10" s="249"/>
      <c r="BG10" s="249"/>
      <c r="BH10" s="249"/>
      <c r="BI10" s="251"/>
    </row>
    <row r="11" spans="1:64" ht="15" customHeight="1" thickTop="1" thickBot="1" x14ac:dyDescent="0.25">
      <c r="A11" s="655"/>
      <c r="B11" s="228"/>
      <c r="C11" s="239">
        <f>COUNTBLANK(E11:AO11)</f>
        <v>37</v>
      </c>
      <c r="D11" s="61"/>
      <c r="E11" s="67"/>
      <c r="F11" s="67"/>
      <c r="G11" s="67"/>
      <c r="H11" s="162"/>
      <c r="I11" s="162"/>
      <c r="J11" s="67"/>
      <c r="K11" s="67"/>
      <c r="L11" s="162"/>
      <c r="M11" s="162"/>
      <c r="N11" s="67"/>
      <c r="O11" s="67"/>
      <c r="P11" s="162"/>
      <c r="Q11" s="162"/>
      <c r="R11" s="67"/>
      <c r="S11" s="67"/>
      <c r="T11" s="162"/>
      <c r="U11" s="162"/>
      <c r="V11" s="67"/>
      <c r="W11" s="67"/>
      <c r="X11" s="162"/>
      <c r="Y11" s="162"/>
      <c r="Z11" s="67"/>
      <c r="AA11" s="67"/>
      <c r="AB11" s="162"/>
      <c r="AC11" s="162"/>
      <c r="AD11" s="67"/>
      <c r="AE11" s="67"/>
      <c r="AF11" s="162"/>
      <c r="AG11" s="162"/>
      <c r="AH11" s="67"/>
      <c r="AI11" s="67"/>
      <c r="AJ11" s="162"/>
      <c r="AK11" s="162"/>
      <c r="AL11" s="67"/>
      <c r="AM11" s="67"/>
      <c r="AN11" s="162"/>
      <c r="AO11" s="162"/>
      <c r="AP11" s="67"/>
      <c r="AQ11" s="67"/>
      <c r="AR11" s="67"/>
      <c r="AS11" s="61"/>
      <c r="AT11" s="114"/>
      <c r="AU11" s="114"/>
      <c r="AW11" s="243"/>
      <c r="AY11" s="61"/>
      <c r="AZ11" s="61"/>
      <c r="BA11" s="61"/>
      <c r="BB11" s="245"/>
    </row>
    <row r="12" spans="1:64" ht="13.5" customHeight="1" thickTop="1" x14ac:dyDescent="0.2">
      <c r="B12" s="60"/>
      <c r="C12" s="60"/>
      <c r="D12" s="61"/>
      <c r="E12" s="95"/>
      <c r="F12" s="82"/>
      <c r="G12" s="82"/>
      <c r="H12" s="83" t="str">
        <f>IF(F10&lt;&gt;"",IF(AND(F10&gt;0,F10&lt;&gt;"F"),CONCATENATE('Sprachen &amp; Rückgabewerte(4)'!$C$28," ",'Sprachen &amp; Rückgabewerte(4)'!$C$29," ",'Sprachen &amp; Rückgabewerte(4)'!$C$30),'Sprachen &amp; Rückgabewerte(4)'!$C$30),"")</f>
        <v/>
      </c>
      <c r="I12" s="95"/>
      <c r="J12" s="82"/>
      <c r="K12" s="82"/>
      <c r="L12" s="83" t="str">
        <f>IF(J10&lt;&gt;"",IF(AND(J10&gt;0,J10&lt;&gt;"F"),CONCATENATE('Sprachen &amp; Rückgabewerte(4)'!$C$28," ",'Sprachen &amp; Rückgabewerte(4)'!$C$29," ",'Sprachen &amp; Rückgabewerte(4)'!$C$30),'Sprachen &amp; Rückgabewerte(4)'!$C$30),"")</f>
        <v/>
      </c>
      <c r="M12" s="95"/>
      <c r="N12" s="82"/>
      <c r="O12" s="82"/>
      <c r="P12" s="83" t="str">
        <f>IF(N10&lt;&gt;"",IF(AND(N10&gt;0,N10&lt;&gt;"F"),CONCATENATE('Sprachen &amp; Rückgabewerte(4)'!$C$28," ",'Sprachen &amp; Rückgabewerte(4)'!$C$29," ",'Sprachen &amp; Rückgabewerte(4)'!$C$30),'Sprachen &amp; Rückgabewerte(4)'!$C$30),"")</f>
        <v/>
      </c>
      <c r="Q12" s="95"/>
      <c r="R12" s="82"/>
      <c r="S12" s="82"/>
      <c r="T12" s="83" t="str">
        <f>IF(R10&lt;&gt;"",IF(AND(R10&gt;0,R10&lt;&gt;"F"),CONCATENATE('Sprachen &amp; Rückgabewerte(4)'!$C$28," ",'Sprachen &amp; Rückgabewerte(4)'!$C$29," ",'Sprachen &amp; Rückgabewerte(4)'!$C$30),'Sprachen &amp; Rückgabewerte(4)'!$C$30),"")</f>
        <v/>
      </c>
      <c r="U12" s="95"/>
      <c r="V12" s="82"/>
      <c r="W12" s="82"/>
      <c r="X12" s="83" t="str">
        <f>IF(V10&lt;&gt;"",IF(AND(V10&gt;0,V10&lt;&gt;"F"),CONCATENATE('Sprachen &amp; Rückgabewerte(4)'!$C$28," ",'Sprachen &amp; Rückgabewerte(4)'!$C$29," ",'Sprachen &amp; Rückgabewerte(4)'!$C$30),'Sprachen &amp; Rückgabewerte(4)'!$C$30),"")</f>
        <v/>
      </c>
      <c r="Y12" s="95"/>
      <c r="Z12" s="82"/>
      <c r="AA12" s="82"/>
      <c r="AB12" s="83" t="str">
        <f>IF(Z10&lt;&gt;"",IF(AND(Z10&gt;0,Z10&lt;&gt;"F"),CONCATENATE('Sprachen &amp; Rückgabewerte(4)'!$C$28," ",'Sprachen &amp; Rückgabewerte(4)'!$C$29," ",'Sprachen &amp; Rückgabewerte(4)'!$C$30),'Sprachen &amp; Rückgabewerte(4)'!$C$30),"")</f>
        <v/>
      </c>
      <c r="AC12" s="95"/>
      <c r="AD12" s="82"/>
      <c r="AE12" s="82"/>
      <c r="AF12" s="83" t="str">
        <f>IF(AD10&lt;&gt;"",IF(AND(AD10&gt;0,AD10&lt;&gt;"F"),CONCATENATE('Sprachen &amp; Rückgabewerte(4)'!$C$28," ",'Sprachen &amp; Rückgabewerte(4)'!$C$29," ",'Sprachen &amp; Rückgabewerte(4)'!$C$30),'Sprachen &amp; Rückgabewerte(4)'!$C$30),"")</f>
        <v/>
      </c>
      <c r="AG12" s="95"/>
      <c r="AH12" s="82"/>
      <c r="AI12" s="82"/>
      <c r="AJ12" s="83" t="str">
        <f>IF(AH10&lt;&gt;"",IF(AND(AH10&gt;0,AH10&lt;&gt;"F"),CONCATENATE('Sprachen &amp; Rückgabewerte(4)'!$C$28," ",'Sprachen &amp; Rückgabewerte(4)'!$C$29," ",'Sprachen &amp; Rückgabewerte(4)'!$C$30),'Sprachen &amp; Rückgabewerte(4)'!$C$30),"")</f>
        <v/>
      </c>
      <c r="AK12" s="95"/>
      <c r="AL12" s="82"/>
      <c r="AM12" s="82"/>
      <c r="AN12" s="83" t="str">
        <f>IF(AL10&lt;&gt;"",IF(AND(AL10&gt;0,AL10&lt;&gt;"F"),CONCATENATE('Sprachen &amp; Rückgabewerte(4)'!$C$28," ",'Sprachen &amp; Rückgabewerte(4)'!$C$29," ",'Sprachen &amp; Rückgabewerte(4)'!$C$30),'Sprachen &amp; Rückgabewerte(4)'!$C$30),"")</f>
        <v/>
      </c>
      <c r="AO12" s="95"/>
      <c r="AP12" s="82"/>
      <c r="AQ12" s="82"/>
      <c r="AR12" s="83" t="str">
        <f>IF(AP10&lt;&gt;"",IF(AND(AP10&gt;0,AP10&lt;&gt;"F"),CONCATENATE('Sprachen &amp; Rückgabewerte(4)'!$C$28," ",'Sprachen &amp; Rückgabewerte(4)'!$C$29," ",'Sprachen &amp; Rückgabewerte(4)'!$C$30),'Sprachen &amp; Rückgabewerte(4)'!$C$30),"")</f>
        <v/>
      </c>
      <c r="AS12" s="149"/>
      <c r="AT12" s="114"/>
      <c r="AU12" s="114"/>
      <c r="AW12" s="243"/>
      <c r="AX12" s="246"/>
      <c r="AY12" s="61"/>
      <c r="AZ12" s="61"/>
      <c r="BA12" s="61"/>
      <c r="BB12" s="245"/>
    </row>
    <row r="13" spans="1:64" ht="13.5" customHeight="1" x14ac:dyDescent="0.2">
      <c r="B13" s="60"/>
      <c r="C13" s="60"/>
      <c r="D13" s="61"/>
      <c r="E13" s="656" t="str">
        <f>IF(AND('Sprachen &amp; Rückgabewerte(4)'!$I$30=TRUE,$F$10="R"),'Sprachen &amp; Rückgabewerte(4)'!H60,"")</f>
        <v/>
      </c>
      <c r="F13" s="61"/>
      <c r="G13" s="61"/>
      <c r="H13" s="647" t="str">
        <f>IF(AND('Sprachen &amp; Rückgabewerte(4)'!$I$31=TRUE,$F$10="L",$J$10=""),'Sprachen &amp; Rückgabewerte(4)'!$H$60,"")</f>
        <v/>
      </c>
      <c r="I13" s="60"/>
      <c r="J13" s="61"/>
      <c r="K13" s="61"/>
      <c r="L13" s="647" t="str">
        <f>IF(AND('Sprachen &amp; Rückgabewerte(4)'!$I$31=TRUE,$J$10="L",$N$10=""),'Sprachen &amp; Rückgabewerte(4)'!$H$60,"")</f>
        <v/>
      </c>
      <c r="M13" s="60"/>
      <c r="N13" s="61"/>
      <c r="O13" s="61"/>
      <c r="P13" s="647" t="str">
        <f>IF(AND('Sprachen &amp; Rückgabewerte(4)'!$I$31=TRUE,$N$10="L",$R$10=""),'Sprachen &amp; Rückgabewerte(4)'!$H$60,"")</f>
        <v/>
      </c>
      <c r="Q13" s="60"/>
      <c r="R13" s="61"/>
      <c r="S13" s="61"/>
      <c r="T13" s="647" t="str">
        <f>IF(AND('Sprachen &amp; Rückgabewerte(4)'!$I$31=TRUE,$R$10="L",$V$10=""),'Sprachen &amp; Rückgabewerte(4)'!$H$60,"")</f>
        <v/>
      </c>
      <c r="U13" s="60"/>
      <c r="V13" s="61"/>
      <c r="W13" s="61"/>
      <c r="X13" s="647" t="str">
        <f>IF(AND('Sprachen &amp; Rückgabewerte(4)'!$I$31=TRUE,$V$10="L",$Z$10=""),'Sprachen &amp; Rückgabewerte(4)'!$H$60,"")</f>
        <v/>
      </c>
      <c r="Y13" s="60"/>
      <c r="Z13" s="61"/>
      <c r="AA13" s="61"/>
      <c r="AB13" s="647" t="str">
        <f>IF(AND('Sprachen &amp; Rückgabewerte(4)'!$I$31=TRUE,$Z$10="L",$AD$10=""),'Sprachen &amp; Rückgabewerte(4)'!$H$60,"")</f>
        <v/>
      </c>
      <c r="AC13" s="60"/>
      <c r="AD13" s="61"/>
      <c r="AE13" s="61"/>
      <c r="AF13" s="647" t="str">
        <f>IF(AND('Sprachen &amp; Rückgabewerte(4)'!$I$31=TRUE,$AD$10="L",$AH$10=""),'Sprachen &amp; Rückgabewerte(4)'!$H$60,"")</f>
        <v/>
      </c>
      <c r="AG13" s="60"/>
      <c r="AH13" s="61"/>
      <c r="AI13" s="61"/>
      <c r="AJ13" s="647" t="str">
        <f>IF(AND('Sprachen &amp; Rückgabewerte(4)'!$I$31=TRUE,$AH$10="L",$AL$10=""),'Sprachen &amp; Rückgabewerte(4)'!$H$60,"")</f>
        <v/>
      </c>
      <c r="AK13" s="60"/>
      <c r="AL13" s="61"/>
      <c r="AM13" s="61"/>
      <c r="AN13" s="647" t="str">
        <f>IF(AND('Sprachen &amp; Rückgabewerte(4)'!$I$31=TRUE,$AL$10="L",$AP$10=""),'Sprachen &amp; Rückgabewerte(4)'!$H$60,"")</f>
        <v/>
      </c>
      <c r="AO13" s="60"/>
      <c r="AP13" s="61"/>
      <c r="AQ13" s="61"/>
      <c r="AR13" s="647" t="str">
        <f>IF(AND('Sprachen &amp; Rückgabewerte(4)'!$I$31=TRUE,$AP$10="L"),'Sprachen &amp; Rückgabewerte(4)'!$H$60,"")</f>
        <v/>
      </c>
      <c r="AS13" s="150"/>
      <c r="AT13" s="114"/>
      <c r="AU13" s="114"/>
      <c r="AW13" s="243"/>
      <c r="AX13" s="61"/>
      <c r="AY13" s="61"/>
      <c r="AZ13" s="61"/>
      <c r="BA13" s="61"/>
      <c r="BB13" s="245"/>
    </row>
    <row r="14" spans="1:64" ht="13.5" customHeight="1" x14ac:dyDescent="0.2">
      <c r="B14" s="60"/>
      <c r="C14" s="60"/>
      <c r="D14" s="61"/>
      <c r="E14" s="656"/>
      <c r="F14" s="635" t="str">
        <f>IF(F10='Sprachen &amp; Rückgabewerte(4)'!$B$9,'Sprachen &amp; Rückgabewerte(4)'!$C$9,IF(F10='Sprachen &amp; Rückgabewerte(4)'!$B$10,'Sprachen &amp; Rückgabewerte(4)'!$C$10,IF(F10='Sprachen &amp; Rückgabewerte(4)'!$B$11,'Sprachen &amp; Rückgabewerte(4)'!$C$11,IF(F10='Sprachen &amp; Rückgabewerte(4)'!$B$12,'Sprachen &amp; Rückgabewerte(4)'!$C$12,IF(F10='Sprachen &amp; Rückgabewerte(4)'!$B$13,'Sprachen &amp; Rückgabewerte(4)'!$C$13,IF(F10='Sprachen &amp; Rückgabewerte(4)'!$B$14,'Sprachen &amp; Rückgabewerte(4)'!$C$14,""))))))</f>
        <v/>
      </c>
      <c r="G14" s="635"/>
      <c r="H14" s="647"/>
      <c r="I14" s="60"/>
      <c r="J14" s="635" t="str">
        <f>IF(J10='Sprachen &amp; Rückgabewerte(4)'!$B$9,'Sprachen &amp; Rückgabewerte(4)'!$C$9,IF(J10='Sprachen &amp; Rückgabewerte(4)'!$B$10,'Sprachen &amp; Rückgabewerte(4)'!$C$10,IF(J10='Sprachen &amp; Rückgabewerte(4)'!$B$11,'Sprachen &amp; Rückgabewerte(4)'!$C$11,IF(J10='Sprachen &amp; Rückgabewerte(4)'!$B$12,'Sprachen &amp; Rückgabewerte(4)'!$C$12,IF(J10='Sprachen &amp; Rückgabewerte(4)'!$B$13,'Sprachen &amp; Rückgabewerte(4)'!$C$13,IF(J10='Sprachen &amp; Rückgabewerte(4)'!$B$14,'Sprachen &amp; Rückgabewerte(4)'!$C$14,""))))))</f>
        <v/>
      </c>
      <c r="K14" s="635"/>
      <c r="L14" s="647"/>
      <c r="M14" s="60"/>
      <c r="N14" s="635" t="str">
        <f>IF(N10='Sprachen &amp; Rückgabewerte(4)'!$B$9,'Sprachen &amp; Rückgabewerte(4)'!$C$9,IF(N10='Sprachen &amp; Rückgabewerte(4)'!$B$10,'Sprachen &amp; Rückgabewerte(4)'!$C$10,IF(N10='Sprachen &amp; Rückgabewerte(4)'!$B$11,'Sprachen &amp; Rückgabewerte(4)'!$C$11,IF(N10='Sprachen &amp; Rückgabewerte(4)'!$B$12,'Sprachen &amp; Rückgabewerte(4)'!$C$12,IF(N10='Sprachen &amp; Rückgabewerte(4)'!$B$13,'Sprachen &amp; Rückgabewerte(4)'!$C$13,IF(N10='Sprachen &amp; Rückgabewerte(4)'!$B$14,'Sprachen &amp; Rückgabewerte(4)'!$C$14,""))))))</f>
        <v/>
      </c>
      <c r="O14" s="635"/>
      <c r="P14" s="647"/>
      <c r="Q14" s="60"/>
      <c r="R14" s="635" t="str">
        <f>IF(R10='Sprachen &amp; Rückgabewerte(4)'!$B$9,'Sprachen &amp; Rückgabewerte(4)'!$C$9,IF(R10='Sprachen &amp; Rückgabewerte(4)'!$B$10,'Sprachen &amp; Rückgabewerte(4)'!$C$10,IF(R10='Sprachen &amp; Rückgabewerte(4)'!$B$11,'Sprachen &amp; Rückgabewerte(4)'!$C$11,IF(R10='Sprachen &amp; Rückgabewerte(4)'!$B$12,'Sprachen &amp; Rückgabewerte(4)'!$C$12,IF(R10='Sprachen &amp; Rückgabewerte(4)'!$B$13,'Sprachen &amp; Rückgabewerte(4)'!$C$13,IF(R10='Sprachen &amp; Rückgabewerte(4)'!$B$14,'Sprachen &amp; Rückgabewerte(4)'!$C$14,""))))))</f>
        <v/>
      </c>
      <c r="S14" s="635"/>
      <c r="T14" s="647"/>
      <c r="U14" s="60"/>
      <c r="V14" s="635" t="str">
        <f>IF(V10='Sprachen &amp; Rückgabewerte(4)'!$B$9,'Sprachen &amp; Rückgabewerte(4)'!$C$9,IF(V10='Sprachen &amp; Rückgabewerte(4)'!$B$10,'Sprachen &amp; Rückgabewerte(4)'!$C$10,IF(V10='Sprachen &amp; Rückgabewerte(4)'!$B$11,'Sprachen &amp; Rückgabewerte(4)'!$C$11,IF(V10='Sprachen &amp; Rückgabewerte(4)'!$B$12,'Sprachen &amp; Rückgabewerte(4)'!$C$12,IF(V10='Sprachen &amp; Rückgabewerte(4)'!$B$13,'Sprachen &amp; Rückgabewerte(4)'!$C$13,IF(V10='Sprachen &amp; Rückgabewerte(4)'!$B$14,'Sprachen &amp; Rückgabewerte(4)'!$C$14,""))))))</f>
        <v/>
      </c>
      <c r="W14" s="635"/>
      <c r="X14" s="647"/>
      <c r="Y14" s="60"/>
      <c r="Z14" s="635" t="str">
        <f>IF(Z10='Sprachen &amp; Rückgabewerte(4)'!$B$9,'Sprachen &amp; Rückgabewerte(4)'!$C$9,IF(Z10='Sprachen &amp; Rückgabewerte(4)'!$B$10,'Sprachen &amp; Rückgabewerte(4)'!$C$10,IF(Z10='Sprachen &amp; Rückgabewerte(4)'!$B$11,'Sprachen &amp; Rückgabewerte(4)'!$C$11,IF(Z10='Sprachen &amp; Rückgabewerte(4)'!$B$12,'Sprachen &amp; Rückgabewerte(4)'!$C$12,IF(Z10='Sprachen &amp; Rückgabewerte(4)'!$B$13,'Sprachen &amp; Rückgabewerte(4)'!$C$13,IF(Z10='Sprachen &amp; Rückgabewerte(4)'!$B$14,'Sprachen &amp; Rückgabewerte(4)'!$C$14,""))))))</f>
        <v/>
      </c>
      <c r="AA14" s="635"/>
      <c r="AB14" s="647"/>
      <c r="AC14" s="60"/>
      <c r="AD14" s="635" t="str">
        <f>IF(AD10='Sprachen &amp; Rückgabewerte(4)'!$B$9,'Sprachen &amp; Rückgabewerte(4)'!$C$9,IF(AD10='Sprachen &amp; Rückgabewerte(4)'!$B$10,'Sprachen &amp; Rückgabewerte(4)'!$C$10,IF(AD10='Sprachen &amp; Rückgabewerte(4)'!$B$11,'Sprachen &amp; Rückgabewerte(4)'!$C$11,IF(AD10='Sprachen &amp; Rückgabewerte(4)'!$B$12,'Sprachen &amp; Rückgabewerte(4)'!$C$12,IF(AD10='Sprachen &amp; Rückgabewerte(4)'!$B$13,'Sprachen &amp; Rückgabewerte(4)'!$C$13,IF(AD10='Sprachen &amp; Rückgabewerte(4)'!$B$14,'Sprachen &amp; Rückgabewerte(4)'!$C$14,""))))))</f>
        <v/>
      </c>
      <c r="AE14" s="635"/>
      <c r="AF14" s="647"/>
      <c r="AG14" s="60"/>
      <c r="AH14" s="635" t="str">
        <f>IF(AH10='Sprachen &amp; Rückgabewerte(4)'!$B$9,'Sprachen &amp; Rückgabewerte(4)'!$C$9,IF(AH10='Sprachen &amp; Rückgabewerte(4)'!$B$10,'Sprachen &amp; Rückgabewerte(4)'!$C$10,IF(AH10='Sprachen &amp; Rückgabewerte(4)'!$B$11,'Sprachen &amp; Rückgabewerte(4)'!$C$11,IF(AH10='Sprachen &amp; Rückgabewerte(4)'!$B$12,'Sprachen &amp; Rückgabewerte(4)'!$C$12,IF(AH10='Sprachen &amp; Rückgabewerte(4)'!$B$13,'Sprachen &amp; Rückgabewerte(4)'!$C$13,IF(AH10='Sprachen &amp; Rückgabewerte(4)'!$B$14,'Sprachen &amp; Rückgabewerte(4)'!$C$14,""))))))</f>
        <v/>
      </c>
      <c r="AI14" s="635"/>
      <c r="AJ14" s="647"/>
      <c r="AK14" s="60"/>
      <c r="AL14" s="635" t="str">
        <f>IF(AL10='Sprachen &amp; Rückgabewerte(4)'!$B$9,'Sprachen &amp; Rückgabewerte(4)'!$C$9,IF(AL10='Sprachen &amp; Rückgabewerte(4)'!$B$10,'Sprachen &amp; Rückgabewerte(4)'!$C$10,IF(AL10='Sprachen &amp; Rückgabewerte(4)'!$B$11,'Sprachen &amp; Rückgabewerte(4)'!$C$11,IF(AL10='Sprachen &amp; Rückgabewerte(4)'!$B$12,'Sprachen &amp; Rückgabewerte(4)'!$C$12,IF(AL10='Sprachen &amp; Rückgabewerte(4)'!$B$13,'Sprachen &amp; Rückgabewerte(4)'!$C$13,IF(AL10='Sprachen &amp; Rückgabewerte(4)'!$B$14,'Sprachen &amp; Rückgabewerte(4)'!$C$14,""))))))</f>
        <v/>
      </c>
      <c r="AM14" s="635"/>
      <c r="AN14" s="647"/>
      <c r="AO14" s="60"/>
      <c r="AP14" s="635" t="str">
        <f>IF(AP10='Sprachen &amp; Rückgabewerte(4)'!$B$9,'Sprachen &amp; Rückgabewerte(4)'!$C$9,IF(AP10='Sprachen &amp; Rückgabewerte(4)'!$B$10,'Sprachen &amp; Rückgabewerte(4)'!$C$10,IF(AP10='Sprachen &amp; Rückgabewerte(4)'!$B$11,'Sprachen &amp; Rückgabewerte(4)'!$C$11,IF(AP10='Sprachen &amp; Rückgabewerte(4)'!$B$12,'Sprachen &amp; Rückgabewerte(4)'!$C$12,IF(AP10='Sprachen &amp; Rückgabewerte(4)'!$B$13,'Sprachen &amp; Rückgabewerte(4)'!$C$13,IF(AP10='Sprachen &amp; Rückgabewerte(4)'!$B$14,'Sprachen &amp; Rückgabewerte(4)'!$C$14,""))))))</f>
        <v/>
      </c>
      <c r="AQ14" s="635"/>
      <c r="AR14" s="647"/>
      <c r="AS14" s="149"/>
      <c r="AT14" s="114"/>
      <c r="AU14" s="114"/>
      <c r="AW14" s="243"/>
      <c r="AX14" s="155" t="str">
        <f>'Sprachen &amp; Rückgabewerte(4)'!H131</f>
        <v>Bemerkungen:</v>
      </c>
      <c r="AY14" s="61"/>
      <c r="AZ14" s="61"/>
      <c r="BA14" s="61"/>
      <c r="BB14" s="245"/>
    </row>
    <row r="15" spans="1:64" ht="13.5" customHeight="1" x14ac:dyDescent="0.2">
      <c r="B15" s="60"/>
      <c r="C15" s="60"/>
      <c r="D15" s="61"/>
      <c r="E15" s="656"/>
      <c r="F15" s="635"/>
      <c r="G15" s="635"/>
      <c r="H15" s="647"/>
      <c r="I15" s="60"/>
      <c r="J15" s="635"/>
      <c r="K15" s="635"/>
      <c r="L15" s="647"/>
      <c r="M15" s="60"/>
      <c r="N15" s="635"/>
      <c r="O15" s="635"/>
      <c r="P15" s="647"/>
      <c r="Q15" s="60"/>
      <c r="R15" s="635"/>
      <c r="S15" s="635"/>
      <c r="T15" s="647"/>
      <c r="U15" s="60"/>
      <c r="V15" s="635"/>
      <c r="W15" s="635"/>
      <c r="X15" s="647"/>
      <c r="Y15" s="60"/>
      <c r="Z15" s="635"/>
      <c r="AA15" s="635"/>
      <c r="AB15" s="647"/>
      <c r="AC15" s="60"/>
      <c r="AD15" s="635"/>
      <c r="AE15" s="635"/>
      <c r="AF15" s="647"/>
      <c r="AG15" s="60"/>
      <c r="AH15" s="635"/>
      <c r="AI15" s="635"/>
      <c r="AJ15" s="647"/>
      <c r="AK15" s="60"/>
      <c r="AL15" s="635"/>
      <c r="AM15" s="635"/>
      <c r="AN15" s="647"/>
      <c r="AO15" s="60"/>
      <c r="AP15" s="635"/>
      <c r="AQ15" s="635"/>
      <c r="AR15" s="647"/>
      <c r="AS15" s="61"/>
      <c r="AT15" s="114"/>
      <c r="AU15" s="114"/>
      <c r="AW15" s="243"/>
      <c r="AX15" s="637" t="s">
        <v>520</v>
      </c>
      <c r="AY15" s="638"/>
      <c r="AZ15" s="638"/>
      <c r="BA15" s="639"/>
      <c r="BB15" s="245"/>
    </row>
    <row r="16" spans="1:64" ht="13.5" customHeight="1" x14ac:dyDescent="0.2">
      <c r="B16" s="60"/>
      <c r="C16" s="60"/>
      <c r="D16" s="61"/>
      <c r="E16" s="656"/>
      <c r="F16" s="634"/>
      <c r="G16" s="634"/>
      <c r="H16" s="647"/>
      <c r="I16" s="60"/>
      <c r="J16" s="634"/>
      <c r="K16" s="634"/>
      <c r="L16" s="647"/>
      <c r="M16" s="60"/>
      <c r="N16" s="634"/>
      <c r="O16" s="634"/>
      <c r="P16" s="647"/>
      <c r="Q16" s="60"/>
      <c r="R16" s="634"/>
      <c r="S16" s="634"/>
      <c r="T16" s="647"/>
      <c r="U16" s="60"/>
      <c r="V16" s="634"/>
      <c r="W16" s="634"/>
      <c r="X16" s="647"/>
      <c r="Y16" s="60"/>
      <c r="Z16" s="634"/>
      <c r="AA16" s="634"/>
      <c r="AB16" s="647"/>
      <c r="AC16" s="60"/>
      <c r="AD16" s="634"/>
      <c r="AE16" s="634"/>
      <c r="AF16" s="647"/>
      <c r="AG16" s="60"/>
      <c r="AH16" s="634"/>
      <c r="AI16" s="634"/>
      <c r="AJ16" s="647"/>
      <c r="AK16" s="60"/>
      <c r="AL16" s="634"/>
      <c r="AM16" s="634"/>
      <c r="AN16" s="647"/>
      <c r="AO16" s="60"/>
      <c r="AP16" s="634"/>
      <c r="AQ16" s="634"/>
      <c r="AR16" s="647"/>
      <c r="AS16" s="61"/>
      <c r="AT16" s="114"/>
      <c r="AU16" s="114"/>
      <c r="AW16" s="247"/>
      <c r="AX16" s="640"/>
      <c r="AY16" s="641"/>
      <c r="AZ16" s="641"/>
      <c r="BA16" s="642"/>
      <c r="BB16" s="245"/>
    </row>
    <row r="17" spans="1:57" ht="13.5" customHeight="1" x14ac:dyDescent="0.2">
      <c r="B17" s="60"/>
      <c r="C17" s="60"/>
      <c r="D17" s="61"/>
      <c r="E17" s="656"/>
      <c r="F17" s="634"/>
      <c r="G17" s="634"/>
      <c r="H17" s="647"/>
      <c r="I17" s="60"/>
      <c r="J17" s="634"/>
      <c r="K17" s="634"/>
      <c r="L17" s="647"/>
      <c r="M17" s="60"/>
      <c r="N17" s="634"/>
      <c r="O17" s="634"/>
      <c r="P17" s="647"/>
      <c r="Q17" s="60"/>
      <c r="R17" s="634"/>
      <c r="S17" s="634"/>
      <c r="T17" s="647"/>
      <c r="U17" s="60"/>
      <c r="V17" s="634"/>
      <c r="W17" s="634"/>
      <c r="X17" s="647"/>
      <c r="Y17" s="60"/>
      <c r="Z17" s="634"/>
      <c r="AA17" s="634"/>
      <c r="AB17" s="647"/>
      <c r="AC17" s="60"/>
      <c r="AD17" s="634"/>
      <c r="AE17" s="634"/>
      <c r="AF17" s="647"/>
      <c r="AG17" s="60"/>
      <c r="AH17" s="634"/>
      <c r="AI17" s="634"/>
      <c r="AJ17" s="647"/>
      <c r="AK17" s="60"/>
      <c r="AL17" s="634"/>
      <c r="AM17" s="634"/>
      <c r="AN17" s="647"/>
      <c r="AO17" s="60"/>
      <c r="AP17" s="634"/>
      <c r="AQ17" s="634"/>
      <c r="AR17" s="647"/>
      <c r="AS17" s="61"/>
      <c r="AT17" s="114"/>
      <c r="AU17" s="114"/>
      <c r="AW17" s="247"/>
      <c r="AX17" s="640"/>
      <c r="AY17" s="641"/>
      <c r="AZ17" s="641"/>
      <c r="BA17" s="642"/>
      <c r="BB17" s="245"/>
    </row>
    <row r="18" spans="1:57" ht="13.5" customHeight="1" x14ac:dyDescent="0.2">
      <c r="B18" s="60"/>
      <c r="C18" s="60"/>
      <c r="D18" s="61"/>
      <c r="E18" s="656"/>
      <c r="F18" s="427"/>
      <c r="G18" s="427"/>
      <c r="H18" s="647"/>
      <c r="I18" s="60"/>
      <c r="J18" s="427"/>
      <c r="K18" s="427"/>
      <c r="L18" s="647"/>
      <c r="M18" s="60"/>
      <c r="N18" s="427"/>
      <c r="O18" s="427"/>
      <c r="P18" s="647"/>
      <c r="Q18" s="60"/>
      <c r="R18" s="427"/>
      <c r="S18" s="427"/>
      <c r="T18" s="647"/>
      <c r="U18" s="60"/>
      <c r="V18" s="427"/>
      <c r="W18" s="427"/>
      <c r="X18" s="647"/>
      <c r="Y18" s="60"/>
      <c r="Z18" s="427"/>
      <c r="AA18" s="427"/>
      <c r="AB18" s="647"/>
      <c r="AC18" s="60"/>
      <c r="AD18" s="427"/>
      <c r="AE18" s="427"/>
      <c r="AF18" s="647"/>
      <c r="AG18" s="60"/>
      <c r="AH18" s="427"/>
      <c r="AI18" s="427"/>
      <c r="AJ18" s="647"/>
      <c r="AK18" s="60"/>
      <c r="AL18" s="427"/>
      <c r="AM18" s="427"/>
      <c r="AN18" s="647"/>
      <c r="AO18" s="60"/>
      <c r="AP18" s="427"/>
      <c r="AQ18" s="427"/>
      <c r="AR18" s="647"/>
      <c r="AS18" s="61"/>
      <c r="AT18" s="114"/>
      <c r="AU18" s="114"/>
      <c r="AW18" s="247"/>
      <c r="AX18" s="643"/>
      <c r="AY18" s="644"/>
      <c r="AZ18" s="644"/>
      <c r="BA18" s="645"/>
      <c r="BB18" s="245"/>
    </row>
    <row r="19" spans="1:57" ht="13.5" customHeight="1" x14ac:dyDescent="0.2">
      <c r="B19" s="60"/>
      <c r="C19" s="60"/>
      <c r="D19" s="61"/>
      <c r="E19" s="657"/>
      <c r="F19" s="84"/>
      <c r="G19" s="84"/>
      <c r="H19" s="648"/>
      <c r="I19" s="68"/>
      <c r="J19" s="84"/>
      <c r="K19" s="84"/>
      <c r="L19" s="648"/>
      <c r="M19" s="68"/>
      <c r="N19" s="84"/>
      <c r="O19" s="84"/>
      <c r="P19" s="648"/>
      <c r="Q19" s="68"/>
      <c r="R19" s="84"/>
      <c r="S19" s="84"/>
      <c r="T19" s="648"/>
      <c r="U19" s="68"/>
      <c r="V19" s="84"/>
      <c r="W19" s="84"/>
      <c r="X19" s="648"/>
      <c r="Y19" s="68"/>
      <c r="Z19" s="84"/>
      <c r="AA19" s="84"/>
      <c r="AB19" s="648"/>
      <c r="AC19" s="68"/>
      <c r="AD19" s="84"/>
      <c r="AE19" s="84"/>
      <c r="AF19" s="648"/>
      <c r="AG19" s="68"/>
      <c r="AH19" s="84"/>
      <c r="AI19" s="84"/>
      <c r="AJ19" s="648"/>
      <c r="AK19" s="68"/>
      <c r="AL19" s="84"/>
      <c r="AM19" s="84"/>
      <c r="AN19" s="648"/>
      <c r="AO19" s="68"/>
      <c r="AP19" s="84"/>
      <c r="AQ19" s="84"/>
      <c r="AR19" s="648"/>
      <c r="AS19" s="61"/>
      <c r="AT19" s="114"/>
      <c r="AU19" s="114"/>
      <c r="AW19" s="247"/>
      <c r="AX19" s="561" t="str">
        <f>IF('Sprachen &amp; Rückgabewerte(4)'!U83=FALSE,'Sprachen &amp; Rückgabewerte(4)'!H155,'Sprachen &amp; Rückgabewerte(4)'!H156)</f>
        <v>Bestellformular unvollständig!</v>
      </c>
      <c r="AY19" s="561"/>
      <c r="AZ19" s="561"/>
      <c r="BA19" s="561"/>
      <c r="BB19" s="245"/>
    </row>
    <row r="20" spans="1:57" ht="13.5" customHeight="1" thickBot="1" x14ac:dyDescent="0.25">
      <c r="B20" s="60"/>
      <c r="C20" s="60"/>
      <c r="D20" s="61"/>
      <c r="E20" s="61"/>
      <c r="F20" s="91" t="str">
        <f>'Sprachen &amp; Rückgabewerte(4)'!$H$124</f>
        <v>Ecke:</v>
      </c>
      <c r="G20" s="679"/>
      <c r="H20" s="679"/>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79"/>
      <c r="AP20" s="679"/>
      <c r="AQ20" s="61"/>
      <c r="AR20" s="62"/>
      <c r="AS20" s="61"/>
      <c r="AT20" s="114"/>
      <c r="AU20" s="114"/>
      <c r="AW20" s="248"/>
      <c r="AX20" s="562"/>
      <c r="AY20" s="562"/>
      <c r="AZ20" s="562"/>
      <c r="BA20" s="562"/>
      <c r="BB20" s="251"/>
    </row>
    <row r="21" spans="1:57" ht="13.5" customHeight="1" thickTop="1" thickBot="1" x14ac:dyDescent="0.25">
      <c r="B21" s="60"/>
      <c r="C21" s="60"/>
      <c r="D21" s="61"/>
      <c r="E21" s="64"/>
      <c r="F21" s="91" t="str">
        <f>IF(OR(G20='Sprachen &amp; Rückgabewerte(4)'!$H$106,G20='Sprachen &amp; Rückgabewerte(4)'!$H$107,K20='Sprachen &amp; Rückgabewerte(4)'!$H$106,K20='Sprachen &amp; Rückgabewerte(4)'!$H$107,O20='Sprachen &amp; Rückgabewerte(4)'!$H$106,O20='Sprachen &amp; Rückgabewerte(4)'!$H$107,S20='Sprachen &amp; Rückgabewerte(4)'!$H$106,S20='Sprachen &amp; Rückgabewerte(4)'!$H$107,W20='Sprachen &amp; Rückgabewerte(4)'!$H$106,W20='Sprachen &amp; Rückgabewerte(4)'!$H$107,AA20='Sprachen &amp; Rückgabewerte(4)'!$H$106,AA20='Sprachen &amp; Rückgabewerte(4)'!$H$107,AE20='Sprachen &amp; Rückgabewerte(4)'!$H$106,AE20='Sprachen &amp; Rückgabewerte(4)'!$H$107,AI20='Sprachen &amp; Rückgabewerte(4)'!$H$106,AI20='Sprachen &amp; Rückgabewerte(4)'!$H$107,AM20='Sprachen &amp; Rückgabewerte(4)'!$H$106,AM20='Sprachen &amp; Rückgabewerte(4)'!$H$107),'Sprachen &amp; Rückgabewerte(4)'!$H$108,"")</f>
        <v/>
      </c>
      <c r="G21" s="65"/>
      <c r="H21" s="646"/>
      <c r="I21" s="646"/>
      <c r="J21" s="66"/>
      <c r="K21" s="66"/>
      <c r="L21" s="646"/>
      <c r="M21" s="646"/>
      <c r="N21" s="649"/>
      <c r="O21" s="649"/>
      <c r="P21" s="646"/>
      <c r="Q21" s="646"/>
      <c r="R21" s="678"/>
      <c r="S21" s="678"/>
      <c r="T21" s="646"/>
      <c r="U21" s="646"/>
      <c r="V21" s="649"/>
      <c r="W21" s="649"/>
      <c r="X21" s="646"/>
      <c r="Y21" s="646"/>
      <c r="Z21" s="649"/>
      <c r="AA21" s="649"/>
      <c r="AB21" s="646"/>
      <c r="AC21" s="646"/>
      <c r="AD21" s="649"/>
      <c r="AE21" s="649"/>
      <c r="AF21" s="646"/>
      <c r="AG21" s="646"/>
      <c r="AH21" s="649"/>
      <c r="AI21" s="649"/>
      <c r="AJ21" s="646"/>
      <c r="AK21" s="646"/>
      <c r="AL21" s="649"/>
      <c r="AM21" s="649"/>
      <c r="AN21" s="646"/>
      <c r="AO21" s="646"/>
      <c r="AP21" s="61"/>
      <c r="AQ21" s="61"/>
      <c r="AR21" s="62"/>
      <c r="AS21" s="61"/>
      <c r="AT21" s="114"/>
      <c r="AU21" s="114"/>
      <c r="AW21" s="151"/>
      <c r="AY21" s="190"/>
      <c r="AZ21" s="190"/>
      <c r="BA21" s="190"/>
    </row>
    <row r="22" spans="1:57" ht="9.75" customHeight="1" thickTop="1" x14ac:dyDescent="0.2">
      <c r="B22" s="60"/>
      <c r="C22" s="60"/>
      <c r="D22" s="61"/>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61"/>
      <c r="AT22" s="114"/>
      <c r="AU22" s="114"/>
      <c r="AW22" s="240"/>
      <c r="AX22" s="569" t="str">
        <f>'Sprachen &amp; Rückgabewerte(4)'!H157</f>
        <v>B2B-Login Projektnr:</v>
      </c>
      <c r="AY22" s="569"/>
      <c r="AZ22" s="569"/>
      <c r="BA22" s="569"/>
      <c r="BB22" s="242"/>
    </row>
    <row r="23" spans="1:57" ht="9.9499999999999993" customHeight="1" x14ac:dyDescent="0.2">
      <c r="B23" s="60"/>
      <c r="C23" s="60"/>
      <c r="D23" s="61"/>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6"/>
      <c r="AD23" s="576"/>
      <c r="AE23" s="576"/>
      <c r="AF23" s="576"/>
      <c r="AG23" s="576"/>
      <c r="AH23" s="576"/>
      <c r="AI23" s="576"/>
      <c r="AJ23" s="576"/>
      <c r="AK23" s="576"/>
      <c r="AL23" s="576"/>
      <c r="AM23" s="576"/>
      <c r="AN23" s="576"/>
      <c r="AO23" s="576"/>
      <c r="AP23" s="576"/>
      <c r="AQ23" s="576"/>
      <c r="AR23" s="576"/>
      <c r="AS23" s="67"/>
      <c r="AT23" s="114"/>
      <c r="AU23" s="114"/>
      <c r="AW23" s="243"/>
      <c r="AX23" s="570"/>
      <c r="AY23" s="570"/>
      <c r="AZ23" s="570"/>
      <c r="BA23" s="570"/>
      <c r="BB23" s="245"/>
    </row>
    <row r="24" spans="1:57" ht="9.9499999999999993" customHeight="1" x14ac:dyDescent="0.2">
      <c r="B24" s="60"/>
      <c r="C24" s="60"/>
      <c r="D24" s="61"/>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6"/>
      <c r="AD24" s="576"/>
      <c r="AE24" s="576"/>
      <c r="AF24" s="576"/>
      <c r="AG24" s="576"/>
      <c r="AH24" s="576"/>
      <c r="AI24" s="576"/>
      <c r="AJ24" s="576"/>
      <c r="AK24" s="576"/>
      <c r="AL24" s="576"/>
      <c r="AM24" s="576"/>
      <c r="AN24" s="576"/>
      <c r="AO24" s="576"/>
      <c r="AP24" s="576"/>
      <c r="AQ24" s="576"/>
      <c r="AR24" s="576"/>
      <c r="AS24" s="67"/>
      <c r="AT24" s="114"/>
      <c r="AU24" s="114"/>
      <c r="AW24" s="243"/>
      <c r="AX24" s="570"/>
      <c r="AY24" s="570"/>
      <c r="AZ24" s="570"/>
      <c r="BA24" s="570"/>
      <c r="BB24" s="245"/>
    </row>
    <row r="25" spans="1:57" ht="9.9499999999999993" customHeight="1" x14ac:dyDescent="0.2">
      <c r="B25" s="60"/>
      <c r="C25" s="60"/>
      <c r="D25" s="61"/>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67"/>
      <c r="AT25" s="114"/>
      <c r="AU25" s="114"/>
      <c r="AW25" s="243"/>
      <c r="AX25" s="563"/>
      <c r="AY25" s="564"/>
      <c r="AZ25" s="565"/>
      <c r="BA25" s="190"/>
      <c r="BB25" s="245"/>
    </row>
    <row r="26" spans="1:57" ht="9.9499999999999993" customHeight="1" x14ac:dyDescent="0.2">
      <c r="B26" s="60"/>
      <c r="C26" s="60"/>
      <c r="D26" s="61"/>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6"/>
      <c r="AD26" s="576"/>
      <c r="AE26" s="576"/>
      <c r="AF26" s="576"/>
      <c r="AG26" s="576"/>
      <c r="AH26" s="576"/>
      <c r="AI26" s="576"/>
      <c r="AJ26" s="576"/>
      <c r="AK26" s="576"/>
      <c r="AL26" s="576"/>
      <c r="AM26" s="576"/>
      <c r="AN26" s="576"/>
      <c r="AO26" s="576"/>
      <c r="AP26" s="576"/>
      <c r="AQ26" s="576"/>
      <c r="AR26" s="576"/>
      <c r="AS26" s="67"/>
      <c r="AT26" s="114"/>
      <c r="AU26" s="114"/>
      <c r="AW26" s="243"/>
      <c r="AX26" s="566"/>
      <c r="AY26" s="567"/>
      <c r="AZ26" s="568"/>
      <c r="BA26" s="190"/>
      <c r="BB26" s="245"/>
    </row>
    <row r="27" spans="1:57" ht="15.75" customHeight="1" thickBot="1" x14ac:dyDescent="0.25">
      <c r="B27" s="60"/>
      <c r="C27" s="60"/>
      <c r="D27" s="61"/>
      <c r="E27" s="92"/>
      <c r="F27" s="93"/>
      <c r="G27" s="93"/>
      <c r="H27" s="94"/>
      <c r="I27" s="92"/>
      <c r="J27" s="93"/>
      <c r="K27" s="93"/>
      <c r="L27" s="94"/>
      <c r="M27" s="92"/>
      <c r="N27" s="93"/>
      <c r="O27" s="93"/>
      <c r="P27" s="94"/>
      <c r="Q27" s="92"/>
      <c r="R27" s="93"/>
      <c r="S27" s="93"/>
      <c r="T27" s="94"/>
      <c r="U27" s="92"/>
      <c r="V27" s="93"/>
      <c r="W27" s="93"/>
      <c r="X27" s="94"/>
      <c r="Y27" s="92"/>
      <c r="Z27" s="93"/>
      <c r="AA27" s="93"/>
      <c r="AB27" s="94"/>
      <c r="AC27" s="92"/>
      <c r="AD27" s="93"/>
      <c r="AE27" s="93"/>
      <c r="AF27" s="94"/>
      <c r="AG27" s="92"/>
      <c r="AH27" s="93"/>
      <c r="AI27" s="93"/>
      <c r="AJ27" s="94"/>
      <c r="AK27" s="92"/>
      <c r="AL27" s="93"/>
      <c r="AM27" s="93"/>
      <c r="AN27" s="94"/>
      <c r="AO27" s="92"/>
      <c r="AP27" s="93"/>
      <c r="AQ27" s="93"/>
      <c r="AR27" s="94"/>
      <c r="AS27" s="67"/>
      <c r="AT27" s="114"/>
      <c r="AU27" s="114"/>
      <c r="AW27" s="243"/>
      <c r="AX27" s="318"/>
      <c r="AY27" s="190"/>
      <c r="AZ27" s="190"/>
      <c r="BA27" s="190"/>
      <c r="BB27" s="245"/>
    </row>
    <row r="28" spans="1:57" ht="18" customHeight="1" thickBot="1" x14ac:dyDescent="0.25">
      <c r="A28" s="157" t="str">
        <f>IF('Sprachen &amp; Rückgabewerte(4)'!$I$13=TRUE,'Sprachen &amp; Rückgabewerte(4)'!$H$58,"")</f>
        <v/>
      </c>
      <c r="B28" s="228"/>
      <c r="C28" s="60"/>
      <c r="D28" s="84"/>
      <c r="E28" s="573"/>
      <c r="F28" s="574"/>
      <c r="G28" s="574"/>
      <c r="H28" s="575"/>
      <c r="I28" s="573"/>
      <c r="J28" s="574"/>
      <c r="K28" s="574"/>
      <c r="L28" s="575"/>
      <c r="M28" s="573"/>
      <c r="N28" s="574"/>
      <c r="O28" s="574"/>
      <c r="P28" s="575"/>
      <c r="Q28" s="573"/>
      <c r="R28" s="574"/>
      <c r="S28" s="574"/>
      <c r="T28" s="575"/>
      <c r="U28" s="573"/>
      <c r="V28" s="574"/>
      <c r="W28" s="574"/>
      <c r="X28" s="575"/>
      <c r="Y28" s="573"/>
      <c r="Z28" s="574"/>
      <c r="AA28" s="574"/>
      <c r="AB28" s="575"/>
      <c r="AC28" s="573"/>
      <c r="AD28" s="574"/>
      <c r="AE28" s="574"/>
      <c r="AF28" s="575"/>
      <c r="AG28" s="573"/>
      <c r="AH28" s="574"/>
      <c r="AI28" s="574"/>
      <c r="AJ28" s="575"/>
      <c r="AK28" s="573"/>
      <c r="AL28" s="574"/>
      <c r="AM28" s="574"/>
      <c r="AN28" s="575"/>
      <c r="AO28" s="573"/>
      <c r="AP28" s="574"/>
      <c r="AQ28" s="574"/>
      <c r="AR28" s="575"/>
      <c r="AS28" s="68"/>
      <c r="AT28" s="114"/>
      <c r="AU28" s="114"/>
      <c r="AW28" s="259"/>
      <c r="AX28" s="249"/>
      <c r="AY28" s="250"/>
      <c r="AZ28" s="250"/>
      <c r="BA28" s="250"/>
      <c r="BB28" s="251"/>
    </row>
    <row r="29" spans="1:57"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4"/>
      <c r="AU29" s="114"/>
      <c r="AY29" s="190"/>
      <c r="AZ29" s="190"/>
      <c r="BA29" s="190"/>
      <c r="BE29" s="141" t="s">
        <v>945</v>
      </c>
    </row>
    <row r="30" spans="1:57" ht="10.5" customHeight="1" x14ac:dyDescent="0.2">
      <c r="B30" s="60"/>
      <c r="C30" s="68"/>
      <c r="D30" s="84"/>
      <c r="E30" s="429"/>
      <c r="F30" s="429"/>
      <c r="G30" s="429"/>
      <c r="H30" s="429"/>
      <c r="I30" s="429"/>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c r="AH30" s="429"/>
      <c r="AI30" s="429"/>
      <c r="AJ30" s="429"/>
      <c r="AK30" s="429"/>
      <c r="AL30" s="429"/>
      <c r="AM30" s="429"/>
      <c r="AN30" s="429"/>
      <c r="AO30" s="429"/>
      <c r="AP30" s="429"/>
      <c r="AQ30" s="429"/>
      <c r="AR30" s="429"/>
      <c r="AS30" s="84"/>
      <c r="AT30" s="115"/>
      <c r="AU30" s="114"/>
      <c r="AW30" s="628" t="str">
        <f>IF('Sprachen &amp; Rückgabewerte(4)'!$I$19=TRUE,'Sprachen &amp; Rückgabewerte(4)'!$H$137,"")</f>
        <v/>
      </c>
      <c r="AX30" s="629"/>
      <c r="AY30" s="629"/>
      <c r="AZ30" s="629"/>
      <c r="BA30" s="630"/>
    </row>
    <row r="31" spans="1:57"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4"/>
      <c r="AW31" s="631"/>
      <c r="AX31" s="632"/>
      <c r="AY31" s="632"/>
      <c r="AZ31" s="632"/>
      <c r="BA31" s="633"/>
    </row>
    <row r="32" spans="1:57" ht="12.75" customHeight="1" x14ac:dyDescent="0.2">
      <c r="B32" s="60"/>
      <c r="C32" s="111"/>
      <c r="D32" s="82"/>
      <c r="E32" s="82"/>
      <c r="F32" s="82"/>
      <c r="G32" s="82"/>
      <c r="H32" s="82"/>
      <c r="I32" s="82"/>
      <c r="J32" s="82"/>
      <c r="K32" s="82"/>
      <c r="L32" s="82"/>
      <c r="M32" s="82"/>
      <c r="N32" s="82"/>
      <c r="O32" s="82"/>
      <c r="P32" s="82"/>
      <c r="Q32" s="82"/>
      <c r="R32" s="82"/>
      <c r="S32" s="82"/>
      <c r="T32" s="82"/>
      <c r="U32" s="82"/>
      <c r="V32" s="82"/>
      <c r="W32" s="82"/>
      <c r="X32" s="82"/>
      <c r="Y32" s="82"/>
      <c r="Z32" s="82"/>
      <c r="AA32" s="82"/>
      <c r="AB32" s="113"/>
      <c r="AC32" s="61"/>
      <c r="AD32" s="111"/>
      <c r="AE32" s="120" t="str">
        <f>'Sprachen &amp; Rückgabewerte(4)'!$H$134</f>
        <v>Features</v>
      </c>
      <c r="AF32" s="120"/>
      <c r="AG32" s="82"/>
      <c r="AH32" s="82"/>
      <c r="AI32" s="82"/>
      <c r="AJ32" s="82"/>
      <c r="AK32" s="82"/>
      <c r="AL32" s="82"/>
      <c r="AM32" s="138"/>
      <c r="AN32" s="82"/>
      <c r="AO32" s="82"/>
      <c r="AP32" s="82"/>
      <c r="AQ32" s="82"/>
      <c r="AR32" s="82"/>
      <c r="AS32" s="82"/>
      <c r="AT32" s="113"/>
      <c r="AU32" s="205"/>
      <c r="AV32" s="113"/>
      <c r="AW32" s="631"/>
      <c r="AX32" s="632"/>
      <c r="AY32" s="632"/>
      <c r="AZ32" s="632"/>
      <c r="BA32" s="633"/>
    </row>
    <row r="33" spans="2:53" ht="12.75" customHeight="1" x14ac:dyDescent="0.2">
      <c r="B33" s="60"/>
      <c r="C33" s="60"/>
      <c r="D33" s="72"/>
      <c r="E33" s="428"/>
      <c r="F33" s="426" t="str">
        <f>'Sprachen &amp; Rückgabewerte(4)'!$H$13</f>
        <v>Teilung Achsmasse</v>
      </c>
      <c r="G33" s="72"/>
      <c r="H33" s="72"/>
      <c r="I33" s="72"/>
      <c r="J33" s="72"/>
      <c r="K33" s="72"/>
      <c r="L33" s="72"/>
      <c r="M33" s="72"/>
      <c r="N33" s="72"/>
      <c r="O33" s="72"/>
      <c r="P33" s="72"/>
      <c r="Q33" s="72"/>
      <c r="R33" s="72"/>
      <c r="S33" s="72"/>
      <c r="T33" s="72"/>
      <c r="U33" s="72"/>
      <c r="V33" s="72"/>
      <c r="W33" s="72"/>
      <c r="X33" s="72"/>
      <c r="Y33" s="72"/>
      <c r="Z33" s="72"/>
      <c r="AA33" s="72"/>
      <c r="AB33" s="122"/>
      <c r="AC33" s="72"/>
      <c r="AD33" s="121"/>
      <c r="AE33" s="72"/>
      <c r="AF33" s="72" t="str">
        <f>'Sprachen &amp; Rückgabewerte(4)'!$H$15</f>
        <v>Standard</v>
      </c>
      <c r="AH33" s="72"/>
      <c r="AI33" s="72"/>
      <c r="AJ33" s="72"/>
      <c r="AK33" s="72"/>
      <c r="AL33" s="72"/>
      <c r="AM33" s="72"/>
      <c r="AN33" s="428"/>
      <c r="AO33" s="61"/>
      <c r="AP33" s="72" t="str">
        <f>'Sprachen &amp; Rückgabewerte(4)'!$H$25</f>
        <v>Pool</v>
      </c>
      <c r="AQ33" s="72"/>
      <c r="AR33" s="72"/>
      <c r="AS33" s="426"/>
      <c r="AT33" s="114"/>
      <c r="AU33" s="114"/>
      <c r="AW33" s="191" t="str">
        <f>IF(AND(F$10&gt;0,'Sprachen &amp; Rückgabewerte(4)'!$I$19=TRUE),CONCATENATE("Pos. ",'Pos. 4'!$B$2,".1"),"")</f>
        <v/>
      </c>
      <c r="AX33" s="729" t="s">
        <v>600</v>
      </c>
      <c r="AY33" s="730"/>
      <c r="AZ33" s="190"/>
      <c r="BA33" s="192"/>
    </row>
    <row r="34" spans="2:53" ht="12.75" customHeight="1" x14ac:dyDescent="0.2">
      <c r="B34" s="60"/>
      <c r="C34" s="60"/>
      <c r="D34" s="72"/>
      <c r="E34" s="428"/>
      <c r="F34" s="73" t="str">
        <f>'Sprachen &amp; Rückgabewerte(4)'!$H$14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22"/>
      <c r="AC34" s="72"/>
      <c r="AD34" s="121"/>
      <c r="AE34" s="72"/>
      <c r="AF34" s="72" t="str">
        <f>'Sprachen &amp; Rückgabewerte(4)'!$H$16</f>
        <v>Einbruchschutz RC2</v>
      </c>
      <c r="AH34" s="72"/>
      <c r="AI34" s="72"/>
      <c r="AJ34" s="72"/>
      <c r="AK34" s="72"/>
      <c r="AL34" s="72"/>
      <c r="AM34" s="72"/>
      <c r="AN34" s="428"/>
      <c r="AO34" s="72"/>
      <c r="AP34" s="72" t="str">
        <f>'Sprachen &amp; Rückgabewerte(4)'!H125</f>
        <v>NFRC (USA)</v>
      </c>
      <c r="AQ34" s="72"/>
      <c r="AR34" s="72"/>
      <c r="AS34" s="426"/>
      <c r="AT34" s="114"/>
      <c r="AU34" s="114"/>
      <c r="AW34" s="191" t="str">
        <f>IF(AND(J10&gt;0,'Sprachen &amp; Rückgabewerte(4)'!$I$19=TRUE),CONCATENATE("Pos. ",'Pos. 4'!$B$2,".2"),"")</f>
        <v/>
      </c>
      <c r="AX34" s="729"/>
      <c r="AY34" s="730"/>
      <c r="AZ34" s="190"/>
      <c r="BA34" s="192"/>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22"/>
      <c r="AC35" s="72"/>
      <c r="AD35" s="121"/>
      <c r="AE35" s="72"/>
      <c r="AF35" s="72" t="str">
        <f>'Sprachen &amp; Rückgabewerte(4)'!$H$17</f>
        <v>Positionsüberwachung (P)</v>
      </c>
      <c r="AH35" s="72"/>
      <c r="AI35" s="72"/>
      <c r="AJ35" s="72"/>
      <c r="AK35" s="72"/>
      <c r="AL35" s="72"/>
      <c r="AM35" s="72"/>
      <c r="AN35" s="428"/>
      <c r="AO35" s="72"/>
      <c r="AP35" s="72"/>
      <c r="AQ35" s="72"/>
      <c r="AR35" s="72"/>
      <c r="AS35" s="74"/>
      <c r="AT35" s="114"/>
      <c r="AU35" s="114"/>
      <c r="AW35" s="191" t="str">
        <f>IF(AND(N10&gt;0,'Sprachen &amp; Rückgabewerte(4)'!$I$19=TRUE),CONCATENATE("Pos. ",'Pos. 4'!$B$2,".3"),"")</f>
        <v/>
      </c>
      <c r="AX35" s="729"/>
      <c r="AY35" s="730"/>
      <c r="AZ35" s="190"/>
      <c r="BA35" s="192"/>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22"/>
      <c r="AC36" s="72"/>
      <c r="AD36" s="121"/>
      <c r="AE36" s="72"/>
      <c r="AF36" s="72" t="str">
        <f>'Sprachen &amp; Rückgabewerte(4)'!$H$18</f>
        <v xml:space="preserve">Riegelüberwachung (R) </v>
      </c>
      <c r="AH36" s="72"/>
      <c r="AI36" s="72"/>
      <c r="AJ36" s="72"/>
      <c r="AK36" s="72"/>
      <c r="AL36" s="72"/>
      <c r="AM36" s="72"/>
      <c r="AN36" s="428"/>
      <c r="AO36" s="72"/>
      <c r="AP36" s="72"/>
      <c r="AQ36" s="72"/>
      <c r="AR36" s="72"/>
      <c r="AS36" s="74"/>
      <c r="AT36" s="114"/>
      <c r="AU36" s="114"/>
      <c r="AW36" s="191" t="str">
        <f>IF(AND(R10&gt;0,'Sprachen &amp; Rückgabewerte(4)'!$I$19=TRUE),CONCATENATE("Pos. ",'Pos. 4'!$B$2,".4"),"")</f>
        <v/>
      </c>
      <c r="AX36" s="729"/>
      <c r="AY36" s="730"/>
      <c r="AZ36" s="190"/>
      <c r="BA36" s="192"/>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22"/>
      <c r="AC37" s="72"/>
      <c r="AD37" s="121"/>
      <c r="AE37" s="72"/>
      <c r="AF37" s="72" t="str">
        <f>'Sprachen &amp; Rückgabewerte(4)'!$H$19</f>
        <v>Glasbruchüberwachung (G)</v>
      </c>
      <c r="AH37" s="72"/>
      <c r="AI37" s="72"/>
      <c r="AJ37" s="72"/>
      <c r="AK37" s="72"/>
      <c r="AL37" s="72"/>
      <c r="AM37" s="72"/>
      <c r="AN37" s="428"/>
      <c r="AO37" s="72"/>
      <c r="AP37" s="72"/>
      <c r="AQ37" s="72"/>
      <c r="AR37" s="72"/>
      <c r="AS37" s="74"/>
      <c r="AT37" s="114"/>
      <c r="AU37" s="114"/>
      <c r="AW37" s="191" t="str">
        <f>IF(AND(V10&gt;0,'Sprachen &amp; Rückgabewerte(4)'!$I$19=TRUE),CONCATENATE("Pos. ",'Pos. 4'!$B$2,".5"),"")</f>
        <v/>
      </c>
      <c r="AX37" s="729"/>
      <c r="AY37" s="730"/>
      <c r="AZ37" s="190"/>
      <c r="BA37" s="192"/>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22"/>
      <c r="AC38" s="72"/>
      <c r="AD38" s="121"/>
      <c r="AE38" s="72"/>
      <c r="AF38" s="607" t="str">
        <f>'Sprachen &amp; Rückgabewerte(4)'!$H$20</f>
        <v>Elektrischer Antrieb, Anzahl</v>
      </c>
      <c r="AG38" s="607"/>
      <c r="AH38" s="607"/>
      <c r="AI38" s="607"/>
      <c r="AJ38" s="607"/>
      <c r="AK38" s="607"/>
      <c r="AL38" s="607"/>
      <c r="AM38" s="636">
        <f>IF('Sprachen &amp; Rückgabewerte(4)'!I20=FALSE,0,COUNTIF(F13:AQ19,"E"))</f>
        <v>0</v>
      </c>
      <c r="AN38" s="636"/>
      <c r="AO38" s="72" t="str">
        <f>'Sprachen &amp; Rückgabewerte(4)'!$H$21</f>
        <v>Stk.</v>
      </c>
      <c r="AQ38" s="72"/>
      <c r="AR38" s="72"/>
      <c r="AS38" s="426"/>
      <c r="AT38" s="114"/>
      <c r="AU38" s="114"/>
      <c r="AW38" s="191" t="str">
        <f>IF(AND(Z10&gt;0,'Sprachen &amp; Rückgabewerte(4)'!$I$19=TRUE),CONCATENATE("Pos. ",'Pos. 4'!$B$2,".6"),"")</f>
        <v/>
      </c>
      <c r="AX38" s="729"/>
      <c r="AY38" s="730"/>
      <c r="AZ38" s="61"/>
      <c r="BA38" s="114"/>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22"/>
      <c r="AC39" s="72"/>
      <c r="AD39" s="121"/>
      <c r="AE39" s="72"/>
      <c r="AF39" s="72" t="str">
        <f>'Sprachen &amp; Rückgabewerte(4)'!$H$22</f>
        <v>geforderte Klassen:</v>
      </c>
      <c r="AH39" s="72"/>
      <c r="AI39" s="72"/>
      <c r="AJ39" s="72"/>
      <c r="AK39" s="72"/>
      <c r="AL39" s="667"/>
      <c r="AM39" s="668"/>
      <c r="AN39" s="668"/>
      <c r="AO39" s="668"/>
      <c r="AP39" s="668"/>
      <c r="AQ39" s="668"/>
      <c r="AR39" s="668"/>
      <c r="AS39" s="669"/>
      <c r="AT39" s="114"/>
      <c r="AU39" s="114"/>
      <c r="AW39" s="191" t="str">
        <f>IF(AND(AD10&gt;0,'Sprachen &amp; Rückgabewerte(4)'!$I$19=TRUE),CONCATENATE("Pos. ",'Pos. 4'!$B$2,".7"),"")</f>
        <v/>
      </c>
      <c r="AX39" s="729"/>
      <c r="AY39" s="730"/>
      <c r="AZ39" s="61"/>
      <c r="BA39" s="114"/>
    </row>
    <row r="40" spans="2:53" ht="12.75" customHeight="1" x14ac:dyDescent="0.2">
      <c r="B40" s="60"/>
      <c r="C40" s="60"/>
      <c r="D40" s="72"/>
      <c r="E40" s="427"/>
      <c r="F40" s="73" t="str">
        <f>'Sprachen &amp; Rückgabewerte(4)'!H30</f>
        <v>nach rechts</v>
      </c>
      <c r="G40" s="72"/>
      <c r="H40" s="72"/>
      <c r="I40" s="72"/>
      <c r="J40" s="72"/>
      <c r="K40" s="72"/>
      <c r="L40" s="72"/>
      <c r="M40" s="72"/>
      <c r="N40" s="75" t="str">
        <f>'Sprachen &amp; Rückgabewerte(4)'!H31</f>
        <v>nach links</v>
      </c>
      <c r="O40" s="427"/>
      <c r="P40" s="75"/>
      <c r="Q40" s="428"/>
      <c r="R40" s="72"/>
      <c r="S40" s="72"/>
      <c r="T40" s="72"/>
      <c r="U40" s="72"/>
      <c r="V40" s="72"/>
      <c r="W40" s="72"/>
      <c r="X40" s="72"/>
      <c r="Y40" s="72"/>
      <c r="Z40" s="578" t="s">
        <v>179</v>
      </c>
      <c r="AA40" s="72"/>
      <c r="AB40" s="122"/>
      <c r="AC40" s="72"/>
      <c r="AD40" s="123"/>
      <c r="AE40" s="124"/>
      <c r="AF40" s="124"/>
      <c r="AG40" s="666"/>
      <c r="AH40" s="666"/>
      <c r="AI40" s="666"/>
      <c r="AJ40" s="666"/>
      <c r="AK40" s="666"/>
      <c r="AL40" s="666"/>
      <c r="AM40" s="666"/>
      <c r="AN40" s="666"/>
      <c r="AO40" s="666"/>
      <c r="AP40" s="666"/>
      <c r="AQ40" s="666"/>
      <c r="AR40" s="666"/>
      <c r="AS40" s="124"/>
      <c r="AT40" s="115"/>
      <c r="AU40" s="114"/>
      <c r="AW40" s="191" t="str">
        <f>IF(AND(AH10&gt;0,'Sprachen &amp; Rückgabewerte(4)'!$I$19=TRUE),CONCATENATE("Pos. ",'Pos. 4'!$B$2,".8"),"")</f>
        <v/>
      </c>
      <c r="AX40" s="729"/>
      <c r="AY40" s="730"/>
      <c r="AZ40" s="61"/>
      <c r="BA40" s="114"/>
    </row>
    <row r="41" spans="2:53" ht="12.75" customHeight="1" x14ac:dyDescent="0.2">
      <c r="B41" s="60"/>
      <c r="C41" s="60"/>
      <c r="D41" s="72"/>
      <c r="E41" s="427"/>
      <c r="F41" s="73"/>
      <c r="G41" s="72"/>
      <c r="H41" s="72"/>
      <c r="I41" s="72"/>
      <c r="J41" s="72"/>
      <c r="K41" s="72"/>
      <c r="L41" s="72"/>
      <c r="M41" s="72"/>
      <c r="N41" s="75"/>
      <c r="O41" s="427"/>
      <c r="P41" s="75"/>
      <c r="Q41" s="428"/>
      <c r="R41" s="72"/>
      <c r="S41" s="72"/>
      <c r="T41" s="72"/>
      <c r="U41" s="72"/>
      <c r="V41" s="72"/>
      <c r="W41" s="72"/>
      <c r="X41" s="72"/>
      <c r="Y41" s="72"/>
      <c r="Z41" s="579"/>
      <c r="AA41" s="72"/>
      <c r="AB41" s="122"/>
      <c r="AC41" s="72"/>
      <c r="AD41" s="72"/>
      <c r="AE41" s="72"/>
      <c r="AF41" s="72"/>
      <c r="AG41" s="76"/>
      <c r="AH41" s="76"/>
      <c r="AI41" s="76"/>
      <c r="AJ41" s="76"/>
      <c r="AK41" s="76"/>
      <c r="AL41" s="76"/>
      <c r="AM41" s="76"/>
      <c r="AN41" s="76"/>
      <c r="AO41" s="76"/>
      <c r="AP41" s="76"/>
      <c r="AQ41" s="76"/>
      <c r="AR41" s="76"/>
      <c r="AS41" s="72"/>
      <c r="AT41" s="61"/>
      <c r="AU41" s="114"/>
      <c r="AW41" s="191" t="str">
        <f>IF(AND(AL10&gt;0,'Sprachen &amp; Rückgabewerte(4)'!$I$19=TRUE),CONCATENATE("Pos. ",'Pos. 4'!$B$2,".9"),"")</f>
        <v/>
      </c>
      <c r="AX41" s="729"/>
      <c r="AY41" s="730"/>
      <c r="AZ41" s="61"/>
      <c r="BA41" s="114"/>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63"/>
      <c r="AA42" s="72"/>
      <c r="AB42" s="122"/>
      <c r="AC42" s="77"/>
      <c r="AD42" s="118"/>
      <c r="AE42" s="120" t="str">
        <f>'Sprachen &amp; Rückgabewerte(4)'!$H$35</f>
        <v>Oberfläche:</v>
      </c>
      <c r="AF42" s="120"/>
      <c r="AG42" s="119"/>
      <c r="AH42" s="119"/>
      <c r="AI42" s="119"/>
      <c r="AJ42" s="119"/>
      <c r="AK42" s="119"/>
      <c r="AL42" s="119"/>
      <c r="AM42" s="139"/>
      <c r="AN42" s="119"/>
      <c r="AO42" s="119"/>
      <c r="AP42" s="119"/>
      <c r="AQ42" s="119"/>
      <c r="AR42" s="119"/>
      <c r="AS42" s="119"/>
      <c r="AT42" s="113"/>
      <c r="AU42" s="114"/>
      <c r="AW42" s="191" t="str">
        <f>IF(AND(AP10&gt;0,'Sprachen &amp; Rückgabewerte(4)'!$I$19=TRUE),CONCATENATE("Pos. ",'Pos. 4'!$B$2,".10"),"")</f>
        <v/>
      </c>
      <c r="AX42" s="729"/>
      <c r="AY42" s="730"/>
      <c r="AZ42" s="61"/>
      <c r="BA42" s="114"/>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64"/>
      <c r="AA43" s="72"/>
      <c r="AB43" s="122"/>
      <c r="AC43" s="77"/>
      <c r="AD43" s="121"/>
      <c r="AE43" s="72"/>
      <c r="AF43" s="180" t="str">
        <f>'Sprachen &amp; Rückgabewerte(4)'!H36</f>
        <v>eloxiert (Qualanod):</v>
      </c>
      <c r="AG43" s="72"/>
      <c r="AH43" s="72"/>
      <c r="AI43" s="72"/>
      <c r="AJ43" s="72"/>
      <c r="AK43" s="72"/>
      <c r="AL43" s="72"/>
      <c r="AM43" s="627"/>
      <c r="AN43" s="627"/>
      <c r="AO43" s="627"/>
      <c r="AP43" s="627"/>
      <c r="AQ43" s="627"/>
      <c r="AR43" s="627"/>
      <c r="AS43" s="627"/>
      <c r="AT43" s="114"/>
      <c r="AU43" s="114"/>
      <c r="AW43" s="206">
        <f>COUNTBLANK(AW33:AW42)</f>
        <v>10</v>
      </c>
      <c r="AX43" s="207">
        <f>COUNTBLANK(AX33:AX42)</f>
        <v>9</v>
      </c>
      <c r="AY43" s="207">
        <f>AW43-AX43</f>
        <v>1</v>
      </c>
      <c r="AZ43" s="84"/>
      <c r="BA43" s="115"/>
    </row>
    <row r="44" spans="2:53" ht="12.75" customHeight="1" x14ac:dyDescent="0.2">
      <c r="B44" s="60"/>
      <c r="C44" s="60"/>
      <c r="D44" s="72"/>
      <c r="E44" s="72"/>
      <c r="F44" s="72"/>
      <c r="G44" s="72"/>
      <c r="H44" s="72"/>
      <c r="I44" s="72"/>
      <c r="J44" s="72"/>
      <c r="K44" s="72"/>
      <c r="L44" s="72"/>
      <c r="M44" s="72"/>
      <c r="N44" s="72"/>
      <c r="O44" s="72"/>
      <c r="P44" s="670" t="str">
        <f>'Sprachen &amp; Rückgabewerte(4)'!$H$33</f>
        <v>Griffhöhe:</v>
      </c>
      <c r="Q44" s="670"/>
      <c r="R44" s="670"/>
      <c r="S44" s="670"/>
      <c r="T44" s="72"/>
      <c r="U44" s="72"/>
      <c r="V44" s="72"/>
      <c r="W44" s="72"/>
      <c r="X44" s="72"/>
      <c r="Y44" s="72"/>
      <c r="Z44" s="664"/>
      <c r="AA44" s="72"/>
      <c r="AB44" s="122"/>
      <c r="AC44" s="77"/>
      <c r="AD44" s="121"/>
      <c r="AE44" s="72"/>
      <c r="AF44" s="428"/>
      <c r="AG44" s="73"/>
      <c r="AH44" s="72"/>
      <c r="AI44" s="72"/>
      <c r="AJ44" s="72"/>
      <c r="AK44" s="72"/>
      <c r="AL44" s="72"/>
      <c r="AM44" s="426"/>
      <c r="AN44" s="428"/>
      <c r="AO44" s="616"/>
      <c r="AP44" s="616"/>
      <c r="AQ44" s="616"/>
      <c r="AR44" s="616"/>
      <c r="AS44" s="616"/>
      <c r="AT44" s="114"/>
      <c r="AU44" s="114"/>
    </row>
    <row r="45" spans="2:53" ht="12.75" customHeight="1" x14ac:dyDescent="0.2">
      <c r="B45" s="60"/>
      <c r="C45" s="60"/>
      <c r="D45" s="72"/>
      <c r="E45" s="72"/>
      <c r="F45" s="72"/>
      <c r="G45" s="72"/>
      <c r="H45" s="72"/>
      <c r="I45" s="72"/>
      <c r="J45" s="72"/>
      <c r="K45" s="72"/>
      <c r="L45" s="72"/>
      <c r="M45" s="72"/>
      <c r="N45" s="72"/>
      <c r="O45" s="72"/>
      <c r="P45" s="670"/>
      <c r="Q45" s="670"/>
      <c r="R45" s="670"/>
      <c r="S45" s="670"/>
      <c r="T45" s="671"/>
      <c r="U45" s="672"/>
      <c r="V45" s="73" t="s">
        <v>179</v>
      </c>
      <c r="W45" s="72"/>
      <c r="X45" s="72"/>
      <c r="Y45" s="72"/>
      <c r="Z45" s="665"/>
      <c r="AA45" s="72"/>
      <c r="AB45" s="122"/>
      <c r="AC45" s="77"/>
      <c r="AD45" s="121"/>
      <c r="AE45" s="72"/>
      <c r="AF45" s="426" t="str">
        <f>'Sprachen &amp; Rückgabewerte(4)'!$H$39</f>
        <v>pulverbeschichtet:</v>
      </c>
      <c r="AG45" s="152"/>
      <c r="AH45" s="152"/>
      <c r="AI45" s="152"/>
      <c r="AJ45" s="152"/>
      <c r="AK45" s="152"/>
      <c r="AL45" s="152"/>
      <c r="AM45" s="601"/>
      <c r="AN45" s="602"/>
      <c r="AO45" s="602"/>
      <c r="AP45" s="602"/>
      <c r="AQ45" s="602"/>
      <c r="AR45" s="602"/>
      <c r="AS45" s="603"/>
      <c r="AT45" s="114"/>
      <c r="AU45" s="205"/>
      <c r="AV45" s="113"/>
      <c r="AW45" s="111"/>
      <c r="AX45" s="113"/>
    </row>
    <row r="46" spans="2:53" ht="12.75" customHeight="1" x14ac:dyDescent="0.2">
      <c r="B46" s="60"/>
      <c r="C46" s="60"/>
      <c r="D46" s="72"/>
      <c r="E46" s="72"/>
      <c r="F46" s="72"/>
      <c r="G46" s="72"/>
      <c r="H46" s="72"/>
      <c r="I46" s="609"/>
      <c r="J46" s="609"/>
      <c r="K46" s="609"/>
      <c r="L46" s="163" t="s">
        <v>193</v>
      </c>
      <c r="M46" s="72"/>
      <c r="N46" s="72"/>
      <c r="O46" s="72"/>
      <c r="P46" s="72"/>
      <c r="Q46" s="72"/>
      <c r="R46" s="72"/>
      <c r="S46" s="72"/>
      <c r="T46" s="72"/>
      <c r="U46" s="72"/>
      <c r="V46" s="72"/>
      <c r="W46" s="72"/>
      <c r="X46" s="72"/>
      <c r="Y46" s="72"/>
      <c r="Z46" s="592" t="str">
        <f>'Sprachen &amp; Rückgabewerte(4)'!$H$34</f>
        <v xml:space="preserve">Höhe = </v>
      </c>
      <c r="AA46" s="72"/>
      <c r="AB46" s="122"/>
      <c r="AC46" s="77"/>
      <c r="AD46" s="121"/>
      <c r="AE46" s="72"/>
      <c r="AF46" s="426" t="str">
        <f>'Sprachen &amp; Rückgabewerte(4)'!$H$40</f>
        <v>Vorbehandlung:</v>
      </c>
      <c r="AG46" s="72"/>
      <c r="AH46" s="72"/>
      <c r="AI46" s="72"/>
      <c r="AJ46" s="72"/>
      <c r="AK46" s="72"/>
      <c r="AL46" s="72"/>
      <c r="AM46" s="658"/>
      <c r="AN46" s="659"/>
      <c r="AO46" s="659"/>
      <c r="AP46" s="659"/>
      <c r="AQ46" s="659"/>
      <c r="AR46" s="659"/>
      <c r="AS46" s="660"/>
      <c r="AT46" s="114"/>
      <c r="AU46" s="114"/>
      <c r="AW46" s="237" t="str">
        <f>'Sprachen &amp; Rückgabewerte(4)'!$H$150</f>
        <v>Farbe Panele:</v>
      </c>
      <c r="AX46" s="114"/>
    </row>
    <row r="47" spans="2:53" ht="12.75" customHeight="1" x14ac:dyDescent="0.2">
      <c r="B47" s="60"/>
      <c r="C47" s="60"/>
      <c r="D47" s="72"/>
      <c r="E47" s="72"/>
      <c r="F47" s="72"/>
      <c r="G47" s="72"/>
      <c r="H47" s="72"/>
      <c r="I47" s="609"/>
      <c r="J47" s="609"/>
      <c r="K47" s="609"/>
      <c r="L47" s="163" t="s">
        <v>193</v>
      </c>
      <c r="M47" s="72"/>
      <c r="N47" s="72"/>
      <c r="O47" s="427"/>
      <c r="P47" s="72"/>
      <c r="Q47" s="72"/>
      <c r="R47" s="72"/>
      <c r="S47" s="72"/>
      <c r="T47" s="72"/>
      <c r="U47" s="72"/>
      <c r="V47" s="72"/>
      <c r="W47" s="72"/>
      <c r="X47" s="72"/>
      <c r="Y47" s="72"/>
      <c r="Z47" s="593"/>
      <c r="AA47" s="427"/>
      <c r="AB47" s="122"/>
      <c r="AC47" s="78"/>
      <c r="AD47" s="121"/>
      <c r="AE47" s="72"/>
      <c r="AF47" s="426" t="str">
        <f>'Sprachen &amp; Rückgabewerte(4)'!H176</f>
        <v>Pulverlack Klasse:</v>
      </c>
      <c r="AG47" s="72"/>
      <c r="AH47" s="72"/>
      <c r="AI47" s="72"/>
      <c r="AJ47" s="72"/>
      <c r="AK47" s="72"/>
      <c r="AL47" s="72"/>
      <c r="AM47" s="624"/>
      <c r="AN47" s="625"/>
      <c r="AO47" s="625"/>
      <c r="AP47" s="625"/>
      <c r="AQ47" s="625"/>
      <c r="AR47" s="625"/>
      <c r="AS47" s="626"/>
      <c r="AT47" s="114"/>
      <c r="AU47" s="114"/>
      <c r="AW47" s="60"/>
      <c r="AX47" s="114"/>
    </row>
    <row r="48" spans="2:53" ht="12.75" customHeight="1" x14ac:dyDescent="0.2">
      <c r="B48" s="60"/>
      <c r="C48" s="60"/>
      <c r="D48" s="72"/>
      <c r="E48" s="72"/>
      <c r="F48" s="72"/>
      <c r="G48" s="72"/>
      <c r="H48" s="72"/>
      <c r="I48" s="597"/>
      <c r="J48" s="597"/>
      <c r="K48" s="597"/>
      <c r="L48" s="163" t="s">
        <v>193</v>
      </c>
      <c r="M48" s="72"/>
      <c r="N48" s="72"/>
      <c r="O48" s="427"/>
      <c r="P48" s="72"/>
      <c r="Q48" s="72"/>
      <c r="R48" s="72"/>
      <c r="S48" s="72"/>
      <c r="T48" s="72"/>
      <c r="U48" s="72"/>
      <c r="V48" s="72"/>
      <c r="W48" s="72"/>
      <c r="X48" s="72"/>
      <c r="Y48" s="72"/>
      <c r="Z48" s="593"/>
      <c r="AA48" s="427"/>
      <c r="AB48" s="122"/>
      <c r="AC48" s="78"/>
      <c r="AD48" s="121"/>
      <c r="AE48" s="72"/>
      <c r="AF48" s="661" t="str">
        <f>'Sprachen &amp; Rückgabewerte(4)'!$H$91</f>
        <v>Farbe Laufschiene + Schraubenarretierungen:</v>
      </c>
      <c r="AG48" s="661"/>
      <c r="AH48" s="661"/>
      <c r="AI48" s="661"/>
      <c r="AJ48" s="661"/>
      <c r="AK48" s="661"/>
      <c r="AL48" s="661"/>
      <c r="AM48" s="61"/>
      <c r="AN48" s="61"/>
      <c r="AO48" s="426"/>
      <c r="AP48" s="72"/>
      <c r="AQ48" s="72"/>
      <c r="AR48" s="72"/>
      <c r="AS48" s="72"/>
      <c r="AT48" s="114"/>
      <c r="AU48" s="114"/>
      <c r="AW48" s="650"/>
      <c r="AX48" s="651"/>
    </row>
    <row r="49" spans="2:50" ht="12.75" customHeight="1" x14ac:dyDescent="0.2">
      <c r="B49" s="60"/>
      <c r="C49" s="60"/>
      <c r="D49" s="72"/>
      <c r="E49" s="72"/>
      <c r="F49" s="72"/>
      <c r="G49" s="72"/>
      <c r="H49" s="75" t="str">
        <f>'Sprachen &amp; Rückgabewerte(4)'!$H$32</f>
        <v>Breite =</v>
      </c>
      <c r="I49" s="594"/>
      <c r="J49" s="595"/>
      <c r="K49" s="596"/>
      <c r="L49" s="73" t="s">
        <v>179</v>
      </c>
      <c r="M49" s="72"/>
      <c r="N49" s="72"/>
      <c r="O49" s="427"/>
      <c r="P49" s="72"/>
      <c r="Q49" s="72"/>
      <c r="R49" s="72"/>
      <c r="S49" s="72"/>
      <c r="T49" s="72"/>
      <c r="U49" s="72"/>
      <c r="V49" s="72"/>
      <c r="W49" s="72"/>
      <c r="X49" s="72"/>
      <c r="Y49" s="72"/>
      <c r="Z49" s="593"/>
      <c r="AA49" s="427"/>
      <c r="AB49" s="122"/>
      <c r="AC49" s="78"/>
      <c r="AD49" s="121"/>
      <c r="AE49" s="72"/>
      <c r="AF49" s="661"/>
      <c r="AG49" s="661"/>
      <c r="AH49" s="661"/>
      <c r="AI49" s="661"/>
      <c r="AJ49" s="661"/>
      <c r="AK49" s="661"/>
      <c r="AL49" s="661"/>
      <c r="AM49" s="604"/>
      <c r="AN49" s="605"/>
      <c r="AO49" s="605"/>
      <c r="AP49" s="606"/>
      <c r="AQ49" s="72"/>
      <c r="AR49" s="72"/>
      <c r="AS49" s="72"/>
      <c r="AT49" s="114"/>
      <c r="AU49" s="114"/>
      <c r="AW49" s="68"/>
      <c r="AX49" s="115"/>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593"/>
      <c r="AA50" s="72"/>
      <c r="AB50" s="122"/>
      <c r="AC50" s="78"/>
      <c r="AD50" s="123"/>
      <c r="AE50" s="124"/>
      <c r="AF50" s="662"/>
      <c r="AG50" s="662"/>
      <c r="AH50" s="662"/>
      <c r="AI50" s="662"/>
      <c r="AJ50" s="662"/>
      <c r="AK50" s="662"/>
      <c r="AL50" s="662"/>
      <c r="AM50" s="140"/>
      <c r="AN50" s="124"/>
      <c r="AO50" s="124"/>
      <c r="AP50" s="124"/>
      <c r="AQ50" s="124"/>
      <c r="AR50" s="124"/>
      <c r="AS50" s="124"/>
      <c r="AT50" s="115"/>
      <c r="AU50" s="114"/>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593"/>
      <c r="AA51" s="72"/>
      <c r="AB51" s="122"/>
      <c r="AC51" s="78"/>
      <c r="AD51" s="72"/>
      <c r="AE51" s="72"/>
      <c r="AF51" s="72"/>
      <c r="AG51" s="72"/>
      <c r="AH51" s="72"/>
      <c r="AI51" s="72"/>
      <c r="AJ51" s="72"/>
      <c r="AK51" s="72"/>
      <c r="AL51" s="72"/>
      <c r="AM51" s="426"/>
      <c r="AN51" s="72"/>
      <c r="AO51" s="72"/>
      <c r="AP51" s="72"/>
      <c r="AQ51" s="72"/>
      <c r="AR51" s="72"/>
      <c r="AS51" s="72"/>
      <c r="AT51" s="61"/>
      <c r="AU51" s="114"/>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593"/>
      <c r="AA52" s="72"/>
      <c r="AB52" s="122"/>
      <c r="AC52" s="78"/>
      <c r="AD52" s="118"/>
      <c r="AE52" s="120" t="str">
        <f>'Sprachen &amp; Rückgabewerte(4)'!$H$42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593"/>
      <c r="AA53" s="72"/>
      <c r="AB53" s="122"/>
      <c r="AC53" s="78"/>
      <c r="AD53" s="121"/>
      <c r="AE53" s="613"/>
      <c r="AF53" s="614"/>
      <c r="AG53" s="615"/>
      <c r="AH53" s="72" t="str">
        <f>'Sprachen &amp; Rückgabewerte(4)'!$W$1</f>
        <v>Ug=</v>
      </c>
      <c r="AI53" s="611">
        <f>LOOKUP($AE$53,'Sprachen &amp; Rückgabewerte(4)'!$V$3:$V$35,'Sprachen &amp; Rückgabewerte(4)'!W3:W35)</f>
        <v>0</v>
      </c>
      <c r="AJ53" s="611"/>
      <c r="AK53" s="612" t="str">
        <f>'Sprachen &amp; Rückgabewerte(4)'!$X$1</f>
        <v>Lt=</v>
      </c>
      <c r="AL53" s="612"/>
      <c r="AM53" s="610">
        <f>LOOKUP(AE53,'Sprachen &amp; Rückgabewerte(4)'!V3:V35,'Sprachen &amp; Rückgabewerte(4)'!X3:X35)</f>
        <v>0</v>
      </c>
      <c r="AN53" s="610"/>
      <c r="AO53" s="211" t="str">
        <f>'Sprachen &amp; Rückgabewerte(4)'!$Y$1</f>
        <v>g=</v>
      </c>
      <c r="AP53" s="610">
        <f>LOOKUP(AE53,'Sprachen &amp; Rückgabewerte(4)'!V3:V35,'Sprachen &amp; Rückgabewerte(4)'!Y3:Y35)</f>
        <v>0</v>
      </c>
      <c r="AQ53" s="610"/>
      <c r="AR53" s="72"/>
      <c r="AS53" s="72"/>
      <c r="AT53" s="114"/>
      <c r="AU53" s="114"/>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593"/>
      <c r="AA54" s="72"/>
      <c r="AB54" s="122"/>
      <c r="AC54" s="72"/>
      <c r="AD54" s="121"/>
      <c r="AE54" s="72"/>
      <c r="AF54" s="72"/>
      <c r="AG54" s="72"/>
      <c r="AH54" s="73" t="str">
        <f>IF(AT52=1,'Sprachen &amp; Rückgabewerte(4)'!H158,LOOKUP(AE53,'Sprachen &amp; Rückgabewerte(4)'!V3:V35,'Sprachen &amp; Rückgabewerte(4)'!Z3:Z35))</f>
        <v>Glastyp wählen</v>
      </c>
      <c r="AI54" s="72"/>
      <c r="AJ54" s="72"/>
      <c r="AK54" s="72"/>
      <c r="AL54" s="72"/>
      <c r="AM54" s="426"/>
      <c r="AN54" s="79"/>
      <c r="AO54" s="79"/>
      <c r="AP54" s="72"/>
      <c r="AQ54" s="72"/>
      <c r="AR54" s="72"/>
      <c r="AS54" s="72"/>
      <c r="AT54" s="114"/>
      <c r="AU54" s="114"/>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22"/>
      <c r="AC55" s="72"/>
      <c r="AD55" s="121"/>
      <c r="AE55" s="607" t="str">
        <f>'Sprachen &amp; Rückgabewerte(4)'!$H$94</f>
        <v>Druckausgleichsventile :</v>
      </c>
      <c r="AF55" s="607"/>
      <c r="AG55" s="607"/>
      <c r="AH55" s="607"/>
      <c r="AI55" s="607"/>
      <c r="AJ55" s="607"/>
      <c r="AK55" s="607"/>
      <c r="AL55" s="607"/>
      <c r="AM55" s="607"/>
      <c r="AN55" s="608"/>
      <c r="AO55" s="549"/>
      <c r="AP55" s="550"/>
      <c r="AQ55" s="72"/>
      <c r="AR55" s="80" t="s">
        <v>379</v>
      </c>
      <c r="AS55" s="72"/>
      <c r="AT55" s="114"/>
      <c r="AU55" s="114"/>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22"/>
      <c r="AC56" s="72"/>
      <c r="AD56" s="121"/>
      <c r="AE56" s="72"/>
      <c r="AF56" s="132" t="str">
        <f>'Sprachen &amp; Rückgabewerte(4)'!$H$43</f>
        <v>Swisspacer-U schwarz</v>
      </c>
      <c r="AG56" s="72"/>
      <c r="AH56" s="72"/>
      <c r="AI56" s="72"/>
      <c r="AJ56" s="72"/>
      <c r="AK56" s="72"/>
      <c r="AL56" s="72"/>
      <c r="AM56" s="72"/>
      <c r="AN56" s="132" t="str">
        <f>'Sprachen &amp; Rückgabewerte(4)'!$H$44</f>
        <v>Swisspacer-U grau</v>
      </c>
      <c r="AQ56" s="72"/>
      <c r="AS56" s="80"/>
      <c r="AT56" s="114"/>
      <c r="AU56" s="114"/>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22"/>
      <c r="AC57" s="72"/>
      <c r="AD57" s="121"/>
      <c r="AE57" s="72"/>
      <c r="AF57" s="132" t="str">
        <f>'Sprachen &amp; Rückgabewerte(4)'!$H$45</f>
        <v>Speziell:</v>
      </c>
      <c r="AG57" s="72"/>
      <c r="AH57" s="72"/>
      <c r="AI57" s="621"/>
      <c r="AJ57" s="622"/>
      <c r="AK57" s="622"/>
      <c r="AL57" s="622"/>
      <c r="AM57" s="622"/>
      <c r="AN57" s="622"/>
      <c r="AO57" s="622"/>
      <c r="AP57" s="622"/>
      <c r="AQ57" s="622"/>
      <c r="AR57" s="622"/>
      <c r="AS57" s="623"/>
      <c r="AT57" s="114"/>
      <c r="AU57" s="114"/>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22"/>
      <c r="AC58" s="72"/>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60"/>
      <c r="C59" s="60"/>
      <c r="D59" s="72"/>
      <c r="E59" s="72"/>
      <c r="F59" s="72"/>
      <c r="G59" s="72"/>
      <c r="H59" s="72"/>
      <c r="I59" s="75"/>
      <c r="J59" s="73"/>
      <c r="K59" s="73"/>
      <c r="L59" s="73"/>
      <c r="M59" s="73"/>
      <c r="N59" s="73"/>
      <c r="O59" s="72"/>
      <c r="P59" s="72"/>
      <c r="Q59" s="72"/>
      <c r="R59" s="72"/>
      <c r="S59" s="72"/>
      <c r="T59" s="72"/>
      <c r="U59" s="72"/>
      <c r="V59" s="72"/>
      <c r="W59" s="72"/>
      <c r="X59" s="72"/>
      <c r="Y59" s="72"/>
      <c r="Z59" s="72"/>
      <c r="AA59" s="72"/>
      <c r="AB59" s="122"/>
      <c r="AC59" s="72"/>
      <c r="AD59" s="72"/>
      <c r="AE59" s="72"/>
      <c r="AF59" s="72"/>
      <c r="AG59" s="72"/>
      <c r="AH59" s="72"/>
      <c r="AI59" s="79"/>
      <c r="AJ59" s="79"/>
      <c r="AK59" s="79"/>
      <c r="AL59" s="79"/>
      <c r="AM59" s="79"/>
      <c r="AN59" s="79"/>
      <c r="AO59" s="79"/>
      <c r="AP59" s="79"/>
      <c r="AQ59" s="79"/>
      <c r="AR59" s="79"/>
      <c r="AS59" s="79"/>
      <c r="AT59" s="61"/>
      <c r="AU59" s="114"/>
    </row>
    <row r="60" spans="2:50" ht="12.75" customHeight="1" x14ac:dyDescent="0.2">
      <c r="B60" s="60"/>
      <c r="C60" s="68"/>
      <c r="D60" s="124"/>
      <c r="E60" s="124"/>
      <c r="F60" s="183" t="str">
        <f>'Sprachen &amp; Rückgabewerte(4)'!$H$110</f>
        <v>KABA (22)</v>
      </c>
      <c r="G60" s="124"/>
      <c r="H60" s="124"/>
      <c r="I60" s="124"/>
      <c r="J60" s="124"/>
      <c r="K60" s="124"/>
      <c r="L60" s="183" t="str">
        <f>'Sprachen &amp; Rückgabewerte(4)'!$H$111</f>
        <v>PZ / Euro (17)</v>
      </c>
      <c r="M60" s="124"/>
      <c r="N60" s="124"/>
      <c r="O60" s="124"/>
      <c r="P60" s="124"/>
      <c r="Q60" s="124"/>
      <c r="R60" s="124"/>
      <c r="S60" s="124"/>
      <c r="T60" s="124"/>
      <c r="U60" s="124"/>
      <c r="V60" s="124"/>
      <c r="W60" s="124"/>
      <c r="X60" s="124"/>
      <c r="Y60" s="124"/>
      <c r="Z60" s="124"/>
      <c r="AA60" s="154"/>
      <c r="AB60" s="125"/>
      <c r="AC60" s="72"/>
      <c r="AD60" s="118"/>
      <c r="AE60" s="120" t="str">
        <f>'Sprachen &amp; Rückgabewerte(4)'!$H$64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21"/>
      <c r="AE61" s="72"/>
      <c r="AF61" s="81"/>
      <c r="AG61" s="72"/>
      <c r="AH61" s="72"/>
      <c r="AI61" s="72"/>
      <c r="AJ61" s="72"/>
      <c r="AK61" s="72"/>
      <c r="AL61" s="72"/>
      <c r="AM61" s="426"/>
      <c r="AN61" s="72"/>
      <c r="AO61" s="72"/>
      <c r="AP61" s="72"/>
      <c r="AQ61" s="72"/>
      <c r="AR61" s="72"/>
      <c r="AS61" s="72"/>
      <c r="AT61" s="114"/>
      <c r="AU61" s="114"/>
    </row>
    <row r="62" spans="2:50" ht="12.75" customHeight="1" x14ac:dyDescent="0.2">
      <c r="B62" s="60"/>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28"/>
      <c r="AC62" s="72"/>
      <c r="AD62" s="121"/>
      <c r="AE62" s="72"/>
      <c r="AF62" s="81"/>
      <c r="AG62" s="72"/>
      <c r="AH62" s="72"/>
      <c r="AI62" s="72"/>
      <c r="AJ62" s="72"/>
      <c r="AK62" s="72"/>
      <c r="AL62" s="72"/>
      <c r="AM62" s="426"/>
      <c r="AN62" s="72"/>
      <c r="AO62" s="72"/>
      <c r="AP62" s="72"/>
      <c r="AQ62" s="72"/>
      <c r="AR62" s="72"/>
      <c r="AS62" s="72"/>
      <c r="AT62" s="114"/>
      <c r="AU62" s="114"/>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22"/>
      <c r="AC63" s="72"/>
      <c r="AD63" s="121"/>
      <c r="AE63" s="72"/>
      <c r="AF63" s="72"/>
      <c r="AG63" s="72"/>
      <c r="AH63" s="72"/>
      <c r="AI63" s="72"/>
      <c r="AJ63" s="72"/>
      <c r="AK63" s="72"/>
      <c r="AL63" s="72"/>
      <c r="AM63" s="426"/>
      <c r="AN63" s="72"/>
      <c r="AO63" s="72"/>
      <c r="AP63" s="72"/>
      <c r="AQ63" s="72"/>
      <c r="AR63" s="72"/>
      <c r="AS63" s="72"/>
      <c r="AT63" s="114"/>
      <c r="AU63" s="114"/>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22"/>
      <c r="AC64" s="72"/>
      <c r="AD64" s="121"/>
      <c r="AE64" s="72"/>
      <c r="AF64" s="72"/>
      <c r="AG64" s="72"/>
      <c r="AH64" s="72"/>
      <c r="AI64" s="72"/>
      <c r="AJ64" s="72"/>
      <c r="AK64" s="72"/>
      <c r="AL64" s="72"/>
      <c r="AM64" s="426"/>
      <c r="AN64" s="72"/>
      <c r="AO64" s="72"/>
      <c r="AP64" s="72"/>
      <c r="AQ64" s="72"/>
      <c r="AR64" s="72"/>
      <c r="AS64" s="72"/>
      <c r="AT64" s="114"/>
      <c r="AU64" s="114"/>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22"/>
      <c r="AC65" s="72"/>
      <c r="AD65" s="121"/>
      <c r="AE65" s="72"/>
      <c r="AF65" s="72"/>
      <c r="AG65" s="72"/>
      <c r="AH65" s="72"/>
      <c r="AI65" s="72"/>
      <c r="AJ65" s="72"/>
      <c r="AK65" s="72"/>
      <c r="AL65" s="72"/>
      <c r="AM65" s="72"/>
      <c r="AN65" s="72"/>
      <c r="AO65" s="72"/>
      <c r="AP65" s="72"/>
      <c r="AQ65" s="72"/>
      <c r="AR65" s="72"/>
      <c r="AS65" s="72"/>
      <c r="AT65" s="114"/>
      <c r="AU65" s="114"/>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22"/>
      <c r="AC66" s="72"/>
      <c r="AD66" s="121"/>
      <c r="AE66" s="72"/>
      <c r="AF66" s="72"/>
      <c r="AG66" s="72"/>
      <c r="AH66" s="72"/>
      <c r="AI66" s="72"/>
      <c r="AJ66" s="72"/>
      <c r="AK66" s="72"/>
      <c r="AL66" s="72"/>
      <c r="AM66" s="72"/>
      <c r="AN66" s="72"/>
      <c r="AO66" s="72"/>
      <c r="AP66" s="72"/>
      <c r="AQ66" s="72"/>
      <c r="AR66" s="72"/>
      <c r="AS66" s="72"/>
      <c r="AT66" s="114"/>
      <c r="AU66" s="114"/>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22"/>
      <c r="AC67" s="72"/>
      <c r="AD67" s="121"/>
      <c r="AE67" s="72"/>
      <c r="AF67" s="72"/>
      <c r="AG67" s="72"/>
      <c r="AH67" s="72"/>
      <c r="AI67" s="72"/>
      <c r="AJ67" s="72"/>
      <c r="AK67" s="72"/>
      <c r="AL67" s="72"/>
      <c r="AM67" s="72"/>
      <c r="AN67" s="72"/>
      <c r="AO67" s="72"/>
      <c r="AP67" s="72"/>
      <c r="AQ67" s="72"/>
      <c r="AR67" s="72"/>
      <c r="AS67" s="72"/>
      <c r="AT67" s="114"/>
      <c r="AU67" s="114"/>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22"/>
      <c r="AC68" s="72"/>
      <c r="AD68" s="121"/>
      <c r="AE68" s="72"/>
      <c r="AF68" s="72"/>
      <c r="AG68" s="72"/>
      <c r="AH68" s="72"/>
      <c r="AI68" s="72"/>
      <c r="AJ68" s="72"/>
      <c r="AK68" s="72"/>
      <c r="AL68" s="72"/>
      <c r="AM68" s="72"/>
      <c r="AN68" s="72"/>
      <c r="AO68" s="72"/>
      <c r="AP68" s="72"/>
      <c r="AQ68" s="72"/>
      <c r="AR68" s="72"/>
      <c r="AS68" s="72"/>
      <c r="AT68" s="114"/>
      <c r="AU68" s="114"/>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22"/>
      <c r="AC69" s="72"/>
      <c r="AD69" s="121"/>
      <c r="AE69" s="72"/>
      <c r="AF69" s="72"/>
      <c r="AG69" s="72"/>
      <c r="AH69" s="72"/>
      <c r="AI69" s="72"/>
      <c r="AJ69" s="72"/>
      <c r="AK69" s="72"/>
      <c r="AL69" s="72"/>
      <c r="AM69" s="72"/>
      <c r="AN69" s="72"/>
      <c r="AO69" s="72"/>
      <c r="AP69" s="72"/>
      <c r="AQ69" s="72"/>
      <c r="AR69" s="72"/>
      <c r="AS69" s="72"/>
      <c r="AT69" s="114"/>
      <c r="AU69" s="114"/>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22"/>
      <c r="AC70" s="72"/>
      <c r="AD70" s="121"/>
      <c r="AE70" s="598"/>
      <c r="AF70" s="599"/>
      <c r="AG70" s="599"/>
      <c r="AH70" s="599"/>
      <c r="AI70" s="599"/>
      <c r="AJ70" s="599"/>
      <c r="AK70" s="599"/>
      <c r="AL70" s="600"/>
      <c r="AM70" s="72"/>
      <c r="AN70" s="551"/>
      <c r="AO70" s="552"/>
      <c r="AP70" s="552"/>
      <c r="AQ70" s="552"/>
      <c r="AR70" s="552"/>
      <c r="AS70" s="553"/>
      <c r="AT70" s="114"/>
      <c r="AU70" s="114"/>
    </row>
    <row r="71" spans="2:50" ht="12.75" customHeight="1" x14ac:dyDescent="0.2">
      <c r="B71" s="60"/>
      <c r="C71" s="60"/>
      <c r="D71" s="72"/>
      <c r="E71" s="72"/>
      <c r="F71" s="73" t="str">
        <f>'Sprachen &amp; Rückgabewerte(4)'!$B$41</f>
        <v>120101/120101</v>
      </c>
      <c r="G71" s="72"/>
      <c r="H71" s="72"/>
      <c r="I71" s="72"/>
      <c r="J71" s="72"/>
      <c r="K71" s="72"/>
      <c r="L71" s="73" t="str">
        <f>'Sprachen &amp; Rückgabewerte(4)'!$B$42</f>
        <v>120101/120401</v>
      </c>
      <c r="M71" s="61"/>
      <c r="N71" s="72"/>
      <c r="O71" s="72"/>
      <c r="P71" s="72"/>
      <c r="Q71" s="72"/>
      <c r="R71" s="73" t="str">
        <f>'Sprachen &amp; Rückgabewerte(4)'!$B$43</f>
        <v>120401/120401</v>
      </c>
      <c r="S71" s="72"/>
      <c r="T71" s="72"/>
      <c r="U71" s="72"/>
      <c r="V71" s="72"/>
      <c r="W71" s="72"/>
      <c r="X71" s="73" t="str">
        <f>'Sprachen &amp; Rückgabewerte(4)'!$B$44</f>
        <v>121101/121101</v>
      </c>
      <c r="Y71" s="61"/>
      <c r="Z71" s="72"/>
      <c r="AA71" s="72"/>
      <c r="AB71" s="122"/>
      <c r="AC71" s="72"/>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60"/>
      <c r="C72" s="60"/>
      <c r="D72" s="72"/>
      <c r="E72" s="72"/>
      <c r="F72" s="695"/>
      <c r="G72" s="696"/>
      <c r="H72" s="696"/>
      <c r="I72" s="697"/>
      <c r="J72" s="72"/>
      <c r="K72" s="72"/>
      <c r="L72" s="695"/>
      <c r="M72" s="696"/>
      <c r="N72" s="696"/>
      <c r="O72" s="697"/>
      <c r="P72" s="72"/>
      <c r="Q72" s="72"/>
      <c r="R72" s="695"/>
      <c r="S72" s="696"/>
      <c r="T72" s="696"/>
      <c r="U72" s="697"/>
      <c r="V72" s="72"/>
      <c r="W72" s="72"/>
      <c r="X72" s="695"/>
      <c r="Y72" s="696"/>
      <c r="Z72" s="696"/>
      <c r="AA72" s="697"/>
      <c r="AB72" s="122"/>
      <c r="AC72" s="72"/>
      <c r="AD72" s="72"/>
      <c r="AE72" s="72"/>
      <c r="AF72" s="72"/>
      <c r="AG72" s="72"/>
      <c r="AH72" s="72"/>
      <c r="AI72" s="72"/>
      <c r="AJ72" s="72"/>
      <c r="AK72" s="72"/>
      <c r="AL72" s="72"/>
      <c r="AM72" s="72"/>
      <c r="AN72" s="72"/>
      <c r="AO72" s="72"/>
      <c r="AP72" s="72"/>
      <c r="AQ72" s="72"/>
      <c r="AR72" s="72"/>
      <c r="AS72" s="72"/>
      <c r="AT72" s="61"/>
      <c r="AU72" s="114"/>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329"/>
      <c r="AC73" s="72"/>
      <c r="AD73" s="118"/>
      <c r="AE73" s="120" t="str">
        <f>'Sprachen &amp; Rückgabewerte(4)'!$H$70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22"/>
      <c r="AC74" s="72"/>
      <c r="AD74" s="121"/>
      <c r="AE74" s="72"/>
      <c r="AF74" s="72" t="str">
        <f>'Sprachen &amp; Rückgabewerte(4)'!$H$71</f>
        <v>Universalschrauben (A2):</v>
      </c>
      <c r="AG74" s="72"/>
      <c r="AH74" s="72"/>
      <c r="AI74" s="72"/>
      <c r="AJ74" s="72"/>
      <c r="AK74" s="72"/>
      <c r="AL74" s="72"/>
      <c r="AM74" s="72" t="str">
        <f>'Sprachen &amp; Rückgabewerte(4)'!H72</f>
        <v>L=52mm</v>
      </c>
      <c r="AN74" s="379"/>
      <c r="AO74" s="381"/>
      <c r="AP74" s="382"/>
      <c r="AQ74" s="72" t="str">
        <f>'Sprachen &amp; Rückgabewerte(4)'!$H$180</f>
        <v>VE</v>
      </c>
      <c r="AR74" s="72"/>
      <c r="AS74" s="72"/>
      <c r="AT74" s="114"/>
      <c r="AU74" s="114"/>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22"/>
      <c r="AC75" s="72"/>
      <c r="AD75" s="121"/>
      <c r="AE75" s="72"/>
      <c r="AF75" s="72"/>
      <c r="AG75" s="79" t="str">
        <f>'Sprachen &amp; Rückgabewerte(4)'!H75</f>
        <v>(VE à 100 Stk.)</v>
      </c>
      <c r="AH75" s="72"/>
      <c r="AI75" s="72"/>
      <c r="AJ75" s="72"/>
      <c r="AK75" s="72"/>
      <c r="AL75" s="72"/>
      <c r="AM75" s="72" t="str">
        <f>'Sprachen &amp; Rückgabewerte(4)'!H73</f>
        <v>L=82mm</v>
      </c>
      <c r="AN75" s="380"/>
      <c r="AO75" s="381"/>
      <c r="AP75" s="382"/>
      <c r="AQ75" s="72" t="str">
        <f>'Sprachen &amp; Rückgabewerte(4)'!$H$180</f>
        <v>VE</v>
      </c>
      <c r="AR75" s="72"/>
      <c r="AS75" s="72"/>
      <c r="AT75" s="114"/>
      <c r="AU75" s="114"/>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22"/>
      <c r="AC76" s="72"/>
      <c r="AD76" s="121"/>
      <c r="AE76" s="72"/>
      <c r="AF76" s="72"/>
      <c r="AG76" s="72"/>
      <c r="AH76" s="72"/>
      <c r="AI76" s="72"/>
      <c r="AJ76" s="72"/>
      <c r="AK76" s="72"/>
      <c r="AL76" s="72"/>
      <c r="AM76" s="72" t="str">
        <f>'Sprachen &amp; Rückgabewerte(4)'!H74</f>
        <v>L=112mm</v>
      </c>
      <c r="AN76" s="426"/>
      <c r="AO76" s="72"/>
      <c r="AP76" s="382"/>
      <c r="AQ76" s="72" t="str">
        <f>'Sprachen &amp; Rückgabewerte(4)'!$H$180</f>
        <v>VE</v>
      </c>
      <c r="AR76" s="72"/>
      <c r="AS76" s="72"/>
      <c r="AT76" s="114"/>
      <c r="AU76" s="114"/>
      <c r="AW76" s="558"/>
      <c r="AX76" s="558"/>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22"/>
      <c r="AC77" s="72"/>
      <c r="AD77" s="121"/>
      <c r="AE77" s="81" t="str">
        <f>'Sprachen &amp; Rückgabewerte(4)'!$H$76</f>
        <v>Sockelbefestigung:</v>
      </c>
      <c r="AF77" s="81"/>
      <c r="AG77" s="72"/>
      <c r="AH77" s="72"/>
      <c r="AI77" s="72"/>
      <c r="AJ77" s="72"/>
      <c r="AK77" s="72"/>
      <c r="AL77" s="72"/>
      <c r="AM77" s="72"/>
      <c r="AN77" s="72"/>
      <c r="AO77" s="72"/>
      <c r="AP77" s="72"/>
      <c r="AQ77" s="72"/>
      <c r="AR77" s="72"/>
      <c r="AS77" s="72"/>
      <c r="AT77" s="114"/>
      <c r="AU77" s="114"/>
      <c r="AW77" s="559"/>
      <c r="AX77" s="559"/>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22"/>
      <c r="AC78" s="72"/>
      <c r="AD78" s="121"/>
      <c r="AE78" s="72" t="str">
        <f>'Sprachen &amp; Rückgabewerte(4)'!$H$77</f>
        <v>Verstellschrauben M10 x</v>
      </c>
      <c r="AF78" s="72"/>
      <c r="AG78" s="72"/>
      <c r="AH78" s="72"/>
      <c r="AI78" s="72"/>
      <c r="AJ78" s="72"/>
      <c r="AK78" s="72"/>
      <c r="AL78" s="72"/>
      <c r="AM78" s="72"/>
      <c r="AN78" s="581"/>
      <c r="AO78" s="581"/>
      <c r="AP78" s="581"/>
      <c r="AQ78" s="72"/>
      <c r="AR78" s="72"/>
      <c r="AS78" s="72"/>
      <c r="AT78" s="114"/>
      <c r="AU78" s="114"/>
      <c r="AW78" s="559"/>
      <c r="AX78" s="559"/>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22"/>
      <c r="AC79" s="72"/>
      <c r="AD79" s="121"/>
      <c r="AE79" s="72" t="str">
        <f>'Sprachen &amp; Rückgabewerte(4)'!$H$52</f>
        <v>Standardgrundplatten:</v>
      </c>
      <c r="AF79" s="72"/>
      <c r="AG79" s="72"/>
      <c r="AH79" s="72"/>
      <c r="AI79" s="72"/>
      <c r="AJ79" s="72"/>
      <c r="AK79" s="72"/>
      <c r="AL79" s="72"/>
      <c r="AM79" s="72"/>
      <c r="AN79" s="581"/>
      <c r="AO79" s="581"/>
      <c r="AP79" s="581"/>
      <c r="AQ79" s="72"/>
      <c r="AR79" s="72"/>
      <c r="AS79" s="72"/>
      <c r="AT79" s="114"/>
      <c r="AU79" s="114"/>
      <c r="AW79" s="559"/>
      <c r="AX79" s="559"/>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22"/>
      <c r="AC80" s="72"/>
      <c r="AD80" s="121"/>
      <c r="AE80" s="188" t="str">
        <f>'Sprachen &amp; Rückgabewerte(4)'!$H$84</f>
        <v>Rahmenzusammenbau:</v>
      </c>
      <c r="AF80" s="72"/>
      <c r="AG80" s="72"/>
      <c r="AH80" s="72"/>
      <c r="AI80" s="72"/>
      <c r="AJ80" s="72"/>
      <c r="AK80" s="72"/>
      <c r="AL80" s="72"/>
      <c r="AM80" s="72"/>
      <c r="AN80" s="719"/>
      <c r="AO80" s="720"/>
      <c r="AP80" s="720"/>
      <c r="AQ80" s="720"/>
      <c r="AR80" s="720"/>
      <c r="AS80" s="721"/>
      <c r="AT80" s="325"/>
      <c r="AU80" s="115"/>
      <c r="AV80" s="326"/>
      <c r="AW80" s="560"/>
      <c r="AX80" s="560"/>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22"/>
      <c r="AC81" s="72"/>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22"/>
      <c r="AC82" s="72"/>
      <c r="AD82" s="72"/>
      <c r="AE82" s="72"/>
      <c r="AF82" s="72"/>
      <c r="AG82" s="72"/>
      <c r="AH82" s="72"/>
      <c r="AI82" s="72"/>
      <c r="AJ82" s="72"/>
      <c r="AK82" s="72"/>
      <c r="AL82" s="72"/>
      <c r="AM82" s="72"/>
      <c r="AN82" s="72"/>
      <c r="AO82" s="72"/>
      <c r="AP82" s="72"/>
      <c r="AQ82" s="72"/>
      <c r="AR82" s="72"/>
      <c r="AS82" s="72"/>
      <c r="AT82" s="61"/>
      <c r="AU82" s="114"/>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22"/>
      <c r="AC83" s="72"/>
      <c r="AD83" s="118"/>
      <c r="AE83" s="120" t="str">
        <f>'Sprachen &amp; Rückgabewerte(4)'!$H$87</f>
        <v>Logistik:</v>
      </c>
      <c r="AF83" s="120"/>
      <c r="AG83" s="119"/>
      <c r="AH83" s="119"/>
      <c r="AI83" s="119"/>
      <c r="AJ83" s="119"/>
      <c r="AK83" s="119"/>
      <c r="AL83" s="119"/>
      <c r="AM83" s="119"/>
      <c r="AN83" s="120" t="str">
        <f>'Sprachen &amp; Rückgabewerte(4)'!$H$49</f>
        <v>Zubehör:</v>
      </c>
      <c r="AO83" s="119"/>
      <c r="AP83" s="119"/>
      <c r="AQ83" s="119"/>
      <c r="AR83" s="119"/>
      <c r="AS83" s="119"/>
      <c r="AT83" s="113"/>
      <c r="AU83" s="114"/>
    </row>
    <row r="84" spans="2:50" ht="12.75" customHeight="1" x14ac:dyDescent="0.2">
      <c r="B84" s="60"/>
      <c r="C84" s="60"/>
      <c r="D84" s="72"/>
      <c r="E84" s="72"/>
      <c r="F84" s="72"/>
      <c r="G84" s="72"/>
      <c r="H84" s="73" t="str">
        <f>'Sprachen &amp; Rückgabewerte(4)'!$B$45</f>
        <v>321901/321901</v>
      </c>
      <c r="I84" s="72"/>
      <c r="J84" s="72"/>
      <c r="K84" s="72"/>
      <c r="L84" s="72"/>
      <c r="M84" s="72"/>
      <c r="N84" s="61"/>
      <c r="O84" s="73" t="str">
        <f>'Sprachen &amp; Rückgabewerte(4)'!$B$46</f>
        <v>321901/322301</v>
      </c>
      <c r="P84" s="72"/>
      <c r="Q84" s="72"/>
      <c r="R84" s="72"/>
      <c r="S84" s="72"/>
      <c r="T84" s="72"/>
      <c r="U84" s="61"/>
      <c r="V84" s="73" t="str">
        <f>'Sprachen &amp; Rückgabewerte(4)'!$B$47</f>
        <v>322301/322301</v>
      </c>
      <c r="W84" s="72"/>
      <c r="X84" s="72"/>
      <c r="Y84" s="72"/>
      <c r="Z84" s="72"/>
      <c r="AA84" s="72"/>
      <c r="AB84" s="122"/>
      <c r="AC84" s="72"/>
      <c r="AD84" s="121"/>
      <c r="AE84" s="617"/>
      <c r="AF84" s="618"/>
      <c r="AG84" s="618"/>
      <c r="AH84" s="618"/>
      <c r="AI84" s="618"/>
      <c r="AJ84" s="618"/>
      <c r="AK84" s="618"/>
      <c r="AL84" s="619"/>
      <c r="AM84" s="72"/>
      <c r="AN84" s="72"/>
      <c r="AO84" s="72" t="str">
        <f>'Sprachen &amp; Rückgabewerte(4)'!$H$50</f>
        <v>Rinne (siehe unten)</v>
      </c>
      <c r="AP84" s="72"/>
      <c r="AQ84" s="72"/>
      <c r="AR84" s="72"/>
      <c r="AS84" s="72"/>
      <c r="AT84" s="114"/>
      <c r="AU84" s="205"/>
      <c r="AV84" s="205"/>
    </row>
    <row r="85" spans="2:50" ht="12.75" customHeight="1" x14ac:dyDescent="0.2">
      <c r="B85" s="60"/>
      <c r="C85" s="60"/>
      <c r="D85" s="72"/>
      <c r="E85" s="72"/>
      <c r="F85" s="72"/>
      <c r="G85" s="72"/>
      <c r="H85" s="695"/>
      <c r="I85" s="696"/>
      <c r="J85" s="696"/>
      <c r="K85" s="697"/>
      <c r="L85" s="72"/>
      <c r="M85" s="72"/>
      <c r="N85" s="72"/>
      <c r="O85" s="695"/>
      <c r="P85" s="696"/>
      <c r="Q85" s="696"/>
      <c r="R85" s="697"/>
      <c r="S85" s="72"/>
      <c r="T85" s="72"/>
      <c r="U85" s="72"/>
      <c r="V85" s="695"/>
      <c r="W85" s="696"/>
      <c r="X85" s="696"/>
      <c r="Y85" s="697"/>
      <c r="Z85" s="72"/>
      <c r="AA85" s="72"/>
      <c r="AB85" s="122"/>
      <c r="AC85" s="72"/>
      <c r="AD85" s="121"/>
      <c r="AE85" s="620"/>
      <c r="AF85" s="620"/>
      <c r="AG85" s="620"/>
      <c r="AH85" s="620"/>
      <c r="AI85" s="620"/>
      <c r="AJ85" s="620"/>
      <c r="AK85" s="620"/>
      <c r="AL85" s="620"/>
      <c r="AM85" s="72"/>
      <c r="AN85" s="72"/>
      <c r="AO85" s="72" t="str">
        <f>'Sprachen &amp; Rückgabewerte(4)'!$H$51</f>
        <v>Wetterschenkel</v>
      </c>
      <c r="AP85" s="72"/>
      <c r="AQ85" s="72"/>
      <c r="AR85" s="72"/>
      <c r="AS85" s="72"/>
      <c r="AT85" s="114"/>
      <c r="AU85" s="114"/>
      <c r="AV85" s="228"/>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4"/>
      <c r="AC86" s="61"/>
      <c r="AD86" s="60"/>
      <c r="AE86" s="61"/>
      <c r="AF86" s="61"/>
      <c r="AG86" s="61"/>
      <c r="AH86" s="61"/>
      <c r="AI86" s="61"/>
      <c r="AJ86" s="61"/>
      <c r="AK86" s="61"/>
      <c r="AL86" s="61"/>
      <c r="AM86" s="61"/>
      <c r="AN86" s="61"/>
      <c r="AO86" s="61" t="str">
        <f>IF('Sprachen &amp; Rückgabewerte(4)'!$I$51=TRUE,"L=","")</f>
        <v/>
      </c>
      <c r="AP86" s="580"/>
      <c r="AQ86" s="580"/>
      <c r="AR86" s="580"/>
      <c r="AS86" s="61" t="str">
        <f>IF('Sprachen &amp; Rückgabewerte(4)'!$I$51=TRUE,"mm","")</f>
        <v/>
      </c>
      <c r="AT86" s="114"/>
      <c r="AU86" s="114"/>
      <c r="AV86" s="228"/>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698" t="str">
        <f>'Sprachen &amp; Rückgabewerte(4)'!$H$118</f>
        <v>Standard (RC2 in Anlehnung)</v>
      </c>
      <c r="AA87" s="698"/>
      <c r="AB87" s="699"/>
      <c r="AC87" s="61"/>
      <c r="AD87" s="60"/>
      <c r="AE87" s="320" t="str">
        <f>'Sprachen &amp; Rückgabewerte(4)'!$H$47</f>
        <v>Windlast:</v>
      </c>
      <c r="AF87" s="81"/>
      <c r="AG87" s="155"/>
      <c r="AH87" s="61"/>
      <c r="AI87" s="61"/>
      <c r="AJ87" s="61"/>
      <c r="AK87" s="61"/>
      <c r="AL87" s="61"/>
      <c r="AM87" s="555"/>
      <c r="AN87" s="556"/>
      <c r="AO87" s="557"/>
      <c r="AP87" s="321" t="s">
        <v>782</v>
      </c>
      <c r="AS87" s="184"/>
      <c r="AT87" s="114"/>
      <c r="AU87" s="114"/>
      <c r="AV87" s="228"/>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698"/>
      <c r="AA88" s="698"/>
      <c r="AB88" s="699"/>
      <c r="AC88" s="61"/>
      <c r="AD88" s="60"/>
      <c r="AE88" s="188" t="str">
        <f>'Sprachen &amp; Rückgabewerte(4)'!$H$90</f>
        <v>Wunschtermin:</v>
      </c>
      <c r="AF88" s="319"/>
      <c r="AG88" s="319"/>
      <c r="AH88" s="319"/>
      <c r="AI88" s="319"/>
      <c r="AJ88" s="319"/>
      <c r="AK88" s="319"/>
      <c r="AL88" s="319"/>
      <c r="AM88" s="715"/>
      <c r="AN88" s="716"/>
      <c r="AO88" s="716"/>
      <c r="AP88" s="717"/>
      <c r="AQ88" s="717"/>
      <c r="AR88" s="718"/>
      <c r="AS88" s="319"/>
      <c r="AT88" s="114"/>
      <c r="AU88" s="114"/>
      <c r="AV88" s="228"/>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698"/>
      <c r="AA89" s="698"/>
      <c r="AB89" s="699"/>
      <c r="AC89" s="61"/>
      <c r="AD89" s="60"/>
      <c r="AF89" s="319"/>
      <c r="AG89" s="319"/>
      <c r="AH89" s="319"/>
      <c r="AI89" s="319"/>
      <c r="AJ89" s="319"/>
      <c r="AK89" s="319"/>
      <c r="AL89" s="319"/>
      <c r="AS89" s="319"/>
      <c r="AT89" s="114"/>
      <c r="AU89" s="114"/>
      <c r="AV89" s="228"/>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6" t="str">
        <f>'Sprachen &amp; Rückgabewerte(4)'!$H$116</f>
        <v>Ganzglas-Ecke</v>
      </c>
      <c r="W90" s="61"/>
      <c r="X90" s="61"/>
      <c r="Y90" s="61"/>
      <c r="Z90" s="61"/>
      <c r="AA90" s="61"/>
      <c r="AB90" s="114"/>
      <c r="AC90" s="61"/>
      <c r="AD90" s="60"/>
      <c r="AE90" s="554" t="str">
        <f>'Sprachen &amp; Rückgabewerte(4)'!$H$102</f>
        <v>Diese Bestellung ist verbindlich und muss komplett ausgefüllt werden. Änderungen werden als Mehraufwand verrechnet.</v>
      </c>
      <c r="AF90" s="554"/>
      <c r="AG90" s="554"/>
      <c r="AH90" s="554"/>
      <c r="AI90" s="554"/>
      <c r="AJ90" s="554"/>
      <c r="AK90" s="554"/>
      <c r="AL90" s="554"/>
      <c r="AM90" s="554"/>
      <c r="AN90" s="554"/>
      <c r="AO90" s="554"/>
      <c r="AP90" s="554"/>
      <c r="AQ90" s="554"/>
      <c r="AR90" s="554"/>
      <c r="AS90" s="554"/>
      <c r="AT90" s="114"/>
      <c r="AU90" s="114"/>
      <c r="AV90" s="228"/>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00" t="str">
        <f>'Sprachen &amp; Rückgabewerte(4)'!$H$119</f>
        <v>RC2 mit Blech</v>
      </c>
      <c r="AA91" s="700"/>
      <c r="AB91" s="701"/>
      <c r="AC91" s="61"/>
      <c r="AD91" s="60"/>
      <c r="AE91" s="554"/>
      <c r="AF91" s="554"/>
      <c r="AG91" s="554"/>
      <c r="AH91" s="554"/>
      <c r="AI91" s="554"/>
      <c r="AJ91" s="554"/>
      <c r="AK91" s="554"/>
      <c r="AL91" s="554"/>
      <c r="AM91" s="554"/>
      <c r="AN91" s="554"/>
      <c r="AO91" s="554"/>
      <c r="AP91" s="554"/>
      <c r="AQ91" s="554"/>
      <c r="AR91" s="554"/>
      <c r="AS91" s="554"/>
      <c r="AT91" s="114"/>
      <c r="AU91" s="114"/>
      <c r="AV91" s="228"/>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00"/>
      <c r="AA92" s="700"/>
      <c r="AB92" s="701"/>
      <c r="AC92" s="61"/>
      <c r="AD92" s="60"/>
      <c r="AE92" s="554"/>
      <c r="AF92" s="554"/>
      <c r="AG92" s="554"/>
      <c r="AH92" s="554"/>
      <c r="AI92" s="554"/>
      <c r="AJ92" s="554"/>
      <c r="AK92" s="554"/>
      <c r="AL92" s="554"/>
      <c r="AM92" s="554"/>
      <c r="AN92" s="554"/>
      <c r="AO92" s="554"/>
      <c r="AP92" s="554"/>
      <c r="AQ92" s="554"/>
      <c r="AR92" s="554"/>
      <c r="AS92" s="554"/>
      <c r="AT92" s="114"/>
      <c r="AU92" s="114"/>
      <c r="AV92" s="228"/>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00"/>
      <c r="AA93" s="700"/>
      <c r="AB93" s="701"/>
      <c r="AC93" s="61"/>
      <c r="AD93" s="68"/>
      <c r="AE93" s="84"/>
      <c r="AF93" s="84"/>
      <c r="AG93" s="84"/>
      <c r="AH93" s="84"/>
      <c r="AI93" s="84"/>
      <c r="AJ93" s="84"/>
      <c r="AK93" s="84"/>
      <c r="AL93" s="84"/>
      <c r="AM93" s="84"/>
      <c r="AN93" s="84"/>
      <c r="AO93" s="84"/>
      <c r="AP93" s="84"/>
      <c r="AQ93" s="84"/>
      <c r="AR93" s="84"/>
      <c r="AS93" s="84"/>
      <c r="AT93" s="115"/>
      <c r="AU93" s="114"/>
      <c r="AV93" s="228"/>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4"/>
      <c r="AC94" s="61"/>
      <c r="AD94" s="61"/>
      <c r="AE94" s="61"/>
      <c r="AF94" s="61"/>
      <c r="AG94" s="61"/>
      <c r="AH94" s="61"/>
      <c r="AI94" s="61"/>
      <c r="AJ94" s="61"/>
      <c r="AK94" s="72"/>
      <c r="AL94" s="72"/>
      <c r="AM94" s="72"/>
      <c r="AN94" s="72"/>
      <c r="AO94" s="72"/>
      <c r="AP94" s="72"/>
      <c r="AQ94" s="72"/>
      <c r="AR94" s="61"/>
      <c r="AS94" s="61"/>
      <c r="AT94" s="61"/>
      <c r="AU94" s="114"/>
      <c r="AV94" s="228"/>
    </row>
    <row r="95" spans="2:50" ht="12.75" customHeight="1" x14ac:dyDescent="0.2">
      <c r="B95" s="60"/>
      <c r="C95" s="60"/>
      <c r="D95" s="61"/>
      <c r="E95" s="61"/>
      <c r="F95" s="61"/>
      <c r="G95" s="61"/>
      <c r="H95" s="156" t="str">
        <f>'Sprachen &amp; Rückgabewerte(4)'!$B$48</f>
        <v>110101/110301</v>
      </c>
      <c r="I95" s="61"/>
      <c r="J95" s="61"/>
      <c r="K95" s="61"/>
      <c r="L95" s="61"/>
      <c r="M95" s="61"/>
      <c r="N95" s="61"/>
      <c r="O95" s="156" t="str">
        <f>'Sprachen &amp; Rückgabewerte(4)'!$B$49</f>
        <v>110101/110501</v>
      </c>
      <c r="P95" s="61"/>
      <c r="Q95" s="61"/>
      <c r="R95" s="61"/>
      <c r="S95" s="61"/>
      <c r="T95" s="61"/>
      <c r="U95" s="61"/>
      <c r="V95" s="156" t="str">
        <f>'Sprachen &amp; Rückgabewerte(4)'!$H$117</f>
        <v>Ecke RC2 (WK2)</v>
      </c>
      <c r="W95" s="61"/>
      <c r="X95" s="61"/>
      <c r="Y95" s="61"/>
      <c r="Z95" s="61"/>
      <c r="AA95" s="61"/>
      <c r="AB95" s="114"/>
      <c r="AC95" s="61"/>
      <c r="AD95" s="111"/>
      <c r="AE95" s="405"/>
      <c r="AF95" s="405"/>
      <c r="AG95" s="405"/>
      <c r="AH95" s="405"/>
      <c r="AI95" s="405"/>
      <c r="AJ95" s="405"/>
      <c r="AK95" s="405"/>
      <c r="AL95" s="405"/>
      <c r="AM95" s="405"/>
      <c r="AN95" s="405"/>
      <c r="AO95" s="405"/>
      <c r="AP95" s="405"/>
      <c r="AQ95" s="405"/>
      <c r="AR95" s="405"/>
      <c r="AS95" s="405"/>
      <c r="AT95" s="406"/>
      <c r="AU95" s="114"/>
      <c r="AV95" s="228"/>
      <c r="AW95" s="412" t="str">
        <f>IF(OR(AQ96="",AQ96='Sprachen &amp; Rückgabewerte(4)'!H96),"",'Sprachen &amp; Rückgabewerte(4)'!H182)</f>
        <v/>
      </c>
    </row>
    <row r="96" spans="2:50" ht="12.75" customHeight="1" x14ac:dyDescent="0.2">
      <c r="B96" s="60"/>
      <c r="C96" s="60"/>
      <c r="D96" s="61"/>
      <c r="E96" s="61"/>
      <c r="F96" s="61"/>
      <c r="G96" s="61"/>
      <c r="H96" s="695"/>
      <c r="I96" s="696"/>
      <c r="J96" s="696"/>
      <c r="K96" s="697"/>
      <c r="L96" s="61"/>
      <c r="M96" s="61"/>
      <c r="N96" s="61"/>
      <c r="O96" s="695"/>
      <c r="P96" s="696"/>
      <c r="Q96" s="696"/>
      <c r="R96" s="697"/>
      <c r="S96" s="61"/>
      <c r="T96" s="61"/>
      <c r="U96" s="61"/>
      <c r="V96" s="712"/>
      <c r="W96" s="713"/>
      <c r="X96" s="713"/>
      <c r="Y96" s="714"/>
      <c r="Z96" s="61"/>
      <c r="AA96" s="61"/>
      <c r="AB96" s="114"/>
      <c r="AC96" s="61"/>
      <c r="AD96" s="60"/>
      <c r="AE96" s="73" t="str">
        <f>'Sprachen &amp; Rückgabewerte(4)'!H181</f>
        <v>Sky-Frame Beratung vorhanden:</v>
      </c>
      <c r="AF96" s="407"/>
      <c r="AG96" s="407"/>
      <c r="AH96" s="407"/>
      <c r="AI96" s="407"/>
      <c r="AJ96" s="407"/>
      <c r="AK96" s="407"/>
      <c r="AL96" s="407"/>
      <c r="AM96" s="407"/>
      <c r="AN96" s="407"/>
      <c r="AO96" s="407"/>
      <c r="AP96" s="407"/>
      <c r="AQ96" s="590"/>
      <c r="AR96" s="591"/>
      <c r="AS96" s="410"/>
      <c r="AT96" s="409"/>
      <c r="AU96" s="115"/>
      <c r="AV96" s="411"/>
      <c r="AW96" s="546"/>
      <c r="AX96" s="548"/>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84"/>
      <c r="W97" s="84"/>
      <c r="X97" s="84"/>
      <c r="Y97" s="84"/>
      <c r="Z97" s="84"/>
      <c r="AA97" s="84"/>
      <c r="AB97" s="115"/>
      <c r="AC97" s="61"/>
      <c r="AD97" s="68"/>
      <c r="AE97" s="408"/>
      <c r="AF97" s="408"/>
      <c r="AG97" s="408"/>
      <c r="AH97" s="408"/>
      <c r="AI97" s="408"/>
      <c r="AJ97" s="408"/>
      <c r="AK97" s="408"/>
      <c r="AL97" s="408"/>
      <c r="AM97" s="408"/>
      <c r="AN97" s="408"/>
      <c r="AO97" s="408"/>
      <c r="AP97" s="408"/>
      <c r="AQ97" s="408"/>
      <c r="AR97" s="408"/>
      <c r="AS97" s="408"/>
      <c r="AT97" s="409"/>
      <c r="AU97" s="114"/>
      <c r="AV97" s="228"/>
    </row>
    <row r="98" spans="2:48" ht="19.5" customHeight="1" x14ac:dyDescent="0.2">
      <c r="B98" s="68"/>
      <c r="C98" s="711" t="s">
        <v>913</v>
      </c>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1"/>
      <c r="AG98" s="711"/>
      <c r="AH98" s="711"/>
      <c r="AI98" s="711"/>
      <c r="AJ98" s="711"/>
      <c r="AK98" s="711"/>
      <c r="AL98" s="711"/>
      <c r="AM98" s="711"/>
      <c r="AN98" s="711"/>
      <c r="AO98" s="711"/>
      <c r="AP98" s="84"/>
      <c r="AQ98" s="84"/>
      <c r="AR98" s="84"/>
      <c r="AS98" s="84"/>
      <c r="AT98" s="158" t="s">
        <v>907</v>
      </c>
      <c r="AU98" s="115"/>
      <c r="AV98" s="228"/>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55"/>
      <c r="AU99" s="61"/>
      <c r="AV99" s="114"/>
    </row>
    <row r="100" spans="2:48" x14ac:dyDescent="0.2">
      <c r="AV100" s="115"/>
    </row>
    <row r="101" spans="2:48" ht="13.5" thickBot="1" x14ac:dyDescent="0.25">
      <c r="B101" s="111"/>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13"/>
    </row>
    <row r="102" spans="2:48" ht="16.5" thickTop="1" x14ac:dyDescent="0.25">
      <c r="B102" s="60"/>
      <c r="C102" s="111"/>
      <c r="D102" s="82"/>
      <c r="E102" s="273" t="str">
        <f>'Sprachen &amp; Rückgabewerte(4)'!$H$138</f>
        <v>Rinnenbestellung</v>
      </c>
      <c r="F102" s="82"/>
      <c r="G102" s="82"/>
      <c r="H102" s="82"/>
      <c r="I102" s="82"/>
      <c r="J102" s="82"/>
      <c r="K102" s="82"/>
      <c r="L102" s="82"/>
      <c r="M102" s="82"/>
      <c r="N102" s="82"/>
      <c r="O102" s="82"/>
      <c r="P102" s="82"/>
      <c r="Q102" s="82"/>
      <c r="R102" s="82"/>
      <c r="S102" s="82"/>
      <c r="T102" s="82"/>
      <c r="U102" s="82"/>
      <c r="V102" s="82"/>
      <c r="W102" s="82"/>
      <c r="X102" s="82"/>
      <c r="Y102" s="82"/>
      <c r="Z102" s="113"/>
      <c r="AA102" s="61"/>
      <c r="AB102" s="240"/>
      <c r="AC102" s="241"/>
      <c r="AD102" s="241"/>
      <c r="AE102" s="241"/>
      <c r="AF102" s="256"/>
      <c r="AG102" s="257"/>
      <c r="AH102" s="260"/>
      <c r="AI102" s="256"/>
      <c r="AJ102" s="256"/>
      <c r="AK102" s="256"/>
      <c r="AL102" s="256"/>
      <c r="AM102" s="257"/>
      <c r="AN102" s="260"/>
      <c r="AO102" s="256"/>
      <c r="AP102" s="256"/>
      <c r="AQ102" s="256"/>
      <c r="AR102" s="256"/>
      <c r="AS102" s="256"/>
      <c r="AT102" s="257"/>
      <c r="AU102" s="114"/>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4"/>
      <c r="AA103" s="61"/>
      <c r="AB103" s="243"/>
      <c r="AC103" s="61"/>
      <c r="AD103" s="61"/>
      <c r="AE103" s="61"/>
      <c r="AF103" s="132"/>
      <c r="AG103" s="258"/>
      <c r="AH103" s="261"/>
      <c r="AI103" s="132"/>
      <c r="AJ103" s="132"/>
      <c r="AK103" s="132"/>
      <c r="AL103" s="132"/>
      <c r="AM103" s="258"/>
      <c r="AN103" s="261"/>
      <c r="AO103" s="132"/>
      <c r="AP103" s="132"/>
      <c r="AQ103" s="132"/>
      <c r="AR103" s="132"/>
      <c r="AS103" s="132"/>
      <c r="AT103" s="258"/>
      <c r="AU103" s="133"/>
    </row>
    <row r="104" spans="2:48" ht="15" customHeight="1" x14ac:dyDescent="0.2">
      <c r="B104" s="60"/>
      <c r="C104" s="60"/>
      <c r="D104" s="61"/>
      <c r="E104" s="72" t="str">
        <f>'Sprachen &amp; Rückgabewerte(4)'!$H$139</f>
        <v>Wahl des Rinnensystems:</v>
      </c>
      <c r="F104" s="61"/>
      <c r="G104" s="61"/>
      <c r="H104" s="61"/>
      <c r="I104" s="61"/>
      <c r="J104" s="61"/>
      <c r="K104" s="61"/>
      <c r="L104" s="61"/>
      <c r="M104" s="61"/>
      <c r="N104" s="61"/>
      <c r="O104" s="61"/>
      <c r="P104" s="61"/>
      <c r="Q104" s="61"/>
      <c r="R104" s="61"/>
      <c r="S104" s="61"/>
      <c r="T104" s="725"/>
      <c r="U104" s="726"/>
      <c r="V104" s="238"/>
      <c r="W104" s="238"/>
      <c r="X104" s="61"/>
      <c r="Y104" s="61"/>
      <c r="Z104" s="114"/>
      <c r="AB104" s="243"/>
      <c r="AC104" s="61"/>
      <c r="AD104" s="61"/>
      <c r="AE104" s="61"/>
      <c r="AF104" s="132"/>
      <c r="AG104" s="258"/>
      <c r="AH104" s="261"/>
      <c r="AI104" s="132"/>
      <c r="AJ104" s="132"/>
      <c r="AK104" s="132"/>
      <c r="AL104" s="132"/>
      <c r="AM104" s="258"/>
      <c r="AN104" s="261"/>
      <c r="AO104" s="132"/>
      <c r="AP104" s="132"/>
      <c r="AQ104" s="132"/>
      <c r="AR104" s="132"/>
      <c r="AS104" s="132"/>
      <c r="AT104" s="258"/>
      <c r="AU104" s="133"/>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4"/>
      <c r="AB105" s="243"/>
      <c r="AC105" s="61"/>
      <c r="AD105" s="61"/>
      <c r="AE105" s="61"/>
      <c r="AF105" s="132"/>
      <c r="AG105" s="258"/>
      <c r="AH105" s="261"/>
      <c r="AI105" s="132"/>
      <c r="AJ105" s="132"/>
      <c r="AK105" s="132"/>
      <c r="AL105" s="132"/>
      <c r="AM105" s="258"/>
      <c r="AN105" s="261"/>
      <c r="AO105" s="132"/>
      <c r="AP105" s="132"/>
      <c r="AQ105" s="132"/>
      <c r="AR105" s="132"/>
      <c r="AS105" s="132"/>
      <c r="AT105" s="258"/>
      <c r="AU105" s="133"/>
    </row>
    <row r="106" spans="2:48" ht="15" customHeight="1" x14ac:dyDescent="0.2">
      <c r="B106" s="60"/>
      <c r="C106" s="60"/>
      <c r="D106" s="61"/>
      <c r="E106" s="72" t="str">
        <f>'Sprachen &amp; Rückgabewerte(4)'!$H$140</f>
        <v>Einzug an der linken Anlagenseite:</v>
      </c>
      <c r="F106" s="61"/>
      <c r="G106" s="61"/>
      <c r="H106" s="61"/>
      <c r="I106" s="61"/>
      <c r="J106" s="61"/>
      <c r="K106" s="61"/>
      <c r="L106" s="61"/>
      <c r="M106" s="61"/>
      <c r="N106" s="61"/>
      <c r="O106" s="61"/>
      <c r="P106" s="61"/>
      <c r="Q106" s="61"/>
      <c r="R106" s="61"/>
      <c r="S106" s="61"/>
      <c r="T106" s="705"/>
      <c r="U106" s="727"/>
      <c r="V106" s="61" t="s">
        <v>179</v>
      </c>
      <c r="W106" s="61"/>
      <c r="X106" s="61"/>
      <c r="Y106" s="61"/>
      <c r="Z106" s="114"/>
      <c r="AB106" s="243"/>
      <c r="AC106" s="61"/>
      <c r="AD106" s="61"/>
      <c r="AE106" s="61"/>
      <c r="AF106" s="132"/>
      <c r="AG106" s="258"/>
      <c r="AH106" s="261"/>
      <c r="AI106" s="132"/>
      <c r="AJ106" s="132"/>
      <c r="AK106" s="132"/>
      <c r="AL106" s="132"/>
      <c r="AM106" s="258"/>
      <c r="AN106" s="261"/>
      <c r="AO106" s="132"/>
      <c r="AP106" s="132"/>
      <c r="AQ106" s="132"/>
      <c r="AR106" s="132"/>
      <c r="AS106" s="132"/>
      <c r="AT106" s="258"/>
      <c r="AU106" s="133"/>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4"/>
      <c r="AB107" s="243"/>
      <c r="AC107" s="61"/>
      <c r="AD107" s="61"/>
      <c r="AE107" s="61"/>
      <c r="AF107" s="132"/>
      <c r="AG107" s="258"/>
      <c r="AH107" s="261"/>
      <c r="AI107" s="132"/>
      <c r="AJ107" s="132"/>
      <c r="AK107" s="132"/>
      <c r="AL107" s="132"/>
      <c r="AM107" s="258"/>
      <c r="AN107" s="261"/>
      <c r="AO107" s="132"/>
      <c r="AP107" s="132"/>
      <c r="AQ107" s="132"/>
      <c r="AR107" s="132"/>
      <c r="AS107" s="132"/>
      <c r="AT107" s="258"/>
      <c r="AU107" s="133"/>
    </row>
    <row r="108" spans="2:48" ht="15" customHeight="1" x14ac:dyDescent="0.2">
      <c r="B108" s="60"/>
      <c r="C108" s="60"/>
      <c r="D108" s="61"/>
      <c r="E108" s="72" t="str">
        <f>'Sprachen &amp; Rückgabewerte(4)'!$H$141</f>
        <v>Einzug an der rechten Anlagenseite:</v>
      </c>
      <c r="F108" s="61"/>
      <c r="G108" s="61"/>
      <c r="H108" s="61"/>
      <c r="I108" s="61"/>
      <c r="J108" s="61"/>
      <c r="K108" s="61"/>
      <c r="L108" s="61"/>
      <c r="M108" s="61"/>
      <c r="N108" s="61"/>
      <c r="O108" s="61"/>
      <c r="P108" s="61"/>
      <c r="Q108" s="61"/>
      <c r="R108" s="61"/>
      <c r="S108" s="61"/>
      <c r="T108" s="705"/>
      <c r="U108" s="727"/>
      <c r="V108" s="61" t="s">
        <v>179</v>
      </c>
      <c r="W108" s="61"/>
      <c r="X108" s="61"/>
      <c r="Y108" s="61"/>
      <c r="Z108" s="114"/>
      <c r="AB108" s="243"/>
      <c r="AC108" s="61"/>
      <c r="AD108" s="61"/>
      <c r="AE108" s="61"/>
      <c r="AF108" s="132"/>
      <c r="AG108" s="258"/>
      <c r="AH108" s="261"/>
      <c r="AI108" s="132"/>
      <c r="AJ108" s="132"/>
      <c r="AK108" s="132"/>
      <c r="AL108" s="132"/>
      <c r="AM108" s="258"/>
      <c r="AN108" s="261"/>
      <c r="AO108" s="132"/>
      <c r="AP108" s="132"/>
      <c r="AQ108" s="132"/>
      <c r="AR108" s="132"/>
      <c r="AS108" s="132"/>
      <c r="AT108" s="258"/>
      <c r="AU108" s="133"/>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4"/>
      <c r="AB109" s="243"/>
      <c r="AC109" s="61"/>
      <c r="AD109" s="61"/>
      <c r="AE109" s="61"/>
      <c r="AF109" s="132"/>
      <c r="AG109" s="258"/>
      <c r="AH109" s="261"/>
      <c r="AI109" s="132"/>
      <c r="AJ109" s="132"/>
      <c r="AK109" s="132"/>
      <c r="AL109" s="132"/>
      <c r="AM109" s="258"/>
      <c r="AN109" s="261"/>
      <c r="AO109" s="132"/>
      <c r="AP109" s="132"/>
      <c r="AQ109" s="132"/>
      <c r="AR109" s="132"/>
      <c r="AS109" s="132"/>
      <c r="AT109" s="258"/>
      <c r="AU109" s="133"/>
    </row>
    <row r="110" spans="2:48" ht="15" customHeight="1" x14ac:dyDescent="0.2">
      <c r="B110" s="60"/>
      <c r="C110" s="60"/>
      <c r="D110" s="61"/>
      <c r="E110" s="72" t="str">
        <f>'Sprachen &amp; Rückgabewerte(4)'!$H$142</f>
        <v>Anschlussstutzen:</v>
      </c>
      <c r="F110" s="61"/>
      <c r="G110" s="61"/>
      <c r="H110" s="61"/>
      <c r="I110" s="61"/>
      <c r="J110" s="61"/>
      <c r="K110" s="61"/>
      <c r="L110" s="61"/>
      <c r="M110" s="61"/>
      <c r="N110" s="61"/>
      <c r="O110" s="61"/>
      <c r="P110" s="61"/>
      <c r="Q110" s="61"/>
      <c r="R110" s="61"/>
      <c r="S110" s="61"/>
      <c r="T110" s="725"/>
      <c r="U110" s="728"/>
      <c r="V110" s="728"/>
      <c r="W110" s="728"/>
      <c r="X110" s="728"/>
      <c r="Y110" s="726"/>
      <c r="Z110" s="533"/>
      <c r="AB110" s="262"/>
      <c r="AC110" s="263"/>
      <c r="AD110" s="263"/>
      <c r="AE110" s="263"/>
      <c r="AF110" s="264"/>
      <c r="AG110" s="265"/>
      <c r="AH110" s="266"/>
      <c r="AI110" s="264"/>
      <c r="AJ110" s="264"/>
      <c r="AK110" s="264"/>
      <c r="AL110" s="264"/>
      <c r="AM110" s="265"/>
      <c r="AN110" s="266"/>
      <c r="AO110" s="264"/>
      <c r="AP110" s="264"/>
      <c r="AQ110" s="264"/>
      <c r="AR110" s="264"/>
      <c r="AS110" s="264"/>
      <c r="AT110" s="265"/>
      <c r="AU110" s="133"/>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4"/>
      <c r="AB111" s="267"/>
      <c r="AC111" s="268"/>
      <c r="AD111" s="268"/>
      <c r="AE111" s="268"/>
      <c r="AF111" s="269"/>
      <c r="AG111" s="270"/>
      <c r="AH111" s="269"/>
      <c r="AI111" s="269"/>
      <c r="AJ111" s="269"/>
      <c r="AK111" s="269"/>
      <c r="AL111" s="269"/>
      <c r="AM111" s="269"/>
      <c r="AN111" s="271"/>
      <c r="AO111" s="269"/>
      <c r="AP111" s="269"/>
      <c r="AQ111" s="269"/>
      <c r="AR111" s="269"/>
      <c r="AS111" s="269"/>
      <c r="AT111" s="270"/>
      <c r="AU111" s="133"/>
    </row>
    <row r="112" spans="2:48" ht="15" customHeight="1" x14ac:dyDescent="0.2">
      <c r="B112" s="60"/>
      <c r="C112" s="60"/>
      <c r="D112" s="61"/>
      <c r="E112" s="61"/>
      <c r="F112" s="61"/>
      <c r="G112" s="61"/>
      <c r="H112" s="61"/>
      <c r="I112" s="61"/>
      <c r="J112" s="61"/>
      <c r="K112" s="61"/>
      <c r="L112" s="61"/>
      <c r="M112" s="61"/>
      <c r="N112" s="61"/>
      <c r="O112" s="61"/>
      <c r="P112" s="61"/>
      <c r="Q112" s="61"/>
      <c r="R112" s="276" t="str">
        <f>IF($T$110='Sprachen &amp; Rückgabewerte(4)'!$J$143,'Sprachen &amp; Rückgabewerte(4)'!$H$145,'Sprachen &amp; Rückgabewerte(4)'!$H$148)</f>
        <v>Abstände Ablaufstutzen:</v>
      </c>
      <c r="S112" s="61"/>
      <c r="T112" s="708"/>
      <c r="U112" s="723"/>
      <c r="V112" s="723"/>
      <c r="W112" s="723"/>
      <c r="X112" s="723"/>
      <c r="Y112" s="724"/>
      <c r="Z112" s="534"/>
      <c r="AB112" s="243"/>
      <c r="AC112" s="61"/>
      <c r="AD112" s="61"/>
      <c r="AE112" s="61"/>
      <c r="AF112" s="132"/>
      <c r="AG112" s="258"/>
      <c r="AH112" s="132"/>
      <c r="AI112" s="132"/>
      <c r="AJ112" s="132"/>
      <c r="AK112" s="132"/>
      <c r="AL112" s="132"/>
      <c r="AM112" s="132"/>
      <c r="AN112" s="261"/>
      <c r="AO112" s="132"/>
      <c r="AP112" s="132"/>
      <c r="AQ112" s="132"/>
      <c r="AR112" s="132"/>
      <c r="AS112" s="132"/>
      <c r="AT112" s="258"/>
      <c r="AU112" s="133"/>
    </row>
    <row r="113" spans="2:47" x14ac:dyDescent="0.2">
      <c r="B113" s="60"/>
      <c r="C113" s="60"/>
      <c r="D113" s="61"/>
      <c r="E113" s="277"/>
      <c r="F113" s="277"/>
      <c r="G113" s="277"/>
      <c r="H113" s="277"/>
      <c r="I113" s="277"/>
      <c r="J113" s="277"/>
      <c r="K113" s="277"/>
      <c r="L113" s="277"/>
      <c r="M113" s="277"/>
      <c r="N113" s="277"/>
      <c r="O113" s="277"/>
      <c r="P113" s="277"/>
      <c r="Q113" s="277"/>
      <c r="R113" s="277"/>
      <c r="S113" s="277"/>
      <c r="T113" s="61"/>
      <c r="U113" s="61"/>
      <c r="V113" s="61"/>
      <c r="W113" s="61"/>
      <c r="X113" s="61"/>
      <c r="Y113" s="61"/>
      <c r="Z113" s="114"/>
      <c r="AB113" s="243"/>
      <c r="AC113" s="61"/>
      <c r="AD113" s="61"/>
      <c r="AE113" s="61"/>
      <c r="AF113" s="132"/>
      <c r="AG113" s="258"/>
      <c r="AH113" s="132"/>
      <c r="AI113" s="132"/>
      <c r="AJ113" s="132"/>
      <c r="AK113" s="132"/>
      <c r="AL113" s="132"/>
      <c r="AM113" s="132"/>
      <c r="AN113" s="261"/>
      <c r="AO113" s="132"/>
      <c r="AP113" s="132"/>
      <c r="AQ113" s="132"/>
      <c r="AR113" s="132"/>
      <c r="AS113" s="132"/>
      <c r="AT113" s="258"/>
      <c r="AU113" s="114"/>
    </row>
    <row r="114" spans="2:47" ht="15" customHeight="1" x14ac:dyDescent="0.2">
      <c r="B114" s="60"/>
      <c r="C114" s="60"/>
      <c r="D114" s="61"/>
      <c r="E114" s="277"/>
      <c r="F114" s="277"/>
      <c r="G114" s="277"/>
      <c r="H114" s="277"/>
      <c r="I114" s="277"/>
      <c r="J114" s="277"/>
      <c r="K114" s="277"/>
      <c r="L114" s="277"/>
      <c r="M114" s="277"/>
      <c r="N114" s="277"/>
      <c r="O114" s="277"/>
      <c r="P114" s="277"/>
      <c r="Q114" s="277"/>
      <c r="R114" s="276" t="str">
        <f>'Sprachen &amp; Rückgabewerte(4)'!H149</f>
        <v>Rinnenanschluss:</v>
      </c>
      <c r="S114" s="277"/>
      <c r="T114" s="725"/>
      <c r="U114" s="726"/>
      <c r="V114" s="61"/>
      <c r="W114" s="61"/>
      <c r="X114" s="61"/>
      <c r="Y114" s="61"/>
      <c r="Z114" s="114"/>
      <c r="AB114" s="243"/>
      <c r="AC114" s="61"/>
      <c r="AD114" s="61"/>
      <c r="AE114" s="61"/>
      <c r="AF114" s="132"/>
      <c r="AG114" s="258"/>
      <c r="AH114" s="132"/>
      <c r="AI114" s="132"/>
      <c r="AJ114" s="132"/>
      <c r="AK114" s="132"/>
      <c r="AL114" s="132"/>
      <c r="AM114" s="132"/>
      <c r="AN114" s="261"/>
      <c r="AO114" s="132"/>
      <c r="AP114" s="132"/>
      <c r="AQ114" s="132"/>
      <c r="AR114" s="132"/>
      <c r="AS114" s="132"/>
      <c r="AT114" s="258"/>
      <c r="AU114" s="114"/>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4"/>
      <c r="AA115" s="61"/>
      <c r="AB115" s="243"/>
      <c r="AC115" s="61"/>
      <c r="AD115" s="61"/>
      <c r="AE115" s="61"/>
      <c r="AF115" s="61"/>
      <c r="AG115" s="258"/>
      <c r="AH115" s="132"/>
      <c r="AI115" s="132"/>
      <c r="AJ115" s="132"/>
      <c r="AK115" s="132"/>
      <c r="AL115" s="132"/>
      <c r="AM115" s="132"/>
      <c r="AN115" s="261"/>
      <c r="AO115" s="61"/>
      <c r="AP115" s="61"/>
      <c r="AQ115" s="61"/>
      <c r="AR115" s="61"/>
      <c r="AS115" s="61"/>
      <c r="AT115" s="245"/>
      <c r="AU115" s="114"/>
    </row>
    <row r="116" spans="2:47" x14ac:dyDescent="0.2">
      <c r="B116" s="60"/>
      <c r="C116" s="60"/>
      <c r="D116" s="61"/>
      <c r="E116" s="702" t="str">
        <f>IF('Sprachen &amp; Rückgabewerte(4)'!$I$50=TRUE,'Sprachen &amp; Rückgabewerte(4)'!$H$102,"")</f>
        <v/>
      </c>
      <c r="F116" s="702"/>
      <c r="G116" s="702"/>
      <c r="H116" s="702"/>
      <c r="I116" s="702"/>
      <c r="J116" s="702"/>
      <c r="K116" s="702"/>
      <c r="L116" s="702"/>
      <c r="M116" s="702"/>
      <c r="N116" s="702"/>
      <c r="O116" s="702"/>
      <c r="P116" s="702"/>
      <c r="Q116" s="702"/>
      <c r="R116" s="702"/>
      <c r="S116" s="61"/>
      <c r="T116" s="61"/>
      <c r="U116" s="61"/>
      <c r="V116" s="61"/>
      <c r="W116" s="61"/>
      <c r="X116" s="61"/>
      <c r="Y116" s="61"/>
      <c r="Z116" s="114"/>
      <c r="AA116" s="61"/>
      <c r="AB116" s="243"/>
      <c r="AC116" s="61"/>
      <c r="AD116" s="61"/>
      <c r="AE116" s="61"/>
      <c r="AF116" s="61"/>
      <c r="AG116" s="258"/>
      <c r="AH116" s="132"/>
      <c r="AI116" s="132"/>
      <c r="AJ116" s="132"/>
      <c r="AK116" s="132"/>
      <c r="AL116" s="132"/>
      <c r="AM116" s="132"/>
      <c r="AN116" s="261"/>
      <c r="AO116" s="61"/>
      <c r="AP116" s="61"/>
      <c r="AQ116" s="61"/>
      <c r="AR116" s="61"/>
      <c r="AS116" s="61"/>
      <c r="AT116" s="245"/>
      <c r="AU116" s="114"/>
    </row>
    <row r="117" spans="2:47" ht="12.75" customHeight="1" x14ac:dyDescent="0.2">
      <c r="B117" s="60"/>
      <c r="C117" s="60"/>
      <c r="D117" s="61"/>
      <c r="E117" s="702"/>
      <c r="F117" s="702"/>
      <c r="G117" s="702"/>
      <c r="H117" s="702"/>
      <c r="I117" s="702"/>
      <c r="J117" s="702"/>
      <c r="K117" s="702"/>
      <c r="L117" s="702"/>
      <c r="M117" s="702"/>
      <c r="N117" s="702"/>
      <c r="O117" s="702"/>
      <c r="P117" s="702"/>
      <c r="Q117" s="702"/>
      <c r="R117" s="702"/>
      <c r="S117" s="132"/>
      <c r="T117" s="132"/>
      <c r="U117" s="132"/>
      <c r="V117" s="132"/>
      <c r="W117" s="132"/>
      <c r="X117" s="132"/>
      <c r="Y117" s="132"/>
      <c r="Z117" s="133"/>
      <c r="AA117" s="132"/>
      <c r="AB117" s="261"/>
      <c r="AC117" s="132"/>
      <c r="AD117" s="132"/>
      <c r="AE117" s="132"/>
      <c r="AF117" s="132"/>
      <c r="AG117" s="258"/>
      <c r="AH117" s="132"/>
      <c r="AI117" s="132"/>
      <c r="AJ117" s="132"/>
      <c r="AK117" s="132"/>
      <c r="AL117" s="132"/>
      <c r="AM117" s="132"/>
      <c r="AN117" s="261"/>
      <c r="AO117" s="61"/>
      <c r="AP117" s="61"/>
      <c r="AQ117" s="61"/>
      <c r="AR117" s="61"/>
      <c r="AS117" s="61"/>
      <c r="AT117" s="245"/>
      <c r="AU117" s="114"/>
    </row>
    <row r="118" spans="2:47" x14ac:dyDescent="0.2">
      <c r="B118" s="60"/>
      <c r="C118" s="60"/>
      <c r="D118" s="61"/>
      <c r="E118" s="702"/>
      <c r="F118" s="702"/>
      <c r="G118" s="702"/>
      <c r="H118" s="702"/>
      <c r="I118" s="702"/>
      <c r="J118" s="702"/>
      <c r="K118" s="702"/>
      <c r="L118" s="702"/>
      <c r="M118" s="702"/>
      <c r="N118" s="702"/>
      <c r="O118" s="702"/>
      <c r="P118" s="702"/>
      <c r="Q118" s="702"/>
      <c r="R118" s="702"/>
      <c r="S118" s="61"/>
      <c r="T118" s="61"/>
      <c r="U118" s="61"/>
      <c r="V118" s="61"/>
      <c r="W118" s="61"/>
      <c r="X118" s="61"/>
      <c r="Y118" s="61"/>
      <c r="Z118" s="114"/>
      <c r="AB118" s="243"/>
      <c r="AC118" s="61"/>
      <c r="AD118" s="61"/>
      <c r="AE118" s="61"/>
      <c r="AF118" s="61"/>
      <c r="AG118" s="245"/>
      <c r="AH118" s="61"/>
      <c r="AI118" s="61"/>
      <c r="AJ118" s="61"/>
      <c r="AK118" s="61"/>
      <c r="AL118" s="61"/>
      <c r="AM118" s="61"/>
      <c r="AN118" s="243"/>
      <c r="AO118" s="61"/>
      <c r="AP118" s="61"/>
      <c r="AQ118" s="61"/>
      <c r="AR118" s="61"/>
      <c r="AS118" s="61"/>
      <c r="AT118" s="245"/>
      <c r="AU118" s="114"/>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4"/>
      <c r="AB119" s="243"/>
      <c r="AC119" s="61"/>
      <c r="AD119" s="61"/>
      <c r="AE119" s="61"/>
      <c r="AF119" s="61"/>
      <c r="AG119" s="245"/>
      <c r="AH119" s="61"/>
      <c r="AI119" s="61"/>
      <c r="AJ119" s="61"/>
      <c r="AK119" s="61"/>
      <c r="AL119" s="61"/>
      <c r="AM119" s="61"/>
      <c r="AN119" s="243"/>
      <c r="AO119" s="61"/>
      <c r="AP119" s="61"/>
      <c r="AQ119" s="61"/>
      <c r="AR119" s="61"/>
      <c r="AS119" s="61"/>
      <c r="AT119" s="245"/>
      <c r="AU119" s="114"/>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5"/>
      <c r="AB120" s="259"/>
      <c r="AC120" s="249"/>
      <c r="AD120" s="249"/>
      <c r="AE120" s="249"/>
      <c r="AF120" s="249"/>
      <c r="AG120" s="251"/>
      <c r="AH120" s="249"/>
      <c r="AI120" s="249"/>
      <c r="AJ120" s="249"/>
      <c r="AK120" s="249"/>
      <c r="AL120" s="249"/>
      <c r="AM120" s="249"/>
      <c r="AN120" s="259"/>
      <c r="AO120" s="249"/>
      <c r="AP120" s="249"/>
      <c r="AQ120" s="249"/>
      <c r="AR120" s="249"/>
      <c r="AS120" s="249"/>
      <c r="AT120" s="251"/>
      <c r="AU120" s="114"/>
    </row>
    <row r="121" spans="2:47" ht="13.5" thickTop="1" x14ac:dyDescent="0.2">
      <c r="B121" s="60"/>
      <c r="AU121" s="114"/>
    </row>
    <row r="122" spans="2:47" ht="12.95" customHeight="1" x14ac:dyDescent="0.2">
      <c r="B122" s="60"/>
      <c r="L122" s="61"/>
      <c r="M122" s="61"/>
      <c r="N122" s="61"/>
      <c r="O122" s="61"/>
      <c r="P122" s="61"/>
      <c r="Q122" s="61"/>
      <c r="R122" s="61"/>
      <c r="S122" s="61"/>
      <c r="T122" s="61"/>
      <c r="U122" s="61"/>
      <c r="V122" s="61"/>
      <c r="W122" s="61"/>
      <c r="X122" s="61"/>
      <c r="Y122" s="61"/>
      <c r="Z122" s="61"/>
      <c r="AA122" s="61"/>
      <c r="AB122" s="111"/>
      <c r="AC122" s="82"/>
      <c r="AD122" s="82"/>
      <c r="AE122" s="82"/>
      <c r="AF122" s="82"/>
      <c r="AG122" s="82"/>
      <c r="AH122" s="82"/>
      <c r="AI122" s="82"/>
      <c r="AJ122" s="82"/>
      <c r="AK122" s="82"/>
      <c r="AL122" s="82"/>
      <c r="AM122" s="82"/>
      <c r="AN122" s="82"/>
      <c r="AO122" s="82"/>
      <c r="AP122" s="82"/>
      <c r="AQ122" s="82"/>
      <c r="AR122" s="82"/>
      <c r="AS122" s="82"/>
      <c r="AT122" s="113"/>
      <c r="AU122" s="114"/>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4"/>
      <c r="AU123" s="114"/>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4"/>
      <c r="AU124" s="114"/>
    </row>
    <row r="125" spans="2:47" ht="12.95" customHeight="1" x14ac:dyDescent="0.2">
      <c r="B125" s="60"/>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4"/>
      <c r="AU125" s="114"/>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32"/>
      <c r="AL126" s="132"/>
      <c r="AM126" s="132"/>
      <c r="AN126" s="132"/>
      <c r="AO126" s="132"/>
      <c r="AP126" s="61"/>
      <c r="AQ126" s="61"/>
      <c r="AR126" s="61"/>
      <c r="AS126" s="61"/>
      <c r="AT126" s="114"/>
      <c r="AU126" s="114"/>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32"/>
      <c r="AL127" s="132"/>
      <c r="AM127" s="132"/>
      <c r="AN127" s="132"/>
      <c r="AO127" s="132"/>
      <c r="AP127" s="61"/>
      <c r="AQ127" s="61"/>
      <c r="AR127" s="61"/>
      <c r="AS127" s="61"/>
      <c r="AT127" s="114"/>
      <c r="AU127" s="114"/>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32"/>
      <c r="AL128" s="132"/>
      <c r="AM128" s="132"/>
      <c r="AN128" s="132"/>
      <c r="AO128" s="132"/>
      <c r="AP128" s="61"/>
      <c r="AQ128" s="61"/>
      <c r="AR128" s="61"/>
      <c r="AS128" s="61"/>
      <c r="AT128" s="114"/>
      <c r="AU128" s="114"/>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55"/>
      <c r="AG129" s="61"/>
      <c r="AH129" s="61"/>
      <c r="AI129" s="61"/>
      <c r="AJ129" s="61"/>
      <c r="AK129" s="132"/>
      <c r="AL129" s="132"/>
      <c r="AM129" s="132"/>
      <c r="AN129" s="132"/>
      <c r="AO129" s="132"/>
      <c r="AP129" s="61"/>
      <c r="AQ129" s="61"/>
      <c r="AR129" s="61"/>
      <c r="AS129" s="61"/>
      <c r="AT129" s="114"/>
      <c r="AU129" s="114"/>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32"/>
      <c r="AL130" s="132"/>
      <c r="AM130" s="132"/>
      <c r="AN130" s="132"/>
      <c r="AO130" s="132"/>
      <c r="AP130" s="61"/>
      <c r="AQ130" s="61"/>
      <c r="AR130" s="61"/>
      <c r="AS130" s="61"/>
      <c r="AT130" s="114"/>
      <c r="AU130" s="114"/>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16"/>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16"/>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16"/>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16"/>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72"/>
      <c r="AF135" s="136"/>
      <c r="AG135" s="136"/>
      <c r="AH135" s="136"/>
      <c r="AI135" s="136"/>
      <c r="AJ135" s="136"/>
      <c r="AK135" s="136"/>
      <c r="AL135" s="136"/>
      <c r="AM135" s="136"/>
      <c r="AN135" s="136"/>
      <c r="AO135" s="136"/>
      <c r="AP135" s="136"/>
      <c r="AQ135" s="136"/>
      <c r="AR135" s="136"/>
      <c r="AS135" s="136"/>
      <c r="AT135" s="137"/>
      <c r="AU135" s="114"/>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5"/>
    </row>
    <row r="137" spans="2:47" x14ac:dyDescent="0.2">
      <c r="AE137" s="212"/>
      <c r="AF137" s="132"/>
      <c r="AG137" s="132"/>
      <c r="AH137" s="132"/>
      <c r="AI137" s="132"/>
      <c r="AJ137" s="132"/>
      <c r="AK137" s="132"/>
      <c r="AL137" s="132"/>
      <c r="AM137" s="132"/>
      <c r="AN137" s="132"/>
      <c r="AO137" s="132"/>
      <c r="AP137" s="132"/>
      <c r="AQ137" s="132"/>
      <c r="AR137" s="132"/>
      <c r="AS137" s="132"/>
      <c r="AT137" s="132"/>
    </row>
    <row r="138" spans="2:47" x14ac:dyDescent="0.2">
      <c r="AE138" s="212"/>
      <c r="AF138" s="132"/>
      <c r="AG138" s="132"/>
      <c r="AH138" s="132"/>
      <c r="AI138" s="132"/>
      <c r="AJ138" s="132"/>
      <c r="AK138" s="132"/>
      <c r="AL138" s="132"/>
      <c r="AM138" s="132"/>
      <c r="AN138" s="132"/>
      <c r="AO138" s="132"/>
      <c r="AP138" s="132"/>
      <c r="AQ138" s="132"/>
      <c r="AR138" s="132"/>
      <c r="AS138" s="132"/>
      <c r="AT138" s="132"/>
    </row>
    <row r="139" spans="2:47" x14ac:dyDescent="0.2">
      <c r="AE139" s="212"/>
      <c r="AF139" s="132"/>
      <c r="AG139" s="132"/>
      <c r="AH139" s="132"/>
      <c r="AI139" s="132"/>
      <c r="AJ139" s="132"/>
      <c r="AK139" s="132"/>
      <c r="AL139" s="132"/>
      <c r="AM139" s="132"/>
      <c r="AN139" s="132"/>
      <c r="AO139" s="132"/>
      <c r="AP139" s="132"/>
      <c r="AQ139" s="132"/>
      <c r="AR139" s="132"/>
      <c r="AS139" s="132"/>
      <c r="AT139" s="132"/>
    </row>
    <row r="140" spans="2:47" x14ac:dyDescent="0.2">
      <c r="AE140" s="212"/>
      <c r="AF140" s="132"/>
      <c r="AG140" s="132"/>
      <c r="AH140" s="132"/>
      <c r="AI140" s="132"/>
      <c r="AJ140" s="132"/>
      <c r="AK140" s="132"/>
      <c r="AL140" s="132"/>
      <c r="AM140" s="132"/>
      <c r="AN140" s="132"/>
      <c r="AO140" s="132"/>
      <c r="AP140" s="132"/>
      <c r="AQ140" s="132"/>
      <c r="AR140" s="132"/>
      <c r="AS140" s="132"/>
      <c r="AT140" s="132"/>
    </row>
    <row r="141" spans="2:47" x14ac:dyDescent="0.2">
      <c r="AE141" s="212"/>
      <c r="AF141" s="132"/>
      <c r="AG141" s="132"/>
      <c r="AH141" s="132"/>
      <c r="AI141" s="132"/>
      <c r="AJ141" s="132"/>
      <c r="AK141" s="132"/>
      <c r="AL141" s="132"/>
      <c r="AM141" s="132"/>
      <c r="AN141" s="132"/>
      <c r="AO141" s="132"/>
      <c r="AP141" s="132"/>
      <c r="AQ141" s="132"/>
      <c r="AR141" s="132"/>
      <c r="AS141" s="132"/>
      <c r="AT141" s="132"/>
    </row>
    <row r="142" spans="2:47" x14ac:dyDescent="0.2">
      <c r="AE142" s="212"/>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2"/>
      <c r="AF143" s="132"/>
      <c r="AG143" s="132"/>
      <c r="AH143" s="132"/>
      <c r="AI143" s="132"/>
      <c r="AJ143" s="132"/>
      <c r="AK143" s="132"/>
      <c r="AL143" s="132"/>
      <c r="AM143" s="132"/>
      <c r="AN143" s="132"/>
      <c r="AO143" s="132"/>
      <c r="AP143" s="132"/>
      <c r="AQ143" s="132"/>
      <c r="AR143" s="132"/>
      <c r="AS143" s="132"/>
      <c r="AT143" s="132"/>
    </row>
    <row r="144" spans="2:47" x14ac:dyDescent="0.2">
      <c r="AE144" s="212"/>
      <c r="AG144" s="132"/>
      <c r="AH144" s="132"/>
      <c r="AI144" s="132"/>
      <c r="AJ144" s="132"/>
      <c r="AK144" s="132"/>
      <c r="AL144" s="132"/>
      <c r="AM144" s="132"/>
      <c r="AN144" s="132"/>
      <c r="AO144" s="132"/>
    </row>
    <row r="145" spans="24:47" x14ac:dyDescent="0.2">
      <c r="AE145" s="212"/>
      <c r="AF145" s="132"/>
      <c r="AG145" s="132"/>
      <c r="AH145" s="132"/>
      <c r="AI145" s="132"/>
      <c r="AJ145" s="132"/>
      <c r="AK145" s="132"/>
      <c r="AL145" s="132"/>
      <c r="AM145" s="132"/>
      <c r="AN145" s="132"/>
      <c r="AO145" s="132"/>
      <c r="AP145" s="132"/>
      <c r="AQ145" s="132"/>
      <c r="AR145" s="132"/>
      <c r="AS145" s="132"/>
      <c r="AT145" s="132"/>
    </row>
    <row r="146" spans="24:47" x14ac:dyDescent="0.2">
      <c r="AE146" s="212"/>
      <c r="AF146" s="132"/>
      <c r="AG146" s="132"/>
      <c r="AH146" s="132"/>
      <c r="AI146" s="132"/>
      <c r="AJ146" s="132"/>
      <c r="AK146" s="132"/>
      <c r="AL146" s="132"/>
      <c r="AM146" s="132"/>
      <c r="AN146" s="132"/>
      <c r="AO146" s="132"/>
      <c r="AP146" s="132"/>
      <c r="AQ146" s="132"/>
      <c r="AR146" s="132"/>
      <c r="AS146" s="132"/>
      <c r="AT146" s="132"/>
      <c r="AU146" s="213"/>
    </row>
    <row r="147" spans="24:47" x14ac:dyDescent="0.2">
      <c r="AE147" s="212"/>
      <c r="AF147" s="132"/>
      <c r="AG147" s="132"/>
      <c r="AH147" s="132"/>
      <c r="AI147" s="132"/>
      <c r="AJ147" s="132"/>
      <c r="AK147" s="132"/>
      <c r="AL147" s="132"/>
      <c r="AM147" s="132"/>
      <c r="AN147" s="132"/>
      <c r="AO147" s="132"/>
      <c r="AP147" s="132"/>
      <c r="AQ147" s="132"/>
      <c r="AR147" s="132"/>
      <c r="AS147" s="132"/>
      <c r="AT147" s="132"/>
      <c r="AU147" s="213"/>
    </row>
    <row r="148" spans="24:47" x14ac:dyDescent="0.2">
      <c r="AE148" s="212"/>
      <c r="AF148" s="132"/>
      <c r="AG148" s="132"/>
      <c r="AH148" s="132"/>
      <c r="AI148" s="132"/>
      <c r="AJ148" s="132"/>
      <c r="AK148" s="132"/>
      <c r="AL148" s="132"/>
      <c r="AM148" s="132"/>
      <c r="AN148" s="132"/>
      <c r="AO148" s="132"/>
      <c r="AP148" s="132"/>
      <c r="AQ148" s="132"/>
      <c r="AR148" s="132"/>
      <c r="AS148" s="132"/>
      <c r="AT148" s="132"/>
      <c r="AU148" s="213"/>
    </row>
    <row r="149" spans="24:47" x14ac:dyDescent="0.2">
      <c r="AE149" s="212"/>
      <c r="AF149" s="132"/>
      <c r="AG149" s="132"/>
      <c r="AH149" s="132"/>
      <c r="AI149" s="132"/>
      <c r="AJ149" s="132"/>
      <c r="AK149" s="132"/>
      <c r="AL149" s="132"/>
      <c r="AM149" s="132"/>
      <c r="AN149" s="132"/>
      <c r="AO149" s="132"/>
      <c r="AP149" s="132"/>
      <c r="AQ149" s="132"/>
      <c r="AR149" s="132"/>
      <c r="AS149" s="132"/>
      <c r="AT149" s="132"/>
      <c r="AU149" s="213"/>
    </row>
    <row r="150" spans="24:47" x14ac:dyDescent="0.2">
      <c r="AE150" s="212"/>
      <c r="AF150" s="132"/>
      <c r="AG150" s="132"/>
      <c r="AH150" s="132"/>
      <c r="AI150" s="132"/>
      <c r="AJ150" s="132"/>
      <c r="AK150" s="132"/>
      <c r="AL150" s="132"/>
      <c r="AM150" s="132"/>
      <c r="AN150" s="132"/>
      <c r="AO150" s="132"/>
      <c r="AP150" s="132"/>
      <c r="AQ150" s="132"/>
      <c r="AR150" s="132"/>
      <c r="AS150" s="132"/>
      <c r="AT150" s="132"/>
      <c r="AU150" s="213"/>
    </row>
    <row r="151" spans="24:47" x14ac:dyDescent="0.2">
      <c r="AE151" s="212"/>
      <c r="AF151" s="132"/>
      <c r="AG151" s="132"/>
      <c r="AH151" s="132"/>
      <c r="AI151" s="132"/>
      <c r="AJ151" s="132"/>
      <c r="AK151" s="132"/>
      <c r="AL151" s="132"/>
      <c r="AM151" s="132"/>
      <c r="AN151" s="132"/>
      <c r="AO151" s="132"/>
      <c r="AP151" s="132"/>
      <c r="AQ151" s="132"/>
      <c r="AR151" s="132"/>
      <c r="AS151" s="132"/>
      <c r="AT151" s="132"/>
      <c r="AU151" s="213"/>
    </row>
    <row r="152" spans="24:47" x14ac:dyDescent="0.2">
      <c r="AE152" s="212"/>
      <c r="AF152" s="132"/>
      <c r="AG152" s="132"/>
      <c r="AH152" s="132"/>
      <c r="AI152" s="132"/>
      <c r="AJ152" s="132"/>
      <c r="AK152" s="132"/>
      <c r="AL152" s="132"/>
      <c r="AM152" s="132"/>
      <c r="AN152" s="132"/>
      <c r="AO152" s="132"/>
      <c r="AP152" s="132"/>
      <c r="AQ152" s="132"/>
      <c r="AR152" s="132"/>
      <c r="AS152" s="132"/>
      <c r="AT152" s="132"/>
      <c r="AU152" s="213"/>
    </row>
    <row r="153" spans="24:47" x14ac:dyDescent="0.2">
      <c r="AE153" s="212"/>
      <c r="AF153" s="132"/>
      <c r="AG153" s="132"/>
      <c r="AH153" s="132"/>
      <c r="AI153" s="132"/>
      <c r="AJ153" s="132"/>
      <c r="AK153" s="132"/>
      <c r="AL153" s="132"/>
      <c r="AM153" s="132"/>
      <c r="AN153" s="132"/>
      <c r="AO153" s="132"/>
      <c r="AP153" s="132"/>
      <c r="AQ153" s="132"/>
      <c r="AR153" s="132"/>
      <c r="AS153" s="132"/>
      <c r="AT153" s="132"/>
      <c r="AU153" s="213"/>
    </row>
    <row r="154" spans="24:47" x14ac:dyDescent="0.2">
      <c r="AE154" s="212"/>
      <c r="AF154" s="132"/>
      <c r="AG154" s="132"/>
      <c r="AH154" s="132"/>
      <c r="AI154" s="132"/>
      <c r="AJ154" s="132"/>
      <c r="AK154" s="132"/>
      <c r="AL154" s="132"/>
      <c r="AM154" s="132"/>
      <c r="AN154" s="132"/>
      <c r="AO154" s="132"/>
      <c r="AP154" s="132"/>
      <c r="AQ154" s="132"/>
      <c r="AR154" s="132"/>
      <c r="AS154" s="132"/>
      <c r="AT154" s="132"/>
      <c r="AU154" s="213"/>
    </row>
    <row r="155" spans="24:47" x14ac:dyDescent="0.2">
      <c r="AE155" s="212"/>
      <c r="AF155" s="132"/>
      <c r="AG155" s="132"/>
      <c r="AH155" s="132"/>
      <c r="AI155" s="132"/>
      <c r="AJ155" s="132"/>
      <c r="AK155" s="132"/>
      <c r="AL155" s="132"/>
      <c r="AM155" s="132"/>
      <c r="AN155" s="132"/>
      <c r="AO155" s="132"/>
      <c r="AP155" s="132"/>
      <c r="AQ155" s="132"/>
      <c r="AR155" s="132"/>
      <c r="AS155" s="132"/>
      <c r="AT155" s="132"/>
      <c r="AU155" s="213"/>
    </row>
    <row r="156" spans="24:47" x14ac:dyDescent="0.2">
      <c r="AE156" s="212"/>
      <c r="AF156" s="132"/>
      <c r="AG156" s="132"/>
      <c r="AH156" s="132"/>
      <c r="AI156" s="132"/>
      <c r="AJ156" s="132"/>
      <c r="AK156" s="132"/>
      <c r="AL156" s="132"/>
      <c r="AM156" s="132"/>
      <c r="AN156" s="132"/>
      <c r="AO156" s="132"/>
      <c r="AP156" s="132"/>
      <c r="AQ156" s="132"/>
      <c r="AR156" s="132"/>
      <c r="AS156" s="132"/>
      <c r="AT156" s="132"/>
      <c r="AU156" s="213"/>
    </row>
    <row r="157" spans="24:47" x14ac:dyDescent="0.2">
      <c r="AE157" s="212"/>
      <c r="AF157" s="132"/>
      <c r="AG157" s="132"/>
      <c r="AH157" s="132"/>
      <c r="AI157" s="132"/>
      <c r="AJ157" s="132"/>
      <c r="AK157" s="132"/>
      <c r="AL157" s="132"/>
      <c r="AM157" s="132"/>
      <c r="AN157" s="132"/>
      <c r="AO157" s="132"/>
      <c r="AP157" s="132"/>
      <c r="AQ157" s="132"/>
      <c r="AR157" s="132"/>
      <c r="AS157" s="132"/>
      <c r="AT157" s="132"/>
      <c r="AU157" s="213"/>
    </row>
    <row r="158" spans="24:47" ht="15" customHeight="1" x14ac:dyDescent="0.2">
      <c r="X158" s="132"/>
      <c r="Y158" s="132"/>
      <c r="AE158" s="212"/>
      <c r="AF158" s="213"/>
      <c r="AG158" s="213"/>
      <c r="AH158" s="213"/>
      <c r="AI158" s="213"/>
      <c r="AJ158" s="213"/>
      <c r="AK158" s="213"/>
      <c r="AL158" s="213"/>
      <c r="AM158" s="213"/>
      <c r="AN158" s="213"/>
      <c r="AO158" s="213"/>
      <c r="AP158" s="213"/>
      <c r="AQ158" s="213"/>
      <c r="AR158" s="213"/>
      <c r="AS158" s="213"/>
      <c r="AT158" s="213"/>
      <c r="AU158" s="213"/>
    </row>
    <row r="159" spans="24:47" x14ac:dyDescent="0.2">
      <c r="AE159" s="212"/>
      <c r="AF159" s="132"/>
      <c r="AG159" s="132"/>
      <c r="AH159" s="132"/>
      <c r="AI159" s="132"/>
      <c r="AJ159" s="132"/>
      <c r="AK159" s="132"/>
      <c r="AL159" s="132"/>
      <c r="AM159" s="132"/>
      <c r="AN159" s="132"/>
      <c r="AO159" s="132"/>
      <c r="AP159" s="132"/>
      <c r="AQ159" s="132"/>
      <c r="AR159" s="132"/>
      <c r="AS159" s="132"/>
      <c r="AT159" s="132"/>
      <c r="AU159" s="213"/>
    </row>
    <row r="160" spans="24:47" x14ac:dyDescent="0.2">
      <c r="AE160" s="212"/>
      <c r="AF160" s="132"/>
      <c r="AG160" s="132"/>
      <c r="AH160" s="132"/>
      <c r="AI160" s="132"/>
      <c r="AJ160" s="132"/>
      <c r="AK160" s="132"/>
      <c r="AL160" s="132"/>
      <c r="AM160" s="132"/>
      <c r="AN160" s="132"/>
      <c r="AO160" s="132"/>
      <c r="AP160" s="132"/>
      <c r="AQ160" s="132"/>
      <c r="AR160" s="132"/>
      <c r="AS160" s="132"/>
      <c r="AT160" s="132"/>
      <c r="AU160" s="213"/>
    </row>
    <row r="161" spans="24:47" x14ac:dyDescent="0.2">
      <c r="AE161" s="212"/>
      <c r="AF161" s="132"/>
      <c r="AG161" s="132"/>
      <c r="AH161" s="132"/>
      <c r="AI161" s="132"/>
      <c r="AJ161" s="132"/>
      <c r="AK161" s="132"/>
      <c r="AL161" s="132"/>
      <c r="AM161" s="132"/>
      <c r="AN161" s="132"/>
      <c r="AO161" s="132"/>
      <c r="AP161" s="132"/>
      <c r="AQ161" s="132"/>
      <c r="AR161" s="132"/>
      <c r="AS161" s="132"/>
      <c r="AT161" s="132"/>
      <c r="AU161" s="213"/>
    </row>
    <row r="162" spans="24:47" x14ac:dyDescent="0.2">
      <c r="AE162" s="212"/>
      <c r="AF162" s="132"/>
      <c r="AG162" s="132"/>
      <c r="AH162" s="132"/>
      <c r="AI162" s="132"/>
      <c r="AJ162" s="132"/>
      <c r="AK162" s="132"/>
      <c r="AL162" s="132"/>
      <c r="AM162" s="132"/>
      <c r="AN162" s="132"/>
      <c r="AO162" s="132"/>
      <c r="AP162" s="132"/>
      <c r="AQ162" s="132"/>
      <c r="AR162" s="132"/>
      <c r="AS162" s="132"/>
      <c r="AT162" s="132"/>
      <c r="AU162" s="213"/>
    </row>
    <row r="163" spans="24:47" x14ac:dyDescent="0.2">
      <c r="AE163" s="212"/>
      <c r="AF163" s="132"/>
      <c r="AG163" s="132"/>
      <c r="AH163" s="132"/>
      <c r="AI163" s="132"/>
      <c r="AJ163" s="132"/>
      <c r="AK163" s="132"/>
      <c r="AL163" s="132"/>
      <c r="AM163" s="132"/>
      <c r="AN163" s="132"/>
      <c r="AO163" s="132"/>
      <c r="AP163" s="132"/>
      <c r="AQ163" s="132"/>
      <c r="AR163" s="132"/>
      <c r="AS163" s="132"/>
      <c r="AT163" s="132"/>
      <c r="AU163" s="213"/>
    </row>
    <row r="164" spans="24:47" x14ac:dyDescent="0.2">
      <c r="AE164" s="212"/>
      <c r="AF164" s="132"/>
      <c r="AG164" s="132"/>
      <c r="AH164" s="132"/>
      <c r="AI164" s="132"/>
      <c r="AJ164" s="132"/>
      <c r="AK164" s="132"/>
      <c r="AL164" s="132"/>
      <c r="AM164" s="132"/>
      <c r="AN164" s="132"/>
      <c r="AO164" s="132"/>
      <c r="AP164" s="132"/>
      <c r="AQ164" s="132"/>
      <c r="AR164" s="132"/>
      <c r="AS164" s="132"/>
      <c r="AT164" s="132"/>
      <c r="AU164" s="213"/>
    </row>
    <row r="165" spans="24:47" x14ac:dyDescent="0.2">
      <c r="AE165" s="212"/>
      <c r="AF165" s="132"/>
      <c r="AG165" s="132"/>
      <c r="AH165" s="132"/>
      <c r="AI165" s="132"/>
      <c r="AJ165" s="132"/>
      <c r="AK165" s="132"/>
      <c r="AL165" s="132"/>
      <c r="AM165" s="132"/>
      <c r="AN165" s="132"/>
      <c r="AO165" s="132"/>
      <c r="AP165" s="132"/>
      <c r="AQ165" s="132"/>
      <c r="AR165" s="132"/>
      <c r="AS165" s="132"/>
      <c r="AT165" s="132"/>
      <c r="AU165" s="213"/>
    </row>
    <row r="166" spans="24:47" x14ac:dyDescent="0.2">
      <c r="AE166" s="212"/>
      <c r="AF166" s="132"/>
      <c r="AG166" s="132"/>
      <c r="AH166" s="132"/>
      <c r="AI166" s="132"/>
      <c r="AJ166" s="132"/>
      <c r="AK166" s="132"/>
      <c r="AL166" s="132"/>
      <c r="AM166" s="132"/>
      <c r="AN166" s="132"/>
      <c r="AO166" s="132"/>
      <c r="AP166" s="132"/>
      <c r="AQ166" s="132"/>
      <c r="AR166" s="132"/>
      <c r="AS166" s="132"/>
      <c r="AT166" s="132"/>
    </row>
    <row r="167" spans="24:47" x14ac:dyDescent="0.2">
      <c r="AE167" s="212"/>
      <c r="AF167" s="132"/>
      <c r="AG167" s="132"/>
      <c r="AH167" s="132"/>
      <c r="AI167" s="132"/>
      <c r="AJ167" s="132"/>
      <c r="AK167" s="132"/>
      <c r="AL167" s="132"/>
      <c r="AM167" s="132"/>
      <c r="AN167" s="132"/>
      <c r="AO167" s="132"/>
      <c r="AP167" s="132"/>
      <c r="AQ167" s="132"/>
      <c r="AR167" s="132"/>
      <c r="AS167" s="132"/>
      <c r="AT167" s="132"/>
    </row>
    <row r="168" spans="24:47" x14ac:dyDescent="0.2">
      <c r="AE168" s="212"/>
      <c r="AF168" s="132"/>
      <c r="AG168" s="132"/>
      <c r="AH168" s="132"/>
      <c r="AI168" s="132"/>
      <c r="AJ168" s="132"/>
      <c r="AK168" s="132"/>
      <c r="AL168" s="132"/>
      <c r="AM168" s="132"/>
      <c r="AN168" s="132"/>
      <c r="AO168" s="132"/>
      <c r="AP168" s="132"/>
      <c r="AQ168" s="132"/>
      <c r="AR168" s="132"/>
      <c r="AS168" s="132"/>
      <c r="AT168" s="132"/>
    </row>
    <row r="169" spans="24:47" x14ac:dyDescent="0.2">
      <c r="AE169" s="212"/>
      <c r="AF169" s="132"/>
      <c r="AG169" s="132"/>
      <c r="AH169" s="132"/>
      <c r="AI169" s="132"/>
      <c r="AJ169" s="132"/>
      <c r="AK169" s="132"/>
      <c r="AL169" s="132"/>
      <c r="AM169" s="132"/>
      <c r="AN169" s="132"/>
      <c r="AO169" s="132"/>
      <c r="AP169" s="132"/>
      <c r="AQ169" s="132"/>
      <c r="AR169" s="132"/>
      <c r="AS169" s="132"/>
      <c r="AT169" s="132"/>
    </row>
    <row r="170" spans="24:47" x14ac:dyDescent="0.2">
      <c r="AE170" s="212"/>
      <c r="AF170" s="132"/>
      <c r="AG170" s="132"/>
      <c r="AH170" s="132"/>
      <c r="AI170" s="132"/>
      <c r="AJ170" s="132"/>
      <c r="AK170" s="132"/>
      <c r="AL170" s="132"/>
      <c r="AM170" s="132"/>
      <c r="AN170" s="132"/>
      <c r="AO170" s="132"/>
      <c r="AP170" s="132"/>
      <c r="AQ170" s="132"/>
      <c r="AR170" s="132"/>
      <c r="AS170" s="132"/>
      <c r="AT170" s="132"/>
    </row>
    <row r="171" spans="24:47" x14ac:dyDescent="0.2">
      <c r="AE171" s="212"/>
      <c r="AF171" s="132"/>
      <c r="AG171" s="132"/>
      <c r="AH171" s="132"/>
      <c r="AI171" s="132"/>
      <c r="AJ171" s="132"/>
      <c r="AK171" s="132"/>
      <c r="AL171" s="132"/>
      <c r="AM171" s="132"/>
      <c r="AN171" s="132"/>
      <c r="AO171" s="132"/>
      <c r="AP171" s="132"/>
      <c r="AQ171" s="132"/>
      <c r="AR171" s="132"/>
      <c r="AS171" s="132"/>
      <c r="AT171" s="132"/>
    </row>
    <row r="172" spans="24:47" x14ac:dyDescent="0.2">
      <c r="AE172" s="212"/>
      <c r="AG172" s="132"/>
      <c r="AH172" s="132"/>
      <c r="AI172" s="132"/>
      <c r="AJ172" s="132"/>
      <c r="AK172" s="132"/>
      <c r="AL172" s="132"/>
      <c r="AM172" s="132"/>
      <c r="AN172" s="132"/>
    </row>
    <row r="173" spans="24:47" ht="15" customHeight="1" x14ac:dyDescent="0.2">
      <c r="X173" s="132"/>
      <c r="Y173" s="132"/>
      <c r="AE173" s="212"/>
      <c r="AF173" s="132"/>
      <c r="AG173" s="132"/>
      <c r="AH173" s="132"/>
      <c r="AI173" s="132"/>
      <c r="AJ173" s="132"/>
      <c r="AK173" s="132"/>
      <c r="AL173" s="132"/>
      <c r="AM173" s="132"/>
      <c r="AN173" s="132"/>
      <c r="AO173" s="132"/>
      <c r="AP173" s="132"/>
      <c r="AQ173" s="132"/>
      <c r="AR173" s="132"/>
      <c r="AS173" s="132"/>
      <c r="AT173" s="132"/>
    </row>
    <row r="174" spans="24:47" x14ac:dyDescent="0.2">
      <c r="AE174" s="212"/>
      <c r="AF174" s="132"/>
      <c r="AG174" s="132"/>
      <c r="AH174" s="132"/>
      <c r="AI174" s="132"/>
      <c r="AJ174" s="132"/>
      <c r="AK174" s="132"/>
      <c r="AL174" s="132"/>
      <c r="AM174" s="132"/>
      <c r="AN174" s="132"/>
      <c r="AO174" s="132"/>
      <c r="AP174" s="132"/>
      <c r="AQ174" s="132"/>
      <c r="AR174" s="132"/>
      <c r="AS174" s="132"/>
      <c r="AT174" s="132"/>
    </row>
    <row r="175" spans="24:47" x14ac:dyDescent="0.2">
      <c r="AE175" s="212"/>
      <c r="AF175" s="132"/>
      <c r="AG175" s="132"/>
      <c r="AH175" s="132"/>
      <c r="AI175" s="132"/>
      <c r="AJ175" s="132"/>
      <c r="AK175" s="132"/>
      <c r="AL175" s="132"/>
      <c r="AM175" s="132"/>
      <c r="AN175" s="132"/>
      <c r="AO175" s="132"/>
      <c r="AP175" s="132"/>
      <c r="AQ175" s="132"/>
      <c r="AR175" s="132"/>
      <c r="AS175" s="132"/>
      <c r="AT175" s="132"/>
    </row>
    <row r="176" spans="24:47" x14ac:dyDescent="0.2">
      <c r="AE176" s="212"/>
      <c r="AF176" s="132"/>
      <c r="AG176" s="132"/>
      <c r="AH176" s="132"/>
      <c r="AI176" s="132"/>
      <c r="AJ176" s="132"/>
      <c r="AK176" s="132"/>
      <c r="AL176" s="132"/>
      <c r="AM176" s="132"/>
      <c r="AN176" s="132"/>
      <c r="AO176" s="132"/>
      <c r="AP176" s="132"/>
      <c r="AQ176" s="132"/>
      <c r="AR176" s="132"/>
      <c r="AS176" s="132"/>
      <c r="AT176" s="132"/>
    </row>
    <row r="177" spans="31:46" x14ac:dyDescent="0.2">
      <c r="AE177" s="212"/>
      <c r="AF177" s="132"/>
      <c r="AG177" s="132"/>
      <c r="AH177" s="132"/>
      <c r="AI177" s="132"/>
      <c r="AJ177" s="132"/>
      <c r="AK177" s="132"/>
      <c r="AL177" s="132"/>
      <c r="AM177" s="132"/>
      <c r="AN177" s="132"/>
      <c r="AO177" s="132"/>
      <c r="AP177" s="132"/>
      <c r="AQ177" s="132"/>
      <c r="AR177" s="132"/>
      <c r="AS177" s="132"/>
      <c r="AT177" s="132"/>
    </row>
    <row r="178" spans="31:46" x14ac:dyDescent="0.2">
      <c r="AE178" s="212"/>
      <c r="AF178" s="132"/>
      <c r="AG178" s="132"/>
      <c r="AH178" s="132"/>
      <c r="AI178" s="132"/>
      <c r="AJ178" s="132"/>
      <c r="AK178" s="132"/>
      <c r="AL178" s="132"/>
      <c r="AM178" s="132"/>
      <c r="AN178" s="132"/>
      <c r="AO178" s="132"/>
      <c r="AP178" s="132"/>
      <c r="AQ178" s="132"/>
      <c r="AR178" s="132"/>
      <c r="AS178" s="132"/>
      <c r="AT178" s="132"/>
    </row>
    <row r="179" spans="31:46" x14ac:dyDescent="0.2">
      <c r="AE179" s="212"/>
      <c r="AF179" s="132"/>
      <c r="AG179" s="132"/>
      <c r="AH179" s="132"/>
      <c r="AI179" s="132"/>
      <c r="AJ179" s="132"/>
      <c r="AK179" s="132"/>
      <c r="AL179" s="132"/>
      <c r="AM179" s="132"/>
      <c r="AN179" s="132"/>
      <c r="AO179" s="132"/>
      <c r="AP179" s="132"/>
      <c r="AQ179" s="132"/>
      <c r="AR179" s="132"/>
      <c r="AS179" s="132"/>
      <c r="AT179" s="132"/>
    </row>
    <row r="180" spans="31:46" x14ac:dyDescent="0.2">
      <c r="AE180" s="212"/>
      <c r="AF180" s="132"/>
      <c r="AG180" s="132"/>
      <c r="AH180" s="132"/>
      <c r="AI180" s="132"/>
      <c r="AJ180" s="132"/>
      <c r="AK180" s="132"/>
      <c r="AL180" s="132"/>
      <c r="AM180" s="132"/>
      <c r="AN180" s="132"/>
      <c r="AO180" s="132"/>
      <c r="AP180" s="132"/>
      <c r="AQ180" s="132"/>
      <c r="AR180" s="132"/>
      <c r="AS180" s="132"/>
      <c r="AT180" s="132"/>
    </row>
    <row r="181" spans="31:46" x14ac:dyDescent="0.2">
      <c r="AE181" s="212"/>
      <c r="AF181" s="132"/>
      <c r="AG181" s="132"/>
      <c r="AH181" s="132"/>
      <c r="AI181" s="132"/>
      <c r="AJ181" s="132"/>
      <c r="AK181" s="132"/>
      <c r="AL181" s="132"/>
      <c r="AM181" s="132"/>
      <c r="AN181" s="132"/>
      <c r="AO181" s="132"/>
      <c r="AP181" s="132"/>
      <c r="AQ181" s="132"/>
      <c r="AR181" s="132"/>
      <c r="AS181" s="132"/>
      <c r="AT181" s="132"/>
    </row>
    <row r="182" spans="31:46" x14ac:dyDescent="0.2">
      <c r="AE182" s="212"/>
      <c r="AF182" s="132"/>
      <c r="AG182" s="132"/>
      <c r="AH182" s="132"/>
      <c r="AI182" s="132"/>
      <c r="AJ182" s="132"/>
      <c r="AK182" s="132"/>
      <c r="AL182" s="132"/>
      <c r="AM182" s="132"/>
      <c r="AN182" s="132"/>
      <c r="AO182" s="132"/>
      <c r="AP182" s="132"/>
      <c r="AQ182" s="132"/>
      <c r="AR182" s="132"/>
      <c r="AS182" s="132"/>
      <c r="AT182" s="132"/>
    </row>
    <row r="183" spans="31:46" x14ac:dyDescent="0.2">
      <c r="AE183" s="212"/>
      <c r="AF183" s="132"/>
      <c r="AG183" s="132"/>
      <c r="AH183" s="132"/>
      <c r="AI183" s="132"/>
      <c r="AJ183" s="132"/>
      <c r="AK183" s="132"/>
      <c r="AL183" s="132"/>
      <c r="AM183" s="132"/>
      <c r="AN183" s="132"/>
      <c r="AO183" s="132"/>
      <c r="AP183" s="132"/>
      <c r="AQ183" s="132"/>
      <c r="AR183" s="132"/>
      <c r="AS183" s="132"/>
      <c r="AT183" s="132"/>
    </row>
    <row r="184" spans="31:46" x14ac:dyDescent="0.2">
      <c r="AE184" s="212"/>
      <c r="AF184" s="132"/>
      <c r="AG184" s="132"/>
      <c r="AH184" s="132"/>
      <c r="AI184" s="132"/>
      <c r="AJ184" s="132"/>
      <c r="AK184" s="132"/>
      <c r="AL184" s="132"/>
      <c r="AM184" s="132"/>
      <c r="AN184" s="132"/>
      <c r="AO184" s="132"/>
      <c r="AP184" s="132"/>
      <c r="AQ184" s="132"/>
      <c r="AR184" s="132"/>
      <c r="AS184" s="132"/>
      <c r="AT184" s="132"/>
    </row>
    <row r="185" spans="31:46" x14ac:dyDescent="0.2">
      <c r="AE185" s="212"/>
      <c r="AF185" s="132"/>
      <c r="AG185" s="132"/>
      <c r="AH185" s="132"/>
      <c r="AI185" s="132"/>
      <c r="AJ185" s="132"/>
      <c r="AK185" s="132"/>
      <c r="AL185" s="132"/>
      <c r="AM185" s="132"/>
      <c r="AN185" s="132"/>
      <c r="AO185" s="132"/>
      <c r="AP185" s="132"/>
      <c r="AQ185" s="132"/>
      <c r="AR185" s="132"/>
      <c r="AS185" s="132"/>
      <c r="AT185" s="132"/>
    </row>
    <row r="186" spans="31:46" x14ac:dyDescent="0.2">
      <c r="AE186" s="212"/>
      <c r="AG186" s="132"/>
      <c r="AH186" s="132"/>
      <c r="AI186" s="132"/>
      <c r="AJ186" s="132"/>
      <c r="AK186" s="132"/>
      <c r="AL186" s="132"/>
      <c r="AM186" s="132"/>
      <c r="AN186" s="132"/>
    </row>
    <row r="187" spans="31:46" x14ac:dyDescent="0.2">
      <c r="AE187" s="212"/>
      <c r="AF187" s="132"/>
      <c r="AG187" s="132"/>
      <c r="AH187" s="132"/>
      <c r="AI187" s="132"/>
      <c r="AJ187" s="132"/>
      <c r="AK187" s="132"/>
      <c r="AL187" s="132"/>
      <c r="AM187" s="132"/>
      <c r="AN187" s="132"/>
      <c r="AO187" s="132"/>
      <c r="AP187" s="132"/>
      <c r="AQ187" s="132"/>
      <c r="AR187" s="132"/>
      <c r="AS187" s="132"/>
      <c r="AT187" s="132"/>
    </row>
    <row r="188" spans="31:46" x14ac:dyDescent="0.2">
      <c r="AE188" s="212"/>
      <c r="AF188" s="132"/>
      <c r="AG188" s="132"/>
      <c r="AH188" s="132"/>
      <c r="AI188" s="132"/>
      <c r="AJ188" s="132"/>
      <c r="AK188" s="132"/>
      <c r="AL188" s="132"/>
      <c r="AM188" s="132"/>
      <c r="AN188" s="132"/>
      <c r="AO188" s="132"/>
      <c r="AP188" s="132"/>
      <c r="AQ188" s="132"/>
      <c r="AR188" s="132"/>
      <c r="AS188" s="132"/>
      <c r="AT188" s="132"/>
    </row>
    <row r="189" spans="31:46" x14ac:dyDescent="0.2">
      <c r="AE189" s="212"/>
      <c r="AF189" s="132"/>
      <c r="AG189" s="132"/>
      <c r="AH189" s="132"/>
      <c r="AI189" s="132"/>
      <c r="AJ189" s="132"/>
      <c r="AK189" s="132"/>
      <c r="AL189" s="132"/>
      <c r="AM189" s="132"/>
      <c r="AN189" s="132"/>
      <c r="AO189" s="132"/>
      <c r="AP189" s="132"/>
      <c r="AQ189" s="132"/>
      <c r="AR189" s="132"/>
      <c r="AS189" s="132"/>
      <c r="AT189" s="132"/>
    </row>
    <row r="190" spans="31:46" x14ac:dyDescent="0.2">
      <c r="AE190" s="212"/>
      <c r="AF190" s="132"/>
      <c r="AG190" s="132"/>
      <c r="AH190" s="132"/>
      <c r="AI190" s="132"/>
      <c r="AJ190" s="132"/>
      <c r="AK190" s="132"/>
      <c r="AL190" s="132"/>
      <c r="AM190" s="132"/>
      <c r="AN190" s="132"/>
      <c r="AO190" s="132"/>
      <c r="AP190" s="132"/>
      <c r="AQ190" s="132"/>
      <c r="AR190" s="132"/>
      <c r="AS190" s="132"/>
      <c r="AT190" s="132"/>
    </row>
    <row r="191" spans="31:46" x14ac:dyDescent="0.2">
      <c r="AE191" s="212"/>
      <c r="AF191" s="132"/>
      <c r="AG191" s="132"/>
      <c r="AH191" s="132"/>
      <c r="AI191" s="132"/>
      <c r="AJ191" s="132"/>
      <c r="AK191" s="132"/>
      <c r="AL191" s="132"/>
      <c r="AM191" s="132"/>
      <c r="AN191" s="132"/>
      <c r="AO191" s="132"/>
      <c r="AP191" s="132"/>
      <c r="AQ191" s="132"/>
      <c r="AR191" s="132"/>
      <c r="AS191" s="132"/>
      <c r="AT191" s="132"/>
    </row>
    <row r="192" spans="31:46" x14ac:dyDescent="0.2">
      <c r="AE192" s="212"/>
      <c r="AF192" s="132"/>
      <c r="AG192" s="132"/>
      <c r="AH192" s="132"/>
      <c r="AI192" s="132"/>
      <c r="AJ192" s="132"/>
      <c r="AK192" s="132"/>
      <c r="AL192" s="132"/>
      <c r="AM192" s="132"/>
      <c r="AN192" s="132"/>
      <c r="AO192" s="132"/>
      <c r="AP192" s="132"/>
      <c r="AQ192" s="132"/>
      <c r="AR192" s="132"/>
      <c r="AS192" s="132"/>
      <c r="AT192" s="132"/>
    </row>
    <row r="193" spans="31:46" x14ac:dyDescent="0.2">
      <c r="AE193" s="212"/>
      <c r="AF193" s="132"/>
      <c r="AG193" s="132"/>
      <c r="AH193" s="132"/>
      <c r="AI193" s="132"/>
      <c r="AJ193" s="132"/>
      <c r="AK193" s="132"/>
      <c r="AL193" s="132"/>
      <c r="AM193" s="132"/>
      <c r="AN193" s="132"/>
      <c r="AO193" s="132"/>
      <c r="AP193" s="132"/>
      <c r="AQ193" s="132"/>
      <c r="AR193" s="132"/>
      <c r="AS193" s="132"/>
      <c r="AT193" s="132"/>
    </row>
    <row r="194" spans="31:46" x14ac:dyDescent="0.2">
      <c r="AE194" s="212"/>
      <c r="AF194" s="132"/>
      <c r="AG194" s="132"/>
      <c r="AH194" s="132"/>
      <c r="AI194" s="132"/>
      <c r="AJ194" s="132"/>
      <c r="AK194" s="132"/>
      <c r="AL194" s="132"/>
      <c r="AM194" s="132"/>
      <c r="AN194" s="132"/>
      <c r="AO194" s="132"/>
      <c r="AP194" s="132"/>
      <c r="AQ194" s="132"/>
      <c r="AR194" s="132"/>
      <c r="AS194" s="132"/>
      <c r="AT194" s="132"/>
    </row>
    <row r="195" spans="31:46" x14ac:dyDescent="0.2">
      <c r="AE195" s="212"/>
      <c r="AF195" s="132"/>
      <c r="AG195" s="132"/>
      <c r="AH195" s="132"/>
      <c r="AI195" s="132"/>
      <c r="AJ195" s="132"/>
      <c r="AK195" s="132"/>
      <c r="AL195" s="132"/>
      <c r="AM195" s="132"/>
      <c r="AN195" s="132"/>
      <c r="AO195" s="132"/>
      <c r="AP195" s="132"/>
      <c r="AQ195" s="132"/>
      <c r="AR195" s="132"/>
      <c r="AS195" s="132"/>
      <c r="AT195" s="132"/>
    </row>
    <row r="196" spans="31:46" x14ac:dyDescent="0.2">
      <c r="AE196" s="212"/>
      <c r="AF196" s="132"/>
      <c r="AG196" s="132"/>
      <c r="AH196" s="132"/>
      <c r="AI196" s="132"/>
      <c r="AJ196" s="132"/>
      <c r="AK196" s="132"/>
      <c r="AL196" s="132"/>
      <c r="AM196" s="132"/>
      <c r="AN196" s="132"/>
      <c r="AO196" s="132"/>
      <c r="AP196" s="132"/>
      <c r="AQ196" s="132"/>
      <c r="AR196" s="132"/>
      <c r="AS196" s="132"/>
      <c r="AT196" s="132"/>
    </row>
    <row r="197" spans="31:46" x14ac:dyDescent="0.2">
      <c r="AE197" s="212"/>
      <c r="AF197" s="132"/>
      <c r="AG197" s="132"/>
      <c r="AH197" s="132"/>
      <c r="AI197" s="132"/>
      <c r="AJ197" s="132"/>
      <c r="AK197" s="132"/>
      <c r="AL197" s="132"/>
      <c r="AM197" s="132"/>
      <c r="AN197" s="132"/>
      <c r="AO197" s="132"/>
      <c r="AP197" s="132"/>
      <c r="AQ197" s="132"/>
      <c r="AR197" s="132"/>
      <c r="AS197" s="132"/>
      <c r="AT197" s="132"/>
    </row>
    <row r="198" spans="31:46" x14ac:dyDescent="0.2">
      <c r="AE198" s="212"/>
      <c r="AF198" s="132"/>
      <c r="AG198" s="132"/>
      <c r="AH198" s="132"/>
      <c r="AI198" s="132"/>
      <c r="AJ198" s="132"/>
      <c r="AK198" s="132"/>
      <c r="AL198" s="132"/>
      <c r="AM198" s="132"/>
      <c r="AN198" s="132"/>
      <c r="AO198" s="132"/>
      <c r="AP198" s="132"/>
      <c r="AQ198" s="132"/>
      <c r="AR198" s="132"/>
      <c r="AS198" s="132"/>
      <c r="AT198" s="132"/>
    </row>
    <row r="199" spans="31:46" x14ac:dyDescent="0.2">
      <c r="AE199" s="212"/>
      <c r="AF199" s="132"/>
      <c r="AG199" s="132"/>
      <c r="AH199" s="132"/>
      <c r="AI199" s="132"/>
      <c r="AJ199" s="132"/>
      <c r="AK199" s="132"/>
      <c r="AL199" s="132"/>
      <c r="AM199" s="132"/>
      <c r="AN199" s="132"/>
      <c r="AO199" s="132"/>
      <c r="AP199" s="132"/>
      <c r="AQ199" s="132"/>
      <c r="AR199" s="132"/>
      <c r="AS199" s="132"/>
      <c r="AT199" s="132"/>
    </row>
    <row r="200" spans="31:46" x14ac:dyDescent="0.2">
      <c r="AE200" s="212"/>
    </row>
    <row r="201" spans="31:46" x14ac:dyDescent="0.2">
      <c r="AE201" s="212"/>
      <c r="AF201" s="132"/>
      <c r="AG201" s="132"/>
      <c r="AH201" s="132"/>
      <c r="AI201" s="132"/>
      <c r="AJ201" s="132"/>
      <c r="AK201" s="132"/>
      <c r="AL201" s="132"/>
      <c r="AM201" s="132"/>
      <c r="AN201" s="132"/>
      <c r="AO201" s="132"/>
      <c r="AP201" s="132"/>
      <c r="AQ201" s="132"/>
      <c r="AR201" s="132"/>
      <c r="AS201" s="132"/>
      <c r="AT201" s="132"/>
    </row>
    <row r="202" spans="31:46" x14ac:dyDescent="0.2">
      <c r="AE202" s="212"/>
      <c r="AF202" s="132"/>
      <c r="AG202" s="132"/>
      <c r="AH202" s="132"/>
      <c r="AI202" s="132"/>
      <c r="AJ202" s="132"/>
      <c r="AK202" s="132"/>
      <c r="AL202" s="132"/>
      <c r="AM202" s="132"/>
      <c r="AN202" s="132"/>
      <c r="AO202" s="132"/>
      <c r="AP202" s="132"/>
      <c r="AQ202" s="132"/>
      <c r="AR202" s="132"/>
      <c r="AS202" s="132"/>
      <c r="AT202" s="132"/>
    </row>
    <row r="203" spans="31:46" x14ac:dyDescent="0.2">
      <c r="AE203" s="212"/>
      <c r="AF203" s="132"/>
      <c r="AG203" s="132"/>
      <c r="AH203" s="132"/>
      <c r="AI203" s="132"/>
      <c r="AJ203" s="132"/>
      <c r="AK203" s="132"/>
      <c r="AL203" s="132"/>
      <c r="AM203" s="132"/>
      <c r="AN203" s="132"/>
      <c r="AO203" s="132"/>
      <c r="AP203" s="132"/>
      <c r="AQ203" s="132"/>
      <c r="AR203" s="132"/>
      <c r="AS203" s="132"/>
      <c r="AT203" s="132"/>
    </row>
    <row r="204" spans="31:46" x14ac:dyDescent="0.2">
      <c r="AE204" s="212"/>
      <c r="AF204" s="132"/>
      <c r="AG204" s="132"/>
      <c r="AH204" s="132"/>
      <c r="AI204" s="132"/>
      <c r="AJ204" s="132"/>
      <c r="AK204" s="132"/>
      <c r="AL204" s="132"/>
      <c r="AM204" s="132"/>
      <c r="AN204" s="132"/>
      <c r="AO204" s="132"/>
      <c r="AP204" s="132"/>
      <c r="AQ204" s="132"/>
      <c r="AR204" s="132"/>
      <c r="AS204" s="132"/>
      <c r="AT204" s="132"/>
    </row>
    <row r="205" spans="31:46" x14ac:dyDescent="0.2">
      <c r="AE205" s="212"/>
      <c r="AF205" s="132"/>
      <c r="AG205" s="132"/>
      <c r="AH205" s="132"/>
      <c r="AI205" s="132"/>
      <c r="AJ205" s="132"/>
      <c r="AK205" s="132"/>
      <c r="AL205" s="132"/>
      <c r="AM205" s="132"/>
      <c r="AN205" s="132"/>
      <c r="AO205" s="132"/>
      <c r="AP205" s="132"/>
      <c r="AQ205" s="132"/>
      <c r="AR205" s="132"/>
      <c r="AS205" s="132"/>
      <c r="AT205" s="132"/>
    </row>
    <row r="206" spans="31:46" x14ac:dyDescent="0.2">
      <c r="AE206" s="212"/>
      <c r="AF206" s="132"/>
      <c r="AG206" s="132"/>
      <c r="AH206" s="132"/>
      <c r="AI206" s="132"/>
      <c r="AJ206" s="132"/>
      <c r="AK206" s="132"/>
      <c r="AL206" s="132"/>
      <c r="AM206" s="132"/>
      <c r="AN206" s="132"/>
      <c r="AO206" s="132"/>
      <c r="AP206" s="132"/>
      <c r="AQ206" s="132"/>
      <c r="AR206" s="132"/>
      <c r="AS206" s="132"/>
      <c r="AT206" s="132"/>
    </row>
    <row r="207" spans="31:46" x14ac:dyDescent="0.2">
      <c r="AE207" s="212"/>
      <c r="AF207" s="132"/>
      <c r="AG207" s="132"/>
      <c r="AH207" s="132"/>
      <c r="AI207" s="132"/>
      <c r="AJ207" s="132"/>
      <c r="AK207" s="132"/>
      <c r="AL207" s="132"/>
      <c r="AM207" s="132"/>
      <c r="AN207" s="132"/>
      <c r="AO207" s="132"/>
      <c r="AP207" s="132"/>
      <c r="AQ207" s="132"/>
      <c r="AR207" s="132"/>
      <c r="AS207" s="132"/>
      <c r="AT207" s="132"/>
    </row>
    <row r="208" spans="31:46" x14ac:dyDescent="0.2">
      <c r="AE208" s="212"/>
      <c r="AF208" s="132"/>
      <c r="AG208" s="132"/>
      <c r="AH208" s="132"/>
      <c r="AI208" s="132"/>
      <c r="AJ208" s="132"/>
      <c r="AK208" s="132"/>
      <c r="AL208" s="132"/>
      <c r="AM208" s="132"/>
      <c r="AN208" s="132"/>
      <c r="AO208" s="132"/>
      <c r="AP208" s="132"/>
      <c r="AQ208" s="132"/>
      <c r="AR208" s="132"/>
      <c r="AS208" s="132"/>
      <c r="AT208" s="132"/>
    </row>
    <row r="209" spans="31:46" x14ac:dyDescent="0.2">
      <c r="AE209" s="212"/>
      <c r="AF209" s="132"/>
      <c r="AG209" s="132"/>
      <c r="AH209" s="132"/>
      <c r="AI209" s="132"/>
      <c r="AJ209" s="132"/>
      <c r="AK209" s="132"/>
      <c r="AL209" s="132"/>
      <c r="AM209" s="132"/>
      <c r="AN209" s="132"/>
      <c r="AO209" s="132"/>
      <c r="AP209" s="132"/>
      <c r="AQ209" s="132"/>
      <c r="AR209" s="132"/>
      <c r="AS209" s="132"/>
      <c r="AT209" s="132"/>
    </row>
    <row r="210" spans="31:46" x14ac:dyDescent="0.2">
      <c r="AE210" s="212"/>
      <c r="AF210" s="132"/>
      <c r="AG210" s="132"/>
      <c r="AH210" s="132"/>
      <c r="AI210" s="132"/>
      <c r="AJ210" s="132"/>
      <c r="AK210" s="132"/>
      <c r="AL210" s="132"/>
      <c r="AM210" s="132"/>
      <c r="AN210" s="132"/>
      <c r="AO210" s="132"/>
      <c r="AP210" s="132"/>
      <c r="AQ210" s="132"/>
      <c r="AR210" s="132"/>
      <c r="AS210" s="132"/>
      <c r="AT210" s="132"/>
    </row>
    <row r="211" spans="31:46" x14ac:dyDescent="0.2">
      <c r="AE211" s="212"/>
      <c r="AF211" s="132"/>
      <c r="AG211" s="132"/>
      <c r="AH211" s="132"/>
      <c r="AI211" s="132"/>
      <c r="AJ211" s="132"/>
      <c r="AK211" s="132"/>
      <c r="AL211" s="132"/>
      <c r="AM211" s="132"/>
      <c r="AN211" s="132"/>
      <c r="AO211" s="132"/>
      <c r="AP211" s="132"/>
      <c r="AQ211" s="132"/>
      <c r="AR211" s="132"/>
      <c r="AS211" s="132"/>
      <c r="AT211" s="132"/>
    </row>
    <row r="212" spans="31:46" x14ac:dyDescent="0.2">
      <c r="AE212" s="212"/>
      <c r="AF212" s="132"/>
      <c r="AG212" s="132"/>
      <c r="AH212" s="132"/>
      <c r="AI212" s="132"/>
      <c r="AJ212" s="132"/>
      <c r="AK212" s="132"/>
      <c r="AL212" s="132"/>
      <c r="AM212" s="132"/>
      <c r="AN212" s="132"/>
      <c r="AO212" s="132"/>
      <c r="AP212" s="132"/>
      <c r="AQ212" s="132"/>
      <c r="AR212" s="132"/>
      <c r="AS212" s="132"/>
      <c r="AT212" s="132"/>
    </row>
    <row r="213" spans="31:46" x14ac:dyDescent="0.2">
      <c r="AE213" s="212"/>
      <c r="AF213" s="132"/>
      <c r="AG213" s="132"/>
      <c r="AH213" s="132"/>
      <c r="AI213" s="132"/>
      <c r="AJ213" s="132"/>
      <c r="AK213" s="132"/>
      <c r="AL213" s="132"/>
      <c r="AM213" s="132"/>
      <c r="AN213" s="132"/>
      <c r="AO213" s="132"/>
      <c r="AP213" s="132"/>
      <c r="AQ213" s="132"/>
      <c r="AR213" s="132"/>
      <c r="AS213" s="132"/>
      <c r="AT213" s="132"/>
    </row>
    <row r="215" spans="31:46" x14ac:dyDescent="0.2">
      <c r="AE215" s="212"/>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4"/>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5"/>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5"/>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3I4zy80MknRajpCbkmyY2dhdA9m7xbSZI7lJAo+JZoI1fJA29TZPyvMKojJ39lvkObE2BH7tN8Oet357Wtg0Gg==" saltValue="Bq9eQVD5VWgMzw62AxZiiQ==" spinCount="100000" sheet="1" objects="1" scenarios="1"/>
  <mergeCells count="222">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E23:H23"/>
    <mergeCell ref="I23:L23"/>
    <mergeCell ref="M23:P23"/>
    <mergeCell ref="Q23:T23"/>
    <mergeCell ref="U23:X23"/>
    <mergeCell ref="Y23:AB23"/>
    <mergeCell ref="AC23:AF23"/>
    <mergeCell ref="AG23:AJ23"/>
    <mergeCell ref="AK23:AN23"/>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AO23:AR23"/>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C28:AF28"/>
    <mergeCell ref="AG28:AJ28"/>
    <mergeCell ref="AK28:AN28"/>
    <mergeCell ref="AO28:AR28"/>
    <mergeCell ref="AW30:BA32"/>
    <mergeCell ref="AX33:AY33"/>
    <mergeCell ref="E28:H28"/>
    <mergeCell ref="I28:L28"/>
    <mergeCell ref="M28:P28"/>
    <mergeCell ref="Q28:T28"/>
    <mergeCell ref="U28:X28"/>
    <mergeCell ref="Y28:AB28"/>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F72:I72"/>
    <mergeCell ref="L72:O72"/>
    <mergeCell ref="R72:U72"/>
    <mergeCell ref="X72:AA72"/>
    <mergeCell ref="AW48:AX48"/>
    <mergeCell ref="I49:K49"/>
    <mergeCell ref="AM49:AP49"/>
    <mergeCell ref="AE53:AG53"/>
    <mergeCell ref="AI53:AJ53"/>
    <mergeCell ref="AK53:AL53"/>
    <mergeCell ref="AM53:AN53"/>
    <mergeCell ref="AP53:AQ53"/>
    <mergeCell ref="AW76:AW80"/>
    <mergeCell ref="AX76:AX80"/>
    <mergeCell ref="AN78:AP78"/>
    <mergeCell ref="AN79:AP79"/>
    <mergeCell ref="AN80:AS80"/>
    <mergeCell ref="AE84:AL84"/>
    <mergeCell ref="AE55:AN55"/>
    <mergeCell ref="AO55:AP55"/>
    <mergeCell ref="AI57:AS57"/>
    <mergeCell ref="AE70:AL70"/>
    <mergeCell ref="AN70:AS70"/>
    <mergeCell ref="AE90:AS92"/>
    <mergeCell ref="Z91:AB93"/>
    <mergeCell ref="H96:K96"/>
    <mergeCell ref="O96:R96"/>
    <mergeCell ref="V96:Y96"/>
    <mergeCell ref="AQ96:AR96"/>
    <mergeCell ref="H85:K85"/>
    <mergeCell ref="O85:R85"/>
    <mergeCell ref="V85:Y85"/>
    <mergeCell ref="AE85:AL85"/>
    <mergeCell ref="AP86:AR86"/>
    <mergeCell ref="Z87:AB89"/>
    <mergeCell ref="AM87:AO87"/>
    <mergeCell ref="AM88:AR88"/>
    <mergeCell ref="T112:Y112"/>
    <mergeCell ref="T114:U114"/>
    <mergeCell ref="E116:R118"/>
    <mergeCell ref="AW96:AX96"/>
    <mergeCell ref="C98:AO98"/>
    <mergeCell ref="T104:U104"/>
    <mergeCell ref="T106:U106"/>
    <mergeCell ref="T108:U108"/>
    <mergeCell ref="T110:Y110"/>
  </mergeCells>
  <conditionalFormatting sqref="AG45:AL45">
    <cfRule type="expression" dxfId="637" priority="282">
      <formula>$AC$43="x"</formula>
    </cfRule>
  </conditionalFormatting>
  <conditionalFormatting sqref="AO44:AS44">
    <cfRule type="expression" dxfId="636" priority="281">
      <formula>$AK$42="x"</formula>
    </cfRule>
  </conditionalFormatting>
  <conditionalFormatting sqref="AP7:AS7">
    <cfRule type="expression" dxfId="635" priority="280">
      <formula>$AM$5&gt;0</formula>
    </cfRule>
  </conditionalFormatting>
  <conditionalFormatting sqref="E28:AR28">
    <cfRule type="expression" dxfId="634" priority="265">
      <formula>AND($A$28&lt;&gt;"",F$10&lt;&gt;"")</formula>
    </cfRule>
  </conditionalFormatting>
  <conditionalFormatting sqref="F72:I72">
    <cfRule type="expression" dxfId="633" priority="304">
      <formula>$F$72=""</formula>
    </cfRule>
  </conditionalFormatting>
  <conditionalFormatting sqref="H85:K85">
    <cfRule type="expression" dxfId="632" priority="271">
      <formula>$H$85=""</formula>
    </cfRule>
  </conditionalFormatting>
  <conditionalFormatting sqref="O85:R85">
    <cfRule type="expression" dxfId="631" priority="302">
      <formula>$O$85=""</formula>
    </cfRule>
  </conditionalFormatting>
  <conditionalFormatting sqref="V85:Y85">
    <cfRule type="expression" dxfId="630" priority="270">
      <formula>$V$85=""</formula>
    </cfRule>
  </conditionalFormatting>
  <conditionalFormatting sqref="O96:R96">
    <cfRule type="expression" dxfId="629" priority="268">
      <formula>$O$96=""</formula>
    </cfRule>
  </conditionalFormatting>
  <conditionalFormatting sqref="AM49:AP49">
    <cfRule type="expression" dxfId="628" priority="164">
      <formula>$AM$49=""</formula>
    </cfRule>
  </conditionalFormatting>
  <conditionalFormatting sqref="AH54">
    <cfRule type="expression" dxfId="627" priority="283">
      <formula>$AE$53=0</formula>
    </cfRule>
  </conditionalFormatting>
  <conditionalFormatting sqref="L72:O72">
    <cfRule type="expression" dxfId="626" priority="274">
      <formula>$L$72=""</formula>
    </cfRule>
  </conditionalFormatting>
  <conditionalFormatting sqref="R72:U72">
    <cfRule type="expression" dxfId="625" priority="273">
      <formula>$R$72=""</formula>
    </cfRule>
  </conditionalFormatting>
  <conditionalFormatting sqref="X72:AA72">
    <cfRule type="expression" dxfId="624" priority="272">
      <formula>$X$72=""</formula>
    </cfRule>
  </conditionalFormatting>
  <conditionalFormatting sqref="AT5">
    <cfRule type="expression" dxfId="623" priority="138">
      <formula>$AT$5=1</formula>
    </cfRule>
  </conditionalFormatting>
  <conditionalFormatting sqref="AM43:AQ43">
    <cfRule type="expression" dxfId="622" priority="167">
      <formula>$AM$43=""</formula>
    </cfRule>
  </conditionalFormatting>
  <conditionalFormatting sqref="AR43:AS43">
    <cfRule type="expression" dxfId="621" priority="137">
      <formula>$AR$43=""</formula>
    </cfRule>
  </conditionalFormatting>
  <conditionalFormatting sqref="AM45:AS45">
    <cfRule type="expression" dxfId="620" priority="166">
      <formula>$AM$45=""</formula>
    </cfRule>
  </conditionalFormatting>
  <conditionalFormatting sqref="AE70:AL70">
    <cfRule type="expression" dxfId="619" priority="148">
      <formula>$AE$70=""</formula>
    </cfRule>
  </conditionalFormatting>
  <conditionalFormatting sqref="AN70:AS70">
    <cfRule type="expression" dxfId="618" priority="133">
      <formula>$AN$70=""</formula>
    </cfRule>
  </conditionalFormatting>
  <conditionalFormatting sqref="AO55:AP55">
    <cfRule type="expression" dxfId="617" priority="45">
      <formula>$AT$52=1</formula>
    </cfRule>
    <cfRule type="expression" dxfId="616" priority="131">
      <formula>$AO$55=""</formula>
    </cfRule>
  </conditionalFormatting>
  <conditionalFormatting sqref="AN80:AS80">
    <cfRule type="expression" dxfId="615" priority="128">
      <formula>$AN$80=""</formula>
    </cfRule>
  </conditionalFormatting>
  <conditionalFormatting sqref="H96:K96">
    <cfRule type="expression" dxfId="614" priority="288">
      <formula>$H$96=""</formula>
    </cfRule>
  </conditionalFormatting>
  <conditionalFormatting sqref="AM88:AR88">
    <cfRule type="expression" dxfId="613" priority="121">
      <formula>$AM$88=""</formula>
    </cfRule>
  </conditionalFormatting>
  <conditionalFormatting sqref="Y5:AF5">
    <cfRule type="expression" dxfId="612" priority="259">
      <formula>$Y$5=""</formula>
    </cfRule>
  </conditionalFormatting>
  <conditionalFormatting sqref="Y6:AF6">
    <cfRule type="expression" dxfId="611" priority="117">
      <formula>$Y$6=""</formula>
    </cfRule>
  </conditionalFormatting>
  <conditionalFormatting sqref="Y7:AF7">
    <cfRule type="expression" dxfId="610" priority="116">
      <formula>$Y$7=""</formula>
    </cfRule>
  </conditionalFormatting>
  <conditionalFormatting sqref="AJ5:AL5">
    <cfRule type="expression" dxfId="609" priority="255">
      <formula>$AJ$5=""</formula>
    </cfRule>
  </conditionalFormatting>
  <conditionalFormatting sqref="AJ6:AL6">
    <cfRule type="expression" dxfId="608" priority="114">
      <formula>$AJ$6=""</formula>
    </cfRule>
  </conditionalFormatting>
  <conditionalFormatting sqref="AJ7:AL7">
    <cfRule type="expression" dxfId="607" priority="113">
      <formula>$AJ$7=""</formula>
    </cfRule>
  </conditionalFormatting>
  <conditionalFormatting sqref="I49:K49">
    <cfRule type="expression" dxfId="606" priority="112">
      <formula>$I$49=""</formula>
    </cfRule>
  </conditionalFormatting>
  <conditionalFormatting sqref="T45:U45">
    <cfRule type="expression" dxfId="605" priority="111">
      <formula>$T$45=""</formula>
    </cfRule>
  </conditionalFormatting>
  <conditionalFormatting sqref="Z42:Z45">
    <cfRule type="expression" dxfId="604" priority="110">
      <formula>$Z$42=""</formula>
    </cfRule>
  </conditionalFormatting>
  <conditionalFormatting sqref="AX33:AY42">
    <cfRule type="expression" dxfId="603" priority="108">
      <formula>AW33=""</formula>
    </cfRule>
  </conditionalFormatting>
  <conditionalFormatting sqref="A9:A11">
    <cfRule type="expression" dxfId="602" priority="49">
      <formula>$C$11&lt;36</formula>
    </cfRule>
  </conditionalFormatting>
  <conditionalFormatting sqref="A28">
    <cfRule type="expression" dxfId="601" priority="106">
      <formula>$E$28&gt;0</formula>
    </cfRule>
  </conditionalFormatting>
  <conditionalFormatting sqref="AX33:AY42">
    <cfRule type="expression" dxfId="600" priority="109">
      <formula>AX33=""</formula>
    </cfRule>
  </conditionalFormatting>
  <conditionalFormatting sqref="R112:Y114">
    <cfRule type="expression" dxfId="599" priority="56">
      <formula>$T$110=""</formula>
    </cfRule>
  </conditionalFormatting>
  <conditionalFormatting sqref="AE53:AG53">
    <cfRule type="expression" dxfId="598" priority="46">
      <formula>$AT$52=1</formula>
    </cfRule>
    <cfRule type="expression" dxfId="597" priority="83">
      <formula>$AE$53=0</formula>
    </cfRule>
  </conditionalFormatting>
  <conditionalFormatting sqref="AW48:AX48">
    <cfRule type="expression" dxfId="596" priority="82">
      <formula>$AW$48=""</formula>
    </cfRule>
  </conditionalFormatting>
  <conditionalFormatting sqref="AE84:AL84">
    <cfRule type="expression" dxfId="595" priority="74">
      <formula>$AE$84=""</formula>
    </cfRule>
  </conditionalFormatting>
  <conditionalFormatting sqref="AB102:AB120">
    <cfRule type="expression" dxfId="594" priority="72">
      <formula>$T$104&lt;&gt;105</formula>
    </cfRule>
  </conditionalFormatting>
  <conditionalFormatting sqref="AB120:AG120">
    <cfRule type="expression" dxfId="593" priority="71">
      <formula>$T$104&lt;&gt;105</formula>
    </cfRule>
  </conditionalFormatting>
  <conditionalFormatting sqref="AG102:AG120">
    <cfRule type="expression" dxfId="592" priority="70">
      <formula>AND($T$104&lt;&gt;105,$T$104&lt;&gt;85)</formula>
    </cfRule>
  </conditionalFormatting>
  <conditionalFormatting sqref="AB102:AG102">
    <cfRule type="expression" dxfId="591" priority="69">
      <formula>$T$104&lt;&gt;105</formula>
    </cfRule>
  </conditionalFormatting>
  <conditionalFormatting sqref="AH120:AM120">
    <cfRule type="expression" dxfId="590" priority="68">
      <formula>$T$104&lt;&gt;85</formula>
    </cfRule>
  </conditionalFormatting>
  <conditionalFormatting sqref="AH102:AM102">
    <cfRule type="expression" dxfId="589" priority="67">
      <formula>$T$104&lt;&gt;85</formula>
    </cfRule>
  </conditionalFormatting>
  <conditionalFormatting sqref="AN102:AN120">
    <cfRule type="expression" dxfId="588" priority="66">
      <formula>AND($T$104&lt;&gt;85,$T$104&lt;&gt;110)</formula>
    </cfRule>
  </conditionalFormatting>
  <conditionalFormatting sqref="AN120:AT120">
    <cfRule type="expression" dxfId="587" priority="65">
      <formula>$T$104&lt;&gt;110</formula>
    </cfRule>
  </conditionalFormatting>
  <conditionalFormatting sqref="AT102:AT120">
    <cfRule type="expression" dxfId="586" priority="64">
      <formula>$T$104&lt;&gt;110</formula>
    </cfRule>
  </conditionalFormatting>
  <conditionalFormatting sqref="AN102:AT102">
    <cfRule type="expression" dxfId="585" priority="63">
      <formula>$T$104&lt;&gt;110</formula>
    </cfRule>
  </conditionalFormatting>
  <conditionalFormatting sqref="T104:U104">
    <cfRule type="expression" dxfId="584" priority="62">
      <formula>$T$104=""</formula>
    </cfRule>
  </conditionalFormatting>
  <conditionalFormatting sqref="T106:U106">
    <cfRule type="expression" dxfId="583" priority="61">
      <formula>$T$106=""</formula>
    </cfRule>
  </conditionalFormatting>
  <conditionalFormatting sqref="T108:U108">
    <cfRule type="expression" dxfId="582" priority="60">
      <formula>$T$108=""</formula>
    </cfRule>
  </conditionalFormatting>
  <conditionalFormatting sqref="T114:U114">
    <cfRule type="expression" dxfId="581" priority="59">
      <formula>$T$114=""</formula>
    </cfRule>
  </conditionalFormatting>
  <conditionalFormatting sqref="T110:Y110">
    <cfRule type="expression" dxfId="580" priority="57">
      <formula>$T$110=""</formula>
    </cfRule>
  </conditionalFormatting>
  <conditionalFormatting sqref="T112:Y112">
    <cfRule type="expression" dxfId="579" priority="58">
      <formula>$T$112=""</formula>
    </cfRule>
  </conditionalFormatting>
  <conditionalFormatting sqref="AI57:AS57">
    <cfRule type="expression" dxfId="578" priority="163">
      <formula>$AI$57=""</formula>
    </cfRule>
  </conditionalFormatting>
  <conditionalFormatting sqref="AX25:AZ26">
    <cfRule type="expression" dxfId="577" priority="51">
      <formula>$AX$25=""</formula>
    </cfRule>
  </conditionalFormatting>
  <conditionalFormatting sqref="AM87:AO87">
    <cfRule type="expression" dxfId="576" priority="47">
      <formula>$AM$87=""</formula>
    </cfRule>
  </conditionalFormatting>
  <conditionalFormatting sqref="AT52">
    <cfRule type="expression" dxfId="575" priority="44">
      <formula>$AT$52=1</formula>
    </cfRule>
  </conditionalFormatting>
  <conditionalFormatting sqref="AX76:AX80">
    <cfRule type="expression" dxfId="574" priority="41">
      <formula>$AN$80=""</formula>
    </cfRule>
  </conditionalFormatting>
  <conditionalFormatting sqref="AB62">
    <cfRule type="expression" dxfId="573" priority="40">
      <formula>$AB$62&gt;0</formula>
    </cfRule>
  </conditionalFormatting>
  <conditionalFormatting sqref="AB73">
    <cfRule type="expression" dxfId="572" priority="39">
      <formula>$AB$73&gt;0</formula>
    </cfRule>
  </conditionalFormatting>
  <conditionalFormatting sqref="M6:Q6">
    <cfRule type="expression" dxfId="571" priority="319">
      <formula>$M$6=""</formula>
    </cfRule>
  </conditionalFormatting>
  <conditionalFormatting sqref="AN78:AP78">
    <cfRule type="expression" dxfId="570" priority="130">
      <formula>$AN$78=""</formula>
    </cfRule>
  </conditionalFormatting>
  <conditionalFormatting sqref="AN79:AP79">
    <cfRule type="expression" dxfId="569" priority="129">
      <formula>$AN$79=""</formula>
    </cfRule>
  </conditionalFormatting>
  <conditionalFormatting sqref="AM46:AS46">
    <cfRule type="expression" dxfId="568" priority="134">
      <formula>$AM$46=""</formula>
    </cfRule>
  </conditionalFormatting>
  <conditionalFormatting sqref="AM47:AS47">
    <cfRule type="expression" dxfId="567" priority="32">
      <formula>$AM$47=""</formula>
    </cfRule>
  </conditionalFormatting>
  <conditionalFormatting sqref="AQ96:AR96">
    <cfRule type="expression" dxfId="566" priority="18">
      <formula>$AQ$96=""</formula>
    </cfRule>
  </conditionalFormatting>
  <conditionalFormatting sqref="BD2:BI10">
    <cfRule type="expression" dxfId="565" priority="9">
      <formula>$AW$2=""</formula>
    </cfRule>
  </conditionalFormatting>
  <conditionalFormatting sqref="AZ9:BA9">
    <cfRule type="expression" dxfId="564" priority="6">
      <formula>$AZ$9=""</formula>
    </cfRule>
  </conditionalFormatting>
  <conditionalFormatting sqref="AZ10:BA10">
    <cfRule type="expression" dxfId="563" priority="5">
      <formula>$AZ$10=""</formula>
    </cfRule>
  </conditionalFormatting>
  <dataValidations count="8">
    <dataValidation type="whole" allowBlank="1" showInputMessage="1" showErrorMessage="1" sqref="J58:M59 I46:K49" xr:uid="{4B720B59-CF12-426B-AF04-59EAD4B40CB6}">
      <formula1>0</formula1>
      <formula2>100000</formula2>
    </dataValidation>
    <dataValidation type="custom" operator="equal" allowBlank="1" showInputMessage="1" showErrorMessage="1" sqref="AA60 E33:E34 E40:E41 Q40:Q41 E6:E7 AN33 AN44 AA47:AA49" xr:uid="{E936B54F-65C6-4B08-AC89-76C5EC1B8491}">
      <formula1>E6="X"</formula1>
    </dataValidation>
    <dataValidation type="whole" allowBlank="1" showInputMessage="1" showErrorMessage="1" sqref="H21:I21 AJ21:AK21 L21:M21 P21:Q21 T21:U21 X21:Y21 AB21:AC21 AF21:AG21 AN21:AO21" xr:uid="{014BFA71-2192-4C72-A05C-51A93BA10BCF}">
      <formula1>0</formula1>
      <formula2>360</formula2>
    </dataValidation>
    <dataValidation type="whole" allowBlank="1" showInputMessage="1" showErrorMessage="1" sqref="E28:AR28 Z42:Z45" xr:uid="{E8C8C2C7-29A9-4FE5-8B00-35CD945C0252}">
      <formula1>0</formula1>
      <formula2>10000</formula2>
    </dataValidation>
    <dataValidation type="whole" allowBlank="1" showInputMessage="1" showErrorMessage="1" sqref="T45:U45" xr:uid="{EE7A114F-28FF-4533-ACC5-BE8191A13270}">
      <formula1>0</formula1>
      <formula2>3000</formula2>
    </dataValidation>
    <dataValidation type="date" operator="greaterThanOrEqual" allowBlank="1" showInputMessage="1" showErrorMessage="1" sqref="Y7:AF7" xr:uid="{D10B23E2-7893-4CCA-BA1F-49FA970E7FB6}">
      <formula1>TODAY()-3</formula1>
    </dataValidation>
    <dataValidation type="whole" operator="equal" allowBlank="1" showInputMessage="1" showErrorMessage="1" sqref="AB62 AB73" xr:uid="{D8CB19E2-D185-4A0E-862C-FA3A7BE4B854}">
      <formula1>1</formula1>
    </dataValidation>
    <dataValidation type="whole" allowBlank="1" showInputMessage="1" showErrorMessage="1" sqref="AJ6:AL6" xr:uid="{CC89C335-69E2-4828-8B38-E4F5C736897E}">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3314"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3315"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3316"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3317"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3318"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3319"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3320"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3321"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3323" r:id="rId14" name="Check Box 11">
              <controlPr locked="0" defaultSize="0" autoFill="0" autoLine="0" autoPict="0">
                <anchor moveWithCells="1">
                  <from>
                    <xdr:col>40</xdr:col>
                    <xdr:colOff>0</xdr:colOff>
                    <xdr:row>32</xdr:row>
                    <xdr:rowOff>0</xdr:rowOff>
                  </from>
                  <to>
                    <xdr:col>41</xdr:col>
                    <xdr:colOff>0</xdr:colOff>
                    <xdr:row>33</xdr:row>
                    <xdr:rowOff>0</xdr:rowOff>
                  </to>
                </anchor>
              </controlPr>
            </control>
          </mc:Choice>
        </mc:AlternateContent>
        <mc:AlternateContent xmlns:mc="http://schemas.openxmlformats.org/markup-compatibility/2006">
          <mc:Choice Requires="x14">
            <control shapeId="13324" r:id="rId15" name="Check Box 12">
              <controlPr locked="0" defaultSize="0" autoFill="0" autoLine="0" autoPict="0">
                <anchor moveWithCells="1">
                  <from>
                    <xdr:col>42</xdr:col>
                    <xdr:colOff>0</xdr:colOff>
                    <xdr:row>4</xdr:row>
                    <xdr:rowOff>0</xdr:rowOff>
                  </from>
                  <to>
                    <xdr:col>43</xdr:col>
                    <xdr:colOff>0</xdr:colOff>
                    <xdr:row>4</xdr:row>
                    <xdr:rowOff>171450</xdr:rowOff>
                  </to>
                </anchor>
              </controlPr>
            </control>
          </mc:Choice>
        </mc:AlternateContent>
        <mc:AlternateContent xmlns:mc="http://schemas.openxmlformats.org/markup-compatibility/2006">
          <mc:Choice Requires="x14">
            <control shapeId="13325"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3326" r:id="rId17" name="Check Box 14">
              <controlPr locked="0" defaultSize="0" autoFill="0" autoLine="0" autoPict="0">
                <anchor moveWithCells="1">
                  <from>
                    <xdr:col>42</xdr:col>
                    <xdr:colOff>0</xdr:colOff>
                    <xdr:row>6</xdr:row>
                    <xdr:rowOff>0</xdr:rowOff>
                  </from>
                  <to>
                    <xdr:col>43</xdr:col>
                    <xdr:colOff>0</xdr:colOff>
                    <xdr:row>7</xdr:row>
                    <xdr:rowOff>19050</xdr:rowOff>
                  </to>
                </anchor>
              </controlPr>
            </control>
          </mc:Choice>
        </mc:AlternateContent>
        <mc:AlternateContent xmlns:mc="http://schemas.openxmlformats.org/markup-compatibility/2006">
          <mc:Choice Requires="x14">
            <control shapeId="13327" r:id="rId18" name="Check Box 15">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328" r:id="rId19" name="Check Box 16">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329" r:id="rId20" name="Check Box 17">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3330" r:id="rId21" name="Check Box 18">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3331" r:id="rId22" name="Check Box 19">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3332" r:id="rId23" name="Check Box 20">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3333" r:id="rId24" name="Check Box 21">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3334" r:id="rId25" name="Check Box 22">
              <controlPr locked="0" defaultSize="0" autoFill="0" autoLine="0" autoPict="0">
                <anchor moveWithCells="1">
                  <from>
                    <xdr:col>9</xdr:col>
                    <xdr:colOff>76200</xdr:colOff>
                    <xdr:row>52</xdr:row>
                    <xdr:rowOff>114300</xdr:rowOff>
                  </from>
                  <to>
                    <xdr:col>10</xdr:col>
                    <xdr:colOff>76200</xdr:colOff>
                    <xdr:row>53</xdr:row>
                    <xdr:rowOff>114300</xdr:rowOff>
                  </to>
                </anchor>
              </controlPr>
            </control>
          </mc:Choice>
        </mc:AlternateContent>
        <mc:AlternateContent xmlns:mc="http://schemas.openxmlformats.org/markup-compatibility/2006">
          <mc:Choice Requires="x14">
            <control shapeId="13335" r:id="rId26" name="Check Box 23">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3336" r:id="rId27" name="Check Box 24">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3337" r:id="rId28" name="Check Box 25">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3338" r:id="rId29" name="Check Box 26">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3339" r:id="rId30" name="Check Box 27">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3340" r:id="rId31" name="Check Box 28">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mc:AlternateContent xmlns:mc="http://schemas.openxmlformats.org/markup-compatibility/2006">
          <mc:Choice Requires="x14">
            <control shapeId="13341" r:id="rId32" name="Check Box 2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3342" r:id="rId33" name="Check Box 3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3343" r:id="rId34" name="Check Box 3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3344" r:id="rId35" name="Check Box 3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3345" r:id="rId36" name="Check Box 33">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3346" r:id="rId37" name="Check Box 34">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3347" r:id="rId38" name="Check Box 35">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3348" r:id="rId39" name="Check Box 36">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3349" r:id="rId40" name="Check Box 37">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350" r:id="rId41" name="Check Box 38">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3351" r:id="rId42" name="Check Box 39">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3352" r:id="rId43" name="Check Box 40">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3353" r:id="rId44" name="Check Box 4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3354" r:id="rId45" name="Check Box 4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3355" r:id="rId46" name="Check Box 4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3356" r:id="rId47" name="Check Box 4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3357" r:id="rId48" name="Check Box 45">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3358" r:id="rId49" name="Check Box 46">
              <controlPr locked="0" defaultSize="0" autoFill="0" autoLine="0" autoPict="0">
                <anchor moveWithCells="1">
                  <from>
                    <xdr:col>13</xdr:col>
                    <xdr:colOff>28575</xdr:colOff>
                    <xdr:row>62</xdr:row>
                    <xdr:rowOff>57150</xdr:rowOff>
                  </from>
                  <to>
                    <xdr:col>14</xdr:col>
                    <xdr:colOff>38100</xdr:colOff>
                    <xdr:row>63</xdr:row>
                    <xdr:rowOff>57150</xdr:rowOff>
                  </to>
                </anchor>
              </controlPr>
            </control>
          </mc:Choice>
        </mc:AlternateContent>
        <mc:AlternateContent xmlns:mc="http://schemas.openxmlformats.org/markup-compatibility/2006">
          <mc:Choice Requires="x14">
            <control shapeId="13359" r:id="rId50" name="Check Box 47">
              <controlPr locked="0" defaultSize="0" autoFill="0" autoLine="0" autoPict="0">
                <anchor moveWithCells="1">
                  <from>
                    <xdr:col>11</xdr:col>
                    <xdr:colOff>28575</xdr:colOff>
                    <xdr:row>68</xdr:row>
                    <xdr:rowOff>47625</xdr:rowOff>
                  </from>
                  <to>
                    <xdr:col>12</xdr:col>
                    <xdr:colOff>38100</xdr:colOff>
                    <xdr:row>69</xdr:row>
                    <xdr:rowOff>47625</xdr:rowOff>
                  </to>
                </anchor>
              </controlPr>
            </control>
          </mc:Choice>
        </mc:AlternateContent>
        <mc:AlternateContent xmlns:mc="http://schemas.openxmlformats.org/markup-compatibility/2006">
          <mc:Choice Requires="x14">
            <control shapeId="13360" r:id="rId51" name="Check Box 4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3361" r:id="rId52" name="Check Box 4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3362" r:id="rId53" name="Check Box 50">
              <controlPr locked="0" defaultSize="0" autoFill="0" autoLine="0" autoPict="0">
                <anchor moveWithCells="1">
                  <from>
                    <xdr:col>40</xdr:col>
                    <xdr:colOff>0</xdr:colOff>
                    <xdr:row>33</xdr:row>
                    <xdr:rowOff>0</xdr:rowOff>
                  </from>
                  <to>
                    <xdr:col>41</xdr:col>
                    <xdr:colOff>0</xdr:colOff>
                    <xdr:row>34</xdr:row>
                    <xdr:rowOff>0</xdr:rowOff>
                  </to>
                </anchor>
              </controlPr>
            </control>
          </mc:Choice>
        </mc:AlternateContent>
        <mc:AlternateContent xmlns:mc="http://schemas.openxmlformats.org/markup-compatibility/2006">
          <mc:Choice Requires="x14">
            <control shapeId="13363" r:id="rId54" name="Check Box 51">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3364" r:id="rId55" name="Check Box 52">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3365" r:id="rId56" name="Check Box 53">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3366" r:id="rId57" name="Check Box 54">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8" id="{EECB0A7C-0348-4EAE-BC90-41C76780CF02}">
            <xm:f>$A$9&lt;&gt;'Sprachen &amp; Rückgabewerte(4)'!$H$132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6" id="{2C937DE9-DDB6-4BBA-9AE8-406CAF263F49}">
            <xm:f>'Sprachen &amp; Rückgabewerte(4)'!$U$49=FALSE</xm:f>
            <x14:dxf>
              <border>
                <bottom style="thin">
                  <color rgb="FFFF0000"/>
                </bottom>
                <vertical/>
                <horizontal/>
              </border>
            </x14:dxf>
          </x14:cfRule>
          <x14:cfRule type="expression" priority="279" id="{B2B016FB-FADE-4A38-891A-E2C89672CCFE}">
            <xm:f>'Sprachen &amp; Rückgabewerte(4)'!$I$12=FALSE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78" id="{3032F7F5-BF35-40B2-BC05-443F9BECBF3E}">
            <xm:f>AND('Sprachen &amp; Rückgabewerte(4)'!$I$11=FALSE,'Sprachen &amp; Rückgabewerte(4)'!$I$12=FALSE)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7" id="{5642CFE7-D9F2-4621-BADE-236B2EB8C88A}">
            <xm:f>AND('Sprachen &amp; Rückgabewerte(4)'!$I$10=FALSE,'Sprachen &amp; Rückgabewerte(4)'!$I$11=FALSE,'Sprachen &amp; Rückgabewerte(4)'!$I$12=FALSE)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CBAAA469-CD2E-4DB7-BF52-6D1ACD5584E2}">
            <xm:f>AND($AP$86="",'Sprachen &amp; Rückgabewerte(4)'!$I$51=TRUE)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6" id="{E2DA17FF-EB97-4661-96E7-E40F842AA511}">
            <xm:f>'Sprachen &amp; Rückgabewerte(4)'!$I$51=TRUE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5" id="{A26E0B4F-39E7-433F-B343-99C9FF2233F9}">
            <xm:f>'Sprachen &amp; Rückgabewerte(4)'!$C$41=FALSE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9" id="{2BBE4506-EC63-423B-881F-29718E10821D}">
            <xm:f>'Sprachen &amp; Rückgabewerte(4)'!$C$42=FALSE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4" id="{A3582901-1B86-4476-B4C4-D886687762D4}">
            <xm:f>'Sprachen &amp; Rückgabewerte(4)'!$C$43=FALSE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3" id="{6C6587E6-63C9-482F-B77D-CF140DA19F87}">
            <xm:f>'Sprachen &amp; Rückgabewerte(4)'!$C$44=FALSE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1" id="{D286A93D-E3E7-4463-8CA0-A8DE3362A449}">
            <xm:f>'Sprachen &amp; Rückgabewerte(4)'!$C$45=FALSE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6" id="{8B382CFA-69D8-4B89-A99B-64200E2BAC8D}">
            <xm:f>'Sprachen &amp; Rückgabewerte(4)'!$C$46=FALSE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9" id="{63D830B5-5C21-4F27-A915-54D0CCA4E8F7}">
            <xm:f>'Sprachen &amp; Rückgabewerte(4)'!$C$47=FALSE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40" id="{AF2FE348-A645-45F9-94B3-6996E677F576}">
            <xm:f>'Sprachen &amp; Rückgabewerte(4)'!$C$49=FALSE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6" id="{128EDC61-25AE-49D6-A1B4-9933CF18240B}">
            <xm:f>G$20='Sprachen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7" id="{82C0015A-3A7A-410A-8055-A4C249EE52DB}">
            <xm:f>G$20='Sprachen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4" id="{B925693D-3784-4562-B0D9-37B576B0B682}">
            <xm:f>'Sprachen &amp; Rückgabewerte(4)'!$L$41=0</xm:f>
            <x14:dxf>
              <border>
                <left style="thin">
                  <color rgb="FFFF0000"/>
                </left>
                <vertical/>
                <horizontal/>
              </border>
            </x14:dxf>
          </x14:cfRule>
          <xm:sqref>C5:C8</xm:sqref>
        </x14:conditionalFormatting>
        <x14:conditionalFormatting xmlns:xm="http://schemas.microsoft.com/office/excel/2006/main">
          <x14:cfRule type="expression" priority="263" id="{25AE28D8-FAD4-4F5D-B368-B2201F615917}">
            <xm:f>'Sprachen &amp; Rückgabewerte(4)'!$L$41=0</xm:f>
            <x14:dxf>
              <border>
                <top style="thin">
                  <color rgb="FFFF0000"/>
                </top>
                <vertical/>
                <horizontal/>
              </border>
            </x14:dxf>
          </x14:cfRule>
          <xm:sqref>C5:R5</xm:sqref>
        </x14:conditionalFormatting>
        <x14:conditionalFormatting xmlns:xm="http://schemas.microsoft.com/office/excel/2006/main">
          <x14:cfRule type="expression" priority="262" id="{44063948-B234-42F0-9532-520AF31C54A0}">
            <xm:f>'Sprachen &amp; Rückgabewerte(4)'!$L$41=0</xm:f>
            <x14:dxf>
              <border>
                <right style="thin">
                  <color rgb="FFFF0000"/>
                </right>
                <vertical/>
                <horizontal/>
              </border>
            </x14:dxf>
          </x14:cfRule>
          <xm:sqref>R5:R8</xm:sqref>
        </x14:conditionalFormatting>
        <x14:conditionalFormatting xmlns:xm="http://schemas.microsoft.com/office/excel/2006/main">
          <x14:cfRule type="expression" priority="261" id="{64D19B20-56F4-45F3-AC02-EAD37BE791AB}">
            <xm:f>'Sprachen &amp; Rückgabewerte(4)'!$L$41=0</xm:f>
            <x14:dxf>
              <border>
                <bottom style="thin">
                  <color rgb="FFFF0000"/>
                </bottom>
                <vertical/>
                <horizontal/>
              </border>
            </x14:dxf>
          </x14:cfRule>
          <xm:sqref>C8:R8</xm:sqref>
        </x14:conditionalFormatting>
        <x14:conditionalFormatting xmlns:xm="http://schemas.microsoft.com/office/excel/2006/main">
          <x14:cfRule type="expression" priority="260" id="{A2A4FDAC-C268-4F4E-8134-16D6072FF81B}">
            <xm:f>'Sprachen &amp; Rückgabewerte(4)'!$L$42=0</xm:f>
            <x14:dxf>
              <border>
                <left style="thin">
                  <color rgb="FFFF0000"/>
                </left>
                <vertical/>
                <horizontal/>
              </border>
            </x14:dxf>
          </x14:cfRule>
          <xm:sqref>S5:S8</xm:sqref>
        </x14:conditionalFormatting>
        <x14:conditionalFormatting xmlns:xm="http://schemas.microsoft.com/office/excel/2006/main">
          <x14:cfRule type="expression" priority="118" id="{F78C12DB-7F3D-4A6B-BEB4-EA28B5EC8B27}">
            <xm:f>'Sprachen &amp; Rückgabewerte(4)'!$L$42=0</xm:f>
            <x14:dxf>
              <border>
                <top style="thin">
                  <color rgb="FFFF0000"/>
                </top>
                <vertical/>
                <horizontal/>
              </border>
            </x14:dxf>
          </x14:cfRule>
          <xm:sqref>S5:AG5</xm:sqref>
        </x14:conditionalFormatting>
        <x14:conditionalFormatting xmlns:xm="http://schemas.microsoft.com/office/excel/2006/main">
          <x14:cfRule type="expression" priority="258" id="{632D0C6B-2516-4CB4-8AEB-AB6FD9FDE796}">
            <xm:f>'Sprachen &amp; Rückgabewerte(4)'!$L$42=0</xm:f>
            <x14:dxf>
              <border>
                <right style="thin">
                  <color rgb="FFFF0000"/>
                </right>
                <vertical/>
                <horizontal/>
              </border>
            </x14:dxf>
          </x14:cfRule>
          <xm:sqref>AG5:AG8</xm:sqref>
        </x14:conditionalFormatting>
        <x14:conditionalFormatting xmlns:xm="http://schemas.microsoft.com/office/excel/2006/main">
          <x14:cfRule type="expression" priority="257" id="{EB283086-1829-4BE7-9E83-6D261F7AC391}">
            <xm:f>'Sprachen &amp; Rückgabewerte(4)'!$L$42=0</xm:f>
            <x14:dxf>
              <border>
                <bottom style="thin">
                  <color rgb="FFFF0000"/>
                </bottom>
                <vertical/>
                <horizontal/>
              </border>
            </x14:dxf>
          </x14:cfRule>
          <xm:sqref>S8:AG8</xm:sqref>
        </x14:conditionalFormatting>
        <x14:conditionalFormatting xmlns:xm="http://schemas.microsoft.com/office/excel/2006/main">
          <x14:cfRule type="expression" priority="256" id="{294A8364-0576-4E70-9D1D-E15D2C886F11}">
            <xm:f>'Sprachen &amp; Rückgabewerte(4)'!$L$43=0</xm:f>
            <x14:dxf>
              <border>
                <left style="thin">
                  <color rgb="FFFF0000"/>
                </left>
                <vertical/>
                <horizontal/>
              </border>
            </x14:dxf>
          </x14:cfRule>
          <xm:sqref>AH5:AH8</xm:sqref>
        </x14:conditionalFormatting>
        <x14:conditionalFormatting xmlns:xm="http://schemas.microsoft.com/office/excel/2006/main">
          <x14:cfRule type="expression" priority="115" id="{99C596C0-DAA7-4438-91C6-4267B481031C}">
            <xm:f>'Sprachen &amp; Rückgabewerte(4)'!$L$43=0</xm:f>
            <x14:dxf>
              <border>
                <top style="thin">
                  <color rgb="FFFF0000"/>
                </top>
                <vertical/>
                <horizontal/>
              </border>
            </x14:dxf>
          </x14:cfRule>
          <xm:sqref>AH5:AM5</xm:sqref>
        </x14:conditionalFormatting>
        <x14:conditionalFormatting xmlns:xm="http://schemas.microsoft.com/office/excel/2006/main">
          <x14:cfRule type="expression" priority="254" id="{58E5B1BD-BC5C-479B-A304-FED03FB1023A}">
            <xm:f>'Sprachen &amp; Rückgabewerte(4)'!$L$43=0</xm:f>
            <x14:dxf>
              <border>
                <right style="thin">
                  <color rgb="FFFF0000"/>
                </right>
                <vertical/>
                <horizontal/>
              </border>
            </x14:dxf>
          </x14:cfRule>
          <xm:sqref>AM5:AM8</xm:sqref>
        </x14:conditionalFormatting>
        <x14:conditionalFormatting xmlns:xm="http://schemas.microsoft.com/office/excel/2006/main">
          <x14:cfRule type="expression" priority="253" id="{9D5C7D9E-1961-4D55-8764-F3E767C77823}">
            <xm:f>'Sprachen &amp; Rückgabewerte(4)'!$L$43=0</xm:f>
            <x14:dxf>
              <border>
                <bottom style="thin">
                  <color rgb="FFFF0000"/>
                </bottom>
                <vertical/>
                <horizontal/>
              </border>
            </x14:dxf>
          </x14:cfRule>
          <xm:sqref>AH8:AM8</xm:sqref>
        </x14:conditionalFormatting>
        <x14:conditionalFormatting xmlns:xm="http://schemas.microsoft.com/office/excel/2006/main">
          <x14:cfRule type="expression" priority="252" id="{43CE296C-CC16-423C-861C-11316A4937E5}">
            <xm:f>'Sprachen &amp; Rückgabewerte(4)'!$L$44=0</xm:f>
            <x14:dxf>
              <border>
                <left style="thin">
                  <color rgb="FFFF0000"/>
                </left>
                <vertical/>
                <horizontal/>
              </border>
            </x14:dxf>
          </x14:cfRule>
          <xm:sqref>AN5:AN8</xm:sqref>
        </x14:conditionalFormatting>
        <x14:conditionalFormatting xmlns:xm="http://schemas.microsoft.com/office/excel/2006/main">
          <x14:cfRule type="expression" priority="251" id="{0B4A2942-00B8-4287-8C87-4134049EC4D9}">
            <xm:f>'Sprachen &amp; Rückgabewerte(4)'!$L$44=0</xm:f>
            <x14:dxf>
              <border>
                <top style="thin">
                  <color rgb="FFFF0000"/>
                </top>
                <vertical/>
                <horizontal/>
              </border>
            </x14:dxf>
          </x14:cfRule>
          <xm:sqref>AN5:AT5</xm:sqref>
        </x14:conditionalFormatting>
        <x14:conditionalFormatting xmlns:xm="http://schemas.microsoft.com/office/excel/2006/main">
          <x14:cfRule type="expression" priority="250" id="{70B48D28-0441-49EA-8764-534C25E4FD76}">
            <xm:f>'Sprachen &amp; Rückgabewerte(4)'!$L$44=0</xm:f>
            <x14:dxf>
              <border>
                <right style="thin">
                  <color rgb="FFFF0000"/>
                </right>
                <vertical/>
                <horizontal/>
              </border>
            </x14:dxf>
          </x14:cfRule>
          <xm:sqref>AT5:AT8</xm:sqref>
        </x14:conditionalFormatting>
        <x14:conditionalFormatting xmlns:xm="http://schemas.microsoft.com/office/excel/2006/main">
          <x14:cfRule type="expression" priority="249" id="{D5991914-47FE-4B42-98B6-96AAA9530F3B}">
            <xm:f>'Sprachen &amp; Rückgabewerte(4)'!$L$44=0</xm:f>
            <x14:dxf>
              <border>
                <bottom style="thin">
                  <color rgb="FFFF0000"/>
                </bottom>
                <vertical/>
                <horizontal/>
              </border>
            </x14:dxf>
          </x14:cfRule>
          <xm:sqref>AN8:AT8</xm:sqref>
        </x14:conditionalFormatting>
        <x14:conditionalFormatting xmlns:xm="http://schemas.microsoft.com/office/excel/2006/main">
          <x14:cfRule type="expression" priority="248" id="{4B2BCBEE-DA60-4184-AAD6-3137E85C2EB6}">
            <xm:f>'Sprachen &amp; Rückgabewerte(4)'!$L$45=0</xm:f>
            <x14:dxf>
              <border>
                <left style="thin">
                  <color rgb="FFFF0000"/>
                </left>
                <vertical/>
                <horizontal/>
              </border>
            </x14:dxf>
          </x14:cfRule>
          <xm:sqref>C9:C30</xm:sqref>
        </x14:conditionalFormatting>
        <x14:conditionalFormatting xmlns:xm="http://schemas.microsoft.com/office/excel/2006/main">
          <x14:cfRule type="expression" priority="241" id="{3006EED2-BDEC-4553-822D-3696588696D6}">
            <xm:f>'Sprachen &amp; Rückgabewerte(4)'!$L$46=0</xm:f>
            <x14:dxf>
              <border>
                <bottom style="thin">
                  <color rgb="FFFF0000"/>
                </bottom>
                <vertical/>
                <horizontal/>
              </border>
            </x14:dxf>
          </x14:cfRule>
          <x14:cfRule type="expression" priority="247" id="{5CF7DF8E-7F05-4206-AE9A-3C5A24594B99}">
            <xm:f>'Sprachen &amp; Rückgabewerte(4)'!$L$45=0</xm:f>
            <x14:dxf>
              <border>
                <bottom style="thin">
                  <color rgb="FFFF0000"/>
                </bottom>
                <vertical/>
                <horizontal/>
              </border>
            </x14:dxf>
          </x14:cfRule>
          <xm:sqref>C30:AT30</xm:sqref>
        </x14:conditionalFormatting>
        <x14:conditionalFormatting xmlns:xm="http://schemas.microsoft.com/office/excel/2006/main">
          <x14:cfRule type="expression" priority="246" id="{1BD72040-9D65-4130-8532-7191133D0748}">
            <xm:f>'Sprachen &amp; Rückgabewerte(4)'!$L$45=0</xm:f>
            <x14:dxf>
              <border>
                <top style="thin">
                  <color rgb="FFFF0000"/>
                </top>
                <vertical/>
                <horizontal/>
              </border>
            </x14:dxf>
          </x14:cfRule>
          <xm:sqref>C9:AT9</xm:sqref>
        </x14:conditionalFormatting>
        <x14:conditionalFormatting xmlns:xm="http://schemas.microsoft.com/office/excel/2006/main">
          <x14:cfRule type="expression" priority="245" id="{A6332789-E117-4E8A-A965-2399FAE02000}">
            <xm:f>'Sprachen &amp; Rückgabewerte(4)'!$L$45=0</xm:f>
            <x14:dxf>
              <border>
                <right style="thin">
                  <color rgb="FFFF0000"/>
                </right>
                <vertical/>
                <horizontal/>
              </border>
            </x14:dxf>
          </x14:cfRule>
          <xm:sqref>AT9:AT30</xm:sqref>
        </x14:conditionalFormatting>
        <x14:conditionalFormatting xmlns:xm="http://schemas.microsoft.com/office/excel/2006/main">
          <x14:cfRule type="expression" priority="244" id="{437CDA4F-7DE4-4DA1-9E6B-C76E827233D6}">
            <xm:f>'Sprachen &amp; Rückgabewerte(4)'!$L$46=0</xm:f>
            <x14:dxf>
              <border>
                <left style="thin">
                  <color rgb="FFFF0000"/>
                </left>
                <vertical/>
                <horizontal/>
              </border>
            </x14:dxf>
          </x14:cfRule>
          <xm:sqref>C27:C30</xm:sqref>
        </x14:conditionalFormatting>
        <x14:conditionalFormatting xmlns:xm="http://schemas.microsoft.com/office/excel/2006/main">
          <x14:cfRule type="expression" priority="243" id="{F4DC62C2-3CA4-487D-AA6F-630471650B60}">
            <xm:f>'Sprachen &amp; Rückgabewerte(4)'!$L$46=0</xm:f>
            <x14:dxf>
              <border>
                <top style="thin">
                  <color rgb="FFFF0000"/>
                </top>
                <vertical/>
                <horizontal/>
              </border>
            </x14:dxf>
          </x14:cfRule>
          <xm:sqref>C27:AT27</xm:sqref>
        </x14:conditionalFormatting>
        <x14:conditionalFormatting xmlns:xm="http://schemas.microsoft.com/office/excel/2006/main">
          <x14:cfRule type="expression" priority="242" id="{9A842C0C-56D4-4BCE-8BA6-2842AB977257}">
            <xm:f>'Sprachen &amp; Rückgabewerte(4)'!$L$46=0</xm:f>
            <x14:dxf>
              <border>
                <right style="thin">
                  <color rgb="FFFF0000"/>
                </right>
                <vertical/>
                <horizontal/>
              </border>
            </x14:dxf>
          </x14:cfRule>
          <xm:sqref>AT27:AT30</xm:sqref>
        </x14:conditionalFormatting>
        <x14:conditionalFormatting xmlns:xm="http://schemas.microsoft.com/office/excel/2006/main">
          <x14:cfRule type="expression" priority="240" id="{53E67ECC-7548-4FD5-ADCA-2AB2A4B1B601}">
            <xm:f>'Sprachen &amp; Rückgabewerte(4)'!$L$47=0</xm:f>
            <x14:dxf>
              <border>
                <left style="thin">
                  <color rgb="FFFF0000"/>
                </left>
                <vertical/>
                <horizontal/>
              </border>
            </x14:dxf>
          </x14:cfRule>
          <xm:sqref>C32:C35</xm:sqref>
        </x14:conditionalFormatting>
        <x14:conditionalFormatting xmlns:xm="http://schemas.microsoft.com/office/excel/2006/main">
          <x14:cfRule type="expression" priority="239" id="{8D23AF20-CD93-4ABC-8B90-D4585D1E6BAA}">
            <xm:f>'Sprachen &amp; Rückgabewerte(4)'!$L$47=0</xm:f>
            <x14:dxf>
              <border>
                <top style="thin">
                  <color rgb="FFFF0000"/>
                </top>
                <vertical/>
                <horizontal/>
              </border>
            </x14:dxf>
          </x14:cfRule>
          <xm:sqref>C32:AB32</xm:sqref>
        </x14:conditionalFormatting>
        <x14:conditionalFormatting xmlns:xm="http://schemas.microsoft.com/office/excel/2006/main">
          <x14:cfRule type="expression" priority="238" id="{95E49B93-D119-4511-880D-FDECACC0BEED}">
            <xm:f>'Sprachen &amp; Rückgabewerte(4)'!$L$47=0</xm:f>
            <x14:dxf>
              <border>
                <right style="thin">
                  <color rgb="FFFF0000"/>
                </right>
                <vertical/>
                <horizontal/>
              </border>
            </x14:dxf>
          </x14:cfRule>
          <xm:sqref>AB32:AB35</xm:sqref>
        </x14:conditionalFormatting>
        <x14:conditionalFormatting xmlns:xm="http://schemas.microsoft.com/office/excel/2006/main">
          <x14:cfRule type="expression" priority="237" id="{3A2583CB-50B8-435A-8564-783DFB7E2EDA}">
            <xm:f>'Sprachen &amp; Rückgabewerte(4)'!$L$47=0</xm:f>
            <x14:dxf>
              <border>
                <bottom style="thin">
                  <color rgb="FFFF0000"/>
                </bottom>
                <vertical/>
                <horizontal/>
              </border>
            </x14:dxf>
          </x14:cfRule>
          <xm:sqref>C35:AB35</xm:sqref>
        </x14:conditionalFormatting>
        <x14:conditionalFormatting xmlns:xm="http://schemas.microsoft.com/office/excel/2006/main">
          <x14:cfRule type="expression" priority="236" id="{ED0789EF-FCFC-4843-9AE1-9CCF1936592C}">
            <xm:f>'Sprachen &amp; Rückgabewerte(4)'!$M$49=0</xm:f>
            <x14:dxf>
              <border>
                <left style="thin">
                  <color rgb="FFFF0000"/>
                </left>
                <vertical/>
                <horizontal/>
              </border>
            </x14:dxf>
          </x14:cfRule>
          <xm:sqref>C36:C60</xm:sqref>
        </x14:conditionalFormatting>
        <x14:conditionalFormatting xmlns:xm="http://schemas.microsoft.com/office/excel/2006/main">
          <x14:cfRule type="expression" priority="235" id="{E96659AB-3315-43CC-AB36-EF10570CE416}">
            <xm:f>'Sprachen &amp; Rückgabewerte(4)'!$M$49=0</xm:f>
            <x14:dxf>
              <border>
                <top style="thin">
                  <color rgb="FFFF0000"/>
                </top>
                <vertical/>
                <horizontal/>
              </border>
            </x14:dxf>
          </x14:cfRule>
          <xm:sqref>C36:O36</xm:sqref>
        </x14:conditionalFormatting>
        <x14:conditionalFormatting xmlns:xm="http://schemas.microsoft.com/office/excel/2006/main">
          <x14:cfRule type="expression" priority="234" id="{66B85AA2-4242-4481-9B64-C0A5DD619986}">
            <xm:f>'Sprachen &amp; Rückgabewerte(4)'!$M$49=0</xm:f>
            <x14:dxf>
              <border>
                <right style="thin">
                  <color rgb="FFFF0000"/>
                </right>
                <vertical/>
                <horizontal/>
              </border>
            </x14:dxf>
          </x14:cfRule>
          <xm:sqref>O36:O60</xm:sqref>
        </x14:conditionalFormatting>
        <x14:conditionalFormatting xmlns:xm="http://schemas.microsoft.com/office/excel/2006/main">
          <x14:cfRule type="expression" priority="233" id="{D210DC0F-89BA-45D1-AB26-8F7696CFA3E2}">
            <xm:f>'Sprachen &amp; Rückgabewerte(4)'!$M$49=0</xm:f>
            <x14:dxf>
              <border>
                <bottom style="thin">
                  <color rgb="FFFF0000"/>
                </bottom>
                <vertical/>
                <horizontal/>
              </border>
            </x14:dxf>
          </x14:cfRule>
          <xm:sqref>C60:O60</xm:sqref>
        </x14:conditionalFormatting>
        <x14:conditionalFormatting xmlns:xm="http://schemas.microsoft.com/office/excel/2006/main">
          <x14:cfRule type="expression" priority="232" id="{302002A4-37FE-472D-9FDA-49834F353D62}">
            <xm:f>'Sprachen &amp; Rückgabewerte(4)'!$L$50=0</xm:f>
            <x14:dxf>
              <border>
                <top style="thin">
                  <color rgb="FFFF0000"/>
                </top>
                <vertical/>
                <horizontal/>
              </border>
            </x14:dxf>
          </x14:cfRule>
          <xm:sqref>P36:AB36</xm:sqref>
        </x14:conditionalFormatting>
        <x14:conditionalFormatting xmlns:xm="http://schemas.microsoft.com/office/excel/2006/main">
          <x14:cfRule type="expression" priority="231" id="{0B3041AE-05CD-423B-B472-CF0F7BF28D45}">
            <xm:f>'Sprachen &amp; Rückgabewerte(4)'!$L$50=0</xm:f>
            <x14:dxf>
              <border>
                <right style="thin">
                  <color rgb="FFFF0000"/>
                </right>
              </border>
            </x14:dxf>
          </x14:cfRule>
          <xm:sqref>AB36:AB60</xm:sqref>
        </x14:conditionalFormatting>
        <x14:conditionalFormatting xmlns:xm="http://schemas.microsoft.com/office/excel/2006/main">
          <x14:cfRule type="expression" priority="230" id="{FB8499E2-6A56-475D-A39E-D0F64E48D832}">
            <xm:f>'Sprachen &amp; Rückgabewerte(4)'!$L$50=0</xm:f>
            <x14:dxf>
              <border>
                <bottom style="thin">
                  <color rgb="FFFF0000"/>
                </bottom>
                <vertical/>
                <horizontal/>
              </border>
            </x14:dxf>
          </x14:cfRule>
          <xm:sqref>P60:AB60</xm:sqref>
        </x14:conditionalFormatting>
        <x14:conditionalFormatting xmlns:xm="http://schemas.microsoft.com/office/excel/2006/main">
          <x14:cfRule type="expression" priority="229" id="{FAC6A34D-9C86-47AC-BD7C-7F725FE98748}">
            <xm:f>'Sprachen &amp; Rückgabewerte(4)'!$L$50=0</xm:f>
            <x14:dxf>
              <border>
                <left style="thin">
                  <color rgb="FFFF0000"/>
                </left>
                <vertical/>
                <horizontal/>
              </border>
            </x14:dxf>
          </x14:cfRule>
          <xm:sqref>P36:P43</xm:sqref>
        </x14:conditionalFormatting>
        <x14:conditionalFormatting xmlns:xm="http://schemas.microsoft.com/office/excel/2006/main">
          <x14:cfRule type="expression" priority="228" id="{95106A15-1B75-43FB-95B1-BCB007551133}">
            <xm:f>'Sprachen &amp; Rückgabewerte(4)'!$L$50=0</xm:f>
            <x14:dxf>
              <border>
                <left style="thin">
                  <color rgb="FFFF0000"/>
                </left>
                <vertical/>
                <horizontal/>
              </border>
            </x14:dxf>
          </x14:cfRule>
          <xm:sqref>P44:S45</xm:sqref>
        </x14:conditionalFormatting>
        <x14:conditionalFormatting xmlns:xm="http://schemas.microsoft.com/office/excel/2006/main">
          <x14:cfRule type="expression" priority="227" id="{19334D62-17AF-4503-96CE-40607F118F46}">
            <xm:f>'Sprachen &amp; Rückgabewerte(4)'!$L$50=0</xm:f>
            <x14:dxf>
              <border>
                <left style="thin">
                  <color rgb="FFFF0000"/>
                </left>
                <vertical/>
                <horizontal/>
              </border>
            </x14:dxf>
          </x14:cfRule>
          <xm:sqref>P46:P60</xm:sqref>
        </x14:conditionalFormatting>
        <x14:conditionalFormatting xmlns:xm="http://schemas.microsoft.com/office/excel/2006/main">
          <x14:cfRule type="expression" priority="226" id="{ABABCFAA-73F8-494C-B4ED-AF4E3C7D132D}">
            <xm:f>'Sprachen &amp; Rückgabewerte(4)'!$L$51=0</xm:f>
            <x14:dxf>
              <border>
                <top style="thin">
                  <color rgb="FFFF0000"/>
                </top>
                <vertical/>
                <horizontal/>
              </border>
            </x14:dxf>
          </x14:cfRule>
          <xm:sqref>AE32:AT32</xm:sqref>
        </x14:conditionalFormatting>
        <x14:conditionalFormatting xmlns:xm="http://schemas.microsoft.com/office/excel/2006/main">
          <x14:cfRule type="expression" priority="97" id="{E364C80E-C9FF-4376-BBF5-AEA90C6EB42B}">
            <xm:f>AND($AY$43&lt;&gt;0,'Sprachen &amp; Rückgabewerte(4)'!$I$19=TRUE)</xm:f>
            <x14:dxf>
              <border>
                <right style="thin">
                  <color rgb="FFFF0000"/>
                </right>
                <vertical/>
                <horizontal/>
              </border>
            </x14:dxf>
          </x14:cfRule>
          <x14:cfRule type="expression" priority="225" id="{403DBB6C-A998-4D8B-8C4E-44AF5550928A}">
            <xm:f>'Sprachen &amp; Rückgabewerte(4)'!$L$51=0</xm:f>
            <x14:dxf>
              <border>
                <right style="thin">
                  <color rgb="FFFF0000"/>
                </right>
                <vertical/>
                <horizontal/>
              </border>
            </x14:dxf>
          </x14:cfRule>
          <xm:sqref>AT32:AT40</xm:sqref>
        </x14:conditionalFormatting>
        <x14:conditionalFormatting xmlns:xm="http://schemas.microsoft.com/office/excel/2006/main">
          <x14:cfRule type="expression" priority="224" id="{7D416AE8-3893-48C3-9850-429ECA95F733}">
            <xm:f>'Sprachen &amp; Rückgabewerte(4)'!$L$51=0</xm:f>
            <x14:dxf>
              <border>
                <bottom style="thin">
                  <color rgb="FFFF0000"/>
                </bottom>
                <vertical/>
                <horizontal/>
              </border>
            </x14:dxf>
          </x14:cfRule>
          <xm:sqref>AE40:AT40</xm:sqref>
        </x14:conditionalFormatting>
        <x14:conditionalFormatting xmlns:xm="http://schemas.microsoft.com/office/excel/2006/main">
          <x14:cfRule type="expression" priority="223" id="{0033D150-8E59-47EB-8223-96D7E4427F28}">
            <xm:f>'Sprachen &amp; Rückgabewerte(4)'!$L$52=0</xm:f>
            <x14:dxf>
              <border>
                <top style="thin">
                  <color rgb="FFFF0000"/>
                </top>
                <vertical/>
                <horizontal/>
              </border>
            </x14:dxf>
          </x14:cfRule>
          <xm:sqref>AE42:AT42</xm:sqref>
        </x14:conditionalFormatting>
        <x14:conditionalFormatting xmlns:xm="http://schemas.microsoft.com/office/excel/2006/main">
          <x14:cfRule type="expression" priority="222" id="{3FAF9D36-8763-4202-80AD-9A403C0AE3EA}">
            <xm:f>'Sprachen &amp; Rückgabewerte(4)'!$L$52=0</xm:f>
            <x14:dxf>
              <border>
                <right style="thin">
                  <color rgb="FFFF0000"/>
                </right>
                <vertical/>
                <horizontal/>
              </border>
            </x14:dxf>
          </x14:cfRule>
          <xm:sqref>AT42:AT50</xm:sqref>
        </x14:conditionalFormatting>
        <x14:conditionalFormatting xmlns:xm="http://schemas.microsoft.com/office/excel/2006/main">
          <x14:cfRule type="expression" priority="221" id="{0B641165-FCD2-485D-8157-0E1B4333B0F0}">
            <xm:f>'Sprachen &amp; Rückgabewerte(4)'!$L$52=0</xm:f>
            <x14:dxf>
              <border>
                <bottom style="thin">
                  <color rgb="FFFF0000"/>
                </bottom>
                <vertical/>
                <horizontal/>
              </border>
            </x14:dxf>
          </x14:cfRule>
          <xm:sqref>AM50:AT50</xm:sqref>
        </x14:conditionalFormatting>
        <x14:conditionalFormatting xmlns:xm="http://schemas.microsoft.com/office/excel/2006/main">
          <x14:cfRule type="expression" priority="165" id="{568E6EC1-37B1-400C-A607-B9DFEB6889E3}">
            <xm:f>OR('Sprachen &amp; Rückgabewerte(4)'!$I$36=TRUE,'Sprachen &amp; Rückgabewerte(4)'!$I$39=TRUE)</xm:f>
            <x14:dxf>
              <font>
                <color theme="1"/>
              </font>
            </x14:dxf>
          </x14:cfRule>
          <x14:cfRule type="expression" priority="220" id="{F88D6FE2-A1AC-4DE3-8D32-687D83E3AD0D}">
            <xm:f>'Sprachen &amp; Rückgabewerte(4)'!$L$52=0</xm:f>
            <x14:dxf>
              <border>
                <bottom style="thin">
                  <color rgb="FFFF0000"/>
                </bottom>
                <vertical/>
                <horizontal/>
              </border>
            </x14:dxf>
          </x14:cfRule>
          <xm:sqref>AF48:AL50</xm:sqref>
        </x14:conditionalFormatting>
        <x14:conditionalFormatting xmlns:xm="http://schemas.microsoft.com/office/excel/2006/main">
          <x14:cfRule type="expression" priority="219" id="{0B3D3217-775A-4C98-8D41-D8ED7CC1C22E}">
            <xm:f>'Sprachen &amp; Rückgabewerte(4)'!$L$52=0</xm:f>
            <x14:dxf>
              <border>
                <bottom style="thin">
                  <color rgb="FFFF0000"/>
                </bottom>
                <vertical/>
                <horizontal/>
              </border>
            </x14:dxf>
          </x14:cfRule>
          <xm:sqref>AE50</xm:sqref>
        </x14:conditionalFormatting>
        <x14:conditionalFormatting xmlns:xm="http://schemas.microsoft.com/office/excel/2006/main">
          <x14:cfRule type="expression" priority="218" id="{EA7F9FAB-4D75-4602-B786-554A39CC379D}">
            <xm:f>'Sprachen &amp; Rückgabewerte(4)'!$L$53=0</xm:f>
            <x14:dxf>
              <border>
                <top style="thin">
                  <color rgb="FFFF0000"/>
                </top>
                <vertical/>
                <horizontal/>
              </border>
            </x14:dxf>
          </x14:cfRule>
          <xm:sqref>AE52:AT52</xm:sqref>
        </x14:conditionalFormatting>
        <x14:conditionalFormatting xmlns:xm="http://schemas.microsoft.com/office/excel/2006/main">
          <x14:cfRule type="expression" priority="217" id="{E53C19A4-5A8F-40B1-B631-0E5475507319}">
            <xm:f>'Sprachen &amp; Rückgabewerte(4)'!$L$53=0</xm:f>
            <x14:dxf>
              <border>
                <right style="thin">
                  <color rgb="FFFF0000"/>
                </right>
                <vertical/>
                <horizontal/>
              </border>
            </x14:dxf>
          </x14:cfRule>
          <xm:sqref>AT52:AT58</xm:sqref>
        </x14:conditionalFormatting>
        <x14:conditionalFormatting xmlns:xm="http://schemas.microsoft.com/office/excel/2006/main">
          <x14:cfRule type="expression" priority="216" id="{5F5EAB09-0C70-4D99-B209-A15805BDE778}">
            <xm:f>'Sprachen &amp; Rückgabewerte(4)'!$L$53=0</xm:f>
            <x14:dxf>
              <border>
                <bottom style="thin">
                  <color rgb="FFFF0000"/>
                </bottom>
                <vertical/>
                <horizontal/>
              </border>
            </x14:dxf>
          </x14:cfRule>
          <xm:sqref>AE58:AT58</xm:sqref>
        </x14:conditionalFormatting>
        <x14:conditionalFormatting xmlns:xm="http://schemas.microsoft.com/office/excel/2006/main">
          <x14:cfRule type="expression" priority="215" id="{A685B801-8B60-4BB9-9B05-A85C9E53B3C3}">
            <xm:f>'Sprachen &amp; Rückgabewerte(4)'!$L$54=0</xm:f>
            <x14:dxf>
              <border>
                <top style="thin">
                  <color rgb="FFFF0000"/>
                </top>
                <vertical/>
                <horizontal/>
              </border>
            </x14:dxf>
          </x14:cfRule>
          <xm:sqref>AE60:AT60</xm:sqref>
        </x14:conditionalFormatting>
        <x14:conditionalFormatting xmlns:xm="http://schemas.microsoft.com/office/excel/2006/main">
          <x14:cfRule type="expression" priority="214" id="{D389CFB1-84B9-4631-881C-D6CF7F5DC36D}">
            <xm:f>'Sprachen &amp; Rückgabewerte(4)'!$L$54=0</xm:f>
            <x14:dxf>
              <border>
                <right style="thin">
                  <color rgb="FFFF0000"/>
                </right>
                <vertical/>
                <horizontal/>
              </border>
            </x14:dxf>
          </x14:cfRule>
          <xm:sqref>AT60:AT71</xm:sqref>
        </x14:conditionalFormatting>
        <x14:conditionalFormatting xmlns:xm="http://schemas.microsoft.com/office/excel/2006/main">
          <x14:cfRule type="expression" priority="213" id="{543CB3BB-8AA0-4E14-BB5B-35583110D80E}">
            <xm:f>'Sprachen &amp; Rückgabewerte(4)'!$L$54=0</xm:f>
            <x14:dxf>
              <border>
                <bottom style="thin">
                  <color rgb="FFFF0000"/>
                </bottom>
                <vertical/>
                <horizontal/>
              </border>
            </x14:dxf>
          </x14:cfRule>
          <xm:sqref>AE71:AT71</xm:sqref>
        </x14:conditionalFormatting>
        <x14:conditionalFormatting xmlns:xm="http://schemas.microsoft.com/office/excel/2006/main">
          <x14:cfRule type="expression" priority="212" id="{B36D73EB-D321-4F76-8A77-E7EF14C57FD2}">
            <xm:f>'Sprachen &amp; Rückgabewerte(4)'!$L$55=0</xm:f>
            <x14:dxf>
              <border>
                <top style="thin">
                  <color rgb="FFFF0000"/>
                </top>
                <vertical/>
                <horizontal/>
              </border>
            </x14:dxf>
          </x14:cfRule>
          <xm:sqref>AE83:AT83</xm:sqref>
        </x14:conditionalFormatting>
        <x14:conditionalFormatting xmlns:xm="http://schemas.microsoft.com/office/excel/2006/main">
          <x14:cfRule type="expression" priority="211" id="{140DD17F-824F-493D-8AEC-F46C9515700F}">
            <xm:f>'Sprachen &amp; Rückgabewerte(4)'!$L$55=0</xm:f>
            <x14:dxf>
              <border>
                <right style="thin">
                  <color rgb="FFFF0000"/>
                </right>
                <vertical/>
                <horizontal/>
              </border>
            </x14:dxf>
          </x14:cfRule>
          <xm:sqref>AT83:AT93</xm:sqref>
        </x14:conditionalFormatting>
        <x14:conditionalFormatting xmlns:xm="http://schemas.microsoft.com/office/excel/2006/main">
          <x14:cfRule type="expression" priority="210" id="{C8361F68-2039-4688-86EF-B3E346BE0852}">
            <xm:f>'Sprachen &amp; Rückgabewerte(4)'!$L$55=0</xm:f>
            <x14:dxf>
              <border>
                <bottom style="thin">
                  <color rgb="FFFF0000"/>
                </bottom>
                <vertical/>
                <horizontal/>
              </border>
            </x14:dxf>
          </x14:cfRule>
          <xm:sqref>AE93:AT93</xm:sqref>
        </x14:conditionalFormatting>
        <x14:conditionalFormatting xmlns:xm="http://schemas.microsoft.com/office/excel/2006/main">
          <x14:cfRule type="expression" priority="208" id="{F505A7DF-8985-45D1-BFC4-AD6CF026FC06}">
            <xm:f>'Sprachen &amp; Rückgabewerte(4)'!$M$59=0</xm:f>
            <x14:dxf>
              <border>
                <right style="thin">
                  <color rgb="FFFF0000"/>
                </right>
                <vertical/>
                <horizontal/>
              </border>
            </x14:dxf>
          </x14:cfRule>
          <xm:sqref>AB86</xm:sqref>
        </x14:conditionalFormatting>
        <x14:conditionalFormatting xmlns:xm="http://schemas.microsoft.com/office/excel/2006/main">
          <x14:cfRule type="expression" priority="207" id="{B121E65E-0334-435D-9768-D246256F2E73}">
            <xm:f>'Sprachen &amp; Rückgabewerte(4)'!$M$59=0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4" id="{B5237F33-96BB-4614-A107-0882374F35DA}">
            <xm:f>K$20='Sprachen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5" id="{E321F0B2-B61A-40F8-86EA-D500ABB39323}">
            <xm:f>K$20='Sprachen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2" id="{C8FBDCFA-0C5A-4E8F-9A2C-6C57DCE5EC52}">
            <xm:f>O$20='Sprachen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3" id="{6AE0E634-0BB2-4A53-B5C4-B2876D35EEE6}">
            <xm:f>O$20='Sprachen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00" id="{0290D502-4576-4F4A-93CC-11742C1BC5FC}">
            <xm:f>S$20='Sprachen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1" id="{D3322AC2-4E79-48E1-B248-84751889ED71}">
            <xm:f>S$20='Sprachen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8" id="{DA807016-F976-4245-A804-27DE8C778AB9}">
            <xm:f>W$20='Sprachen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9" id="{698944DB-B6D3-46B4-BAC2-0EC85DEB8F20}">
            <xm:f>W$20='Sprachen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6" id="{46569E22-F637-4C35-960C-770EE5045469}">
            <xm:f>AA$20='Sprachen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7" id="{725585C9-99E4-4C6A-A483-A70A8782D9ED}">
            <xm:f>AA$20='Sprachen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4" id="{EE2ACC45-2CD3-4A3D-9441-7CCD0E28915A}">
            <xm:f>AE$20='Sprachen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5" id="{7A55049A-A5B0-4AB6-A3E9-3C997D51CE7E}">
            <xm:f>AE$20='Sprachen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2" id="{E5F7DA40-9EC7-4924-97A1-7DB22029CE42}">
            <xm:f>AI$20='Sprachen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3" id="{27FFE937-8576-4FE7-A5C6-73C0E0BFC68C}">
            <xm:f>AI$20='Sprachen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90" id="{23BA8D3A-2BFB-4B57-A99F-68F79BBF440D}">
            <xm:f>AM$20='Sprachen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1" id="{59D92AA7-FD26-4EC0-AC8C-6563A0F67547}">
            <xm:f>AM$20='Sprachen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9" id="{F8489BF2-AE40-497A-A19E-7F219B4AA00C}">
            <xm:f>'Sprachen &amp; Rückgabewerte(4)'!$M$59=0</xm:f>
            <x14:dxf>
              <border>
                <top style="thin">
                  <color rgb="FFFF0000"/>
                </top>
                <vertical/>
                <horizontal/>
              </border>
            </x14:dxf>
          </x14:cfRule>
          <xm:sqref>L86:AB86</xm:sqref>
        </x14:conditionalFormatting>
        <x14:conditionalFormatting xmlns:xm="http://schemas.microsoft.com/office/excel/2006/main">
          <x14:cfRule type="expression" priority="188" id="{DF17AD66-E1CC-47B5-813D-1E7BF6A71010}">
            <xm:f>'Sprachen &amp; Rückgabewerte(4)'!$M$59=0</xm:f>
            <x14:dxf>
              <border>
                <bottom style="thin">
                  <color rgb="FFFF0000"/>
                </bottom>
                <vertical/>
                <horizontal/>
              </border>
            </x14:dxf>
          </x14:cfRule>
          <xm:sqref>L97:AB97</xm:sqref>
        </x14:conditionalFormatting>
        <x14:conditionalFormatting xmlns:xm="http://schemas.microsoft.com/office/excel/2006/main">
          <x14:cfRule type="expression" priority="187" id="{8A6BC44C-73A9-4D43-8B37-C15F0C46BC4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6" id="{D3D86A43-9E41-4EAE-9DDF-4EAFB0A2146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5" id="{8000CCAA-8602-420C-93CD-63AE616E651C}">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4" id="{5676B7B8-86CF-4C92-A6DB-BE4CEC2BC2DC}">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3" id="{03C1EB4A-B41A-480B-BD51-4BFAF547C5C2}">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2" id="{E864A3A0-FAF3-4145-9009-6F6572ED86AE}">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1" id="{A9323633-A552-4F53-A113-46A1D1B6B9C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80" id="{FF376EF1-FEB0-43A4-A40B-A3751916EA23}">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9" id="{81BA22C7-3E4F-4333-83D0-9647DF6C6BF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8" id="{AA919CCA-8835-42E5-ABB1-B5CA968DD56A}">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7" id="{0BF8076F-F28A-44DE-9E4F-5C9FE2CC7C00}">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6" id="{B2F663A6-C806-4F56-BB24-B5DCDA09BCC3}">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5" id="{EDAB71EC-2816-43F2-AE97-96BC81B3C7CA}">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4" id="{7480C948-23B0-476B-8F6B-EB6A63C05842}">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3" id="{2E153E9C-D41F-4EF9-B169-6262315A8F9D}">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2" id="{A276A12E-A07A-4CFC-9F25-90202BA3CA6A}">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1" id="{1BC28F45-6131-43F0-982F-8E11A5D079C5}">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38" id="{329BA33D-340B-415F-9CE6-056C4F63AD6E}">
            <xm:f>'Sprachen &amp; Rückgabewerte(4)'!$U$49=FALSE</xm:f>
            <x14:dxf>
              <border>
                <top style="thin">
                  <color rgb="FFFF0000"/>
                </top>
                <vertical/>
                <horizontal/>
              </border>
            </x14:dxf>
          </x14:cfRule>
          <x14:cfRule type="expression" priority="169" id="{E3D6D478-C25E-4C9E-9AB3-7934B87DEFFF}">
            <xm:f>'Sprachen &amp; Rückgabewerte(4)'!$I$133=TRUE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C2A054E8-915B-45FA-938C-C514C6DCECCE}">
            <xm:f>AND($AL$39="",'Sprachen &amp; Rückgabewerte(4)'!$I$22=TRUE)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8" id="{FB38B249-D9EB-4BF3-8263-16E2D2617947}">
            <xm:f>'Sprachen &amp; Rückgabewerte(4)'!$I$22=FALSE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6" id="{E81130B3-5B70-40EE-B3B0-1777C8DE982F}">
            <xm:f>'Sprachen &amp; Rückgabewerte(4)'!$I$36=FALSE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3" id="{DFFD550E-387A-4BD2-801D-DB7E4EFE412A}">
            <xm:f>'Sprachen &amp; Rückgabewerte(4)'!$I$39=FALSE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5" id="{8B3DECFA-BAC4-4526-9A7B-11666D09CBB5}">
            <xm:f>AND('Sprachen &amp; Rückgabewerte(4)'!$I$36=FALSE,'Sprachen &amp; Rückgabewerte(4)'!$I$39=FALSE)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2" id="{B85F6AEC-C509-4B64-8182-275D3D84900C}">
            <xm:f>'Sprachen &amp; Rückgabewerte(4)'!$I$45=FALSE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2" id="{96222690-BAC7-4651-8BE3-1080B2DAE415}">
            <xm:f>'Sprachen &amp; Rückgabewerte(4)'!$L$67=TRUE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1" id="{A7644E3F-6C61-406B-9CC2-7E82F1F52BF1}">
            <xm:f>'Sprachen &amp; Rückgabewerte(4)'!$L$68=TRUE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5" id="{D8C6DA54-503E-4ED9-8822-CCA3429AFDAA}">
            <xm:f>AND($AY$43&lt;&gt;0,'Sprachen &amp; Rückgabewerte(4)'!$I$19=TRUE)</xm:f>
            <x14:dxf>
              <border>
                <left style="thin">
                  <color rgb="FFFF0000"/>
                </left>
                <bottom/>
                <vertical/>
                <horizontal/>
              </border>
            </x14:dxf>
          </x14:cfRule>
          <x14:cfRule type="expression" priority="160" id="{873EE33B-1C65-455F-8B3A-F3C371A408A6}">
            <xm:f>'Sprachen &amp; Rückgabewerte(4)'!$L$51=0</xm:f>
            <x14:dxf>
              <border>
                <left style="thin">
                  <color rgb="FFFF0000"/>
                </left>
                <vertical/>
                <horizontal/>
              </border>
            </x14:dxf>
          </x14:cfRule>
          <xm:sqref>AD32:AD40</xm:sqref>
        </x14:conditionalFormatting>
        <x14:conditionalFormatting xmlns:xm="http://schemas.microsoft.com/office/excel/2006/main">
          <x14:cfRule type="expression" priority="94" id="{10344390-2587-42C0-96BA-ECAB1E73CBC9}">
            <xm:f>AND($AY$43&lt;&gt;0,'Sprachen &amp; Rückgabewerte(4)'!$I$19=TRUE)</xm:f>
            <x14:dxf>
              <border>
                <bottom style="thin">
                  <color rgb="FFFF0000"/>
                </bottom>
                <vertical/>
                <horizontal/>
              </border>
            </x14:dxf>
          </x14:cfRule>
          <x14:cfRule type="expression" priority="159" id="{87DE6111-6D3F-458B-85A2-4F6BB6C51BE0}">
            <xm:f>'Sprachen &amp; Rückgabewerte(4)'!$L$51=0</xm:f>
            <x14:dxf>
              <border>
                <bottom style="thin">
                  <color rgb="FFFF0000"/>
                </bottom>
                <vertical/>
                <horizontal/>
              </border>
            </x14:dxf>
          </x14:cfRule>
          <xm:sqref>AD40</xm:sqref>
        </x14:conditionalFormatting>
        <x14:conditionalFormatting xmlns:xm="http://schemas.microsoft.com/office/excel/2006/main">
          <x14:cfRule type="expression" priority="158" id="{1C299311-16A5-47C1-BBC6-77FDEEEB529E}">
            <xm:f>'Sprachen &amp; Rückgabewerte(4)'!$L$51=0</xm:f>
            <x14:dxf>
              <border>
                <top style="thin">
                  <color rgb="FFFF0000"/>
                </top>
                <vertical/>
                <horizontal/>
              </border>
            </x14:dxf>
          </x14:cfRule>
          <xm:sqref>AD32</xm:sqref>
        </x14:conditionalFormatting>
        <x14:conditionalFormatting xmlns:xm="http://schemas.microsoft.com/office/excel/2006/main">
          <x14:cfRule type="expression" priority="157" id="{820AC16C-B7C9-40B5-93A5-CEDCD7D21A1C}">
            <xm:f>'Sprachen &amp; Rückgabewerte(4)'!$L$52=0</xm:f>
            <x14:dxf>
              <border>
                <left style="thin">
                  <color rgb="FFFF0000"/>
                </left>
                <vertical/>
                <horizontal/>
              </border>
            </x14:dxf>
          </x14:cfRule>
          <xm:sqref>AD42:AD50</xm:sqref>
        </x14:conditionalFormatting>
        <x14:conditionalFormatting xmlns:xm="http://schemas.microsoft.com/office/excel/2006/main">
          <x14:cfRule type="expression" priority="156" id="{AA42190B-BA95-4FFE-B72C-DB8464F3FBBD}">
            <xm:f>'Sprachen &amp; Rückgabewerte(4)'!$L$52=0</xm:f>
            <x14:dxf>
              <border>
                <top style="thin">
                  <color rgb="FFFF0000"/>
                </top>
                <vertical/>
                <horizontal/>
              </border>
            </x14:dxf>
          </x14:cfRule>
          <xm:sqref>AD42</xm:sqref>
        </x14:conditionalFormatting>
        <x14:conditionalFormatting xmlns:xm="http://schemas.microsoft.com/office/excel/2006/main">
          <x14:cfRule type="expression" priority="155" id="{EBFFCBE1-58EC-4AA9-8EAE-D261AEA03314}">
            <xm:f>'Sprachen &amp; Rückgabewerte(4)'!$L$52=0</xm:f>
            <x14:dxf>
              <border>
                <bottom style="thin">
                  <color rgb="FFFF0000"/>
                </bottom>
                <vertical/>
                <horizontal/>
              </border>
            </x14:dxf>
          </x14:cfRule>
          <xm:sqref>AD50</xm:sqref>
        </x14:conditionalFormatting>
        <x14:conditionalFormatting xmlns:xm="http://schemas.microsoft.com/office/excel/2006/main">
          <x14:cfRule type="expression" priority="154" id="{42D783CF-DDEE-432D-AC08-018E3FFBD582}">
            <xm:f>'Sprachen &amp; Rückgabewerte(4)'!$L$53=0</xm:f>
            <x14:dxf>
              <border>
                <left style="thin">
                  <color rgb="FFFF0000"/>
                </left>
                <vertical/>
                <horizontal/>
              </border>
            </x14:dxf>
          </x14:cfRule>
          <xm:sqref>AD52:AD58</xm:sqref>
        </x14:conditionalFormatting>
        <x14:conditionalFormatting xmlns:xm="http://schemas.microsoft.com/office/excel/2006/main">
          <x14:cfRule type="expression" priority="153" id="{E979ACBF-340F-4EE0-B0C7-A51552B38E20}">
            <xm:f>'Sprachen &amp; Rückgabewerte(4)'!$L$53=0</xm:f>
            <x14:dxf>
              <border>
                <top style="thin">
                  <color rgb="FFFF0000"/>
                </top>
                <vertical/>
                <horizontal/>
              </border>
            </x14:dxf>
          </x14:cfRule>
          <xm:sqref>AD52</xm:sqref>
        </x14:conditionalFormatting>
        <x14:conditionalFormatting xmlns:xm="http://schemas.microsoft.com/office/excel/2006/main">
          <x14:cfRule type="expression" priority="152" id="{A9B01C3F-5A8A-46A1-A1C0-A82EE7D408F5}">
            <xm:f>'Sprachen &amp; Rückgabewerte(4)'!$L$53=0</xm:f>
            <x14:dxf>
              <border>
                <bottom style="thin">
                  <color rgb="FFFF0000"/>
                </bottom>
                <vertical/>
                <horizontal/>
              </border>
            </x14:dxf>
          </x14:cfRule>
          <xm:sqref>AD58</xm:sqref>
        </x14:conditionalFormatting>
        <x14:conditionalFormatting xmlns:xm="http://schemas.microsoft.com/office/excel/2006/main">
          <x14:cfRule type="expression" priority="151" id="{EFA8247F-DBE6-403F-B098-99DEBB36FB52}">
            <xm:f>'Sprachen &amp; Rückgabewerte(4)'!$L$54=0</xm:f>
            <x14:dxf>
              <border>
                <left style="thin">
                  <color rgb="FFFF0000"/>
                </left>
                <vertical/>
                <horizontal/>
              </border>
            </x14:dxf>
          </x14:cfRule>
          <xm:sqref>AD60:AD71</xm:sqref>
        </x14:conditionalFormatting>
        <x14:conditionalFormatting xmlns:xm="http://schemas.microsoft.com/office/excel/2006/main">
          <x14:cfRule type="expression" priority="150" id="{7AE87133-3E61-4785-82B4-4ADEDFAF6EFA}">
            <xm:f>'Sprachen &amp; Rückgabewerte(4)'!$L$54=0</xm:f>
            <x14:dxf>
              <border>
                <top style="thin">
                  <color rgb="FFFF0000"/>
                </top>
                <vertical/>
                <horizontal/>
              </border>
            </x14:dxf>
          </x14:cfRule>
          <xm:sqref>AD60</xm:sqref>
        </x14:conditionalFormatting>
        <x14:conditionalFormatting xmlns:xm="http://schemas.microsoft.com/office/excel/2006/main">
          <x14:cfRule type="expression" priority="149" id="{59FF368A-B03B-4802-AE6B-6470AD093816}">
            <xm:f>'Sprachen &amp; Rückgabewerte(4)'!$L$54=0</xm:f>
            <x14:dxf>
              <border>
                <bottom style="thin">
                  <color rgb="FFFF0000"/>
                </bottom>
                <vertical/>
                <horizontal/>
              </border>
            </x14:dxf>
          </x14:cfRule>
          <xm:sqref>AD71</xm:sqref>
        </x14:conditionalFormatting>
        <x14:conditionalFormatting xmlns:xm="http://schemas.microsoft.com/office/excel/2006/main">
          <x14:cfRule type="expression" priority="132" id="{EBD09770-14EB-4656-B07C-948E308DD6E4}">
            <xm:f>'Sprachen &amp; Rückgabewerte(4)'!$C$64=0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7" id="{6BE26F72-6DD0-4E7F-AD0A-A6254AF0CC27}">
            <xm:f>'Sprachen &amp; Rückgabewerte(4)'!$L$55=0</xm:f>
            <x14:dxf>
              <border>
                <left style="thin">
                  <color rgb="FFFF0000"/>
                </left>
                <vertical/>
                <horizontal/>
              </border>
            </x14:dxf>
          </x14:cfRule>
          <xm:sqref>AD83:AD93</xm:sqref>
        </x14:conditionalFormatting>
        <x14:conditionalFormatting xmlns:xm="http://schemas.microsoft.com/office/excel/2006/main">
          <x14:cfRule type="expression" priority="146" id="{4BBB7C72-0F09-42B1-AAF0-0C69B7C90013}">
            <xm:f>'Sprachen &amp; Rückgabewerte(4)'!$L$55=0</xm:f>
            <x14:dxf>
              <border>
                <top style="thin">
                  <color rgb="FFFF0000"/>
                </top>
                <vertical/>
                <horizontal/>
              </border>
            </x14:dxf>
          </x14:cfRule>
          <xm:sqref>AD83</xm:sqref>
        </x14:conditionalFormatting>
        <x14:conditionalFormatting xmlns:xm="http://schemas.microsoft.com/office/excel/2006/main">
          <x14:cfRule type="expression" priority="145" id="{63B250DE-A75D-4DE2-81D3-6CB058CB52C0}">
            <xm:f>'Sprachen &amp; Rückgabewerte(4)'!$L$55=0</xm:f>
            <x14:dxf>
              <border>
                <bottom style="thin">
                  <color rgb="FFFF0000"/>
                </bottom>
                <vertical/>
                <horizontal/>
              </border>
            </x14:dxf>
          </x14:cfRule>
          <xm:sqref>AD93</xm:sqref>
        </x14:conditionalFormatting>
        <x14:conditionalFormatting xmlns:xm="http://schemas.microsoft.com/office/excel/2006/main">
          <x14:cfRule type="expression" priority="122" id="{16C65A67-E2F1-4D98-83A2-96A761C9BC72}">
            <xm:f>AND($AE$85="",$AE$84='Sprachen &amp; Rückgabewerte(4)'!$H$89)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9" id="{672CF640-21B0-471E-97C8-6D7C269C453C}">
            <xm:f>$AE$84='Sprachen &amp; Rückgabewerte(4)'!$H$89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4" id="{5D7080CB-8C96-4799-B85A-7B294DF9AD55}">
            <xm:f>'Sprachen &amp; Rückgabewerte(4)'!$M$62=2</xm:f>
            <x14:dxf>
              <border>
                <left style="thin">
                  <color rgb="FFFF0000"/>
                </left>
                <vertical/>
                <horizontal/>
              </border>
            </x14:dxf>
          </x14:cfRule>
          <x14:cfRule type="expression" priority="285" id="{AE4C206F-DFFF-4CC4-979F-15DD6F39DCB2}">
            <xm:f>'Sprachen &amp; Rückgabewerte(4)'!$M$62=3</xm:f>
            <x14:dxf>
              <border>
                <left style="thin">
                  <color rgb="FFFF0000"/>
                </left>
                <vertical/>
                <horizontal/>
              </border>
            </x14:dxf>
          </x14:cfRule>
          <x14:cfRule type="expression" priority="286" id="{4B02A078-8D29-4E1E-9D9F-8F4470A6C31C}">
            <xm:f>'Sprachen &amp; Rückgabewerte(4)'!$M$59=0</xm:f>
            <x14:dxf>
              <border>
                <left style="thin">
                  <color rgb="FFFF0000"/>
                </left>
                <vertical/>
                <horizontal/>
              </border>
            </x14:dxf>
          </x14:cfRule>
          <xm:sqref>L86:L97</xm:sqref>
        </x14:conditionalFormatting>
        <x14:conditionalFormatting xmlns:xm="http://schemas.microsoft.com/office/excel/2006/main">
          <x14:cfRule type="expression" priority="287" id="{7B250955-325B-46D9-AC6C-1AA912634668}">
            <xm:f>'Sprachen &amp; Rückgabewerte(4)'!$C$48=FALSE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9" id="{993F8E5D-17E0-431F-B7BA-6775AE98CDCC}">
            <xm:f>'Sprachen &amp; Rückgabewerte(4)'!$M$62=3</xm:f>
            <x14:dxf>
              <border>
                <left style="thin">
                  <color rgb="FFFF0000"/>
                </left>
                <vertical/>
                <horizontal/>
              </border>
            </x14:dxf>
          </x14:cfRule>
          <x14:cfRule type="expression" priority="290" id="{07F30ADB-C304-4ECE-818E-51732073A841}">
            <xm:f>'Sprachen &amp; Rückgabewerte(4)'!$M$62=2</xm:f>
            <x14:dxf>
              <border>
                <left style="thin">
                  <color rgb="FFFF0000"/>
                </left>
                <vertical/>
                <horizontal/>
              </border>
            </x14:dxf>
          </x14:cfRule>
          <xm:sqref>C73:C97</xm:sqref>
        </x14:conditionalFormatting>
        <x14:conditionalFormatting xmlns:xm="http://schemas.microsoft.com/office/excel/2006/main">
          <x14:cfRule type="expression" priority="291" id="{A093AC06-D1B0-486D-BC27-8C6FFD6A4BF6}">
            <xm:f>'Sprachen &amp; Rückgabewerte(4)'!$M$62=2</xm:f>
            <x14:dxf>
              <border>
                <top style="thin">
                  <color rgb="FFFF0000"/>
                </top>
                <vertical/>
                <horizontal/>
              </border>
            </x14:dxf>
          </x14:cfRule>
          <x14:cfRule type="expression" priority="292" id="{3D6690DF-9867-473A-B447-93E4B1DACCBB}">
            <xm:f>'Sprachen &amp; Rückgabewerte(4)'!$M$62=3</xm:f>
            <x14:dxf>
              <border>
                <top style="thin">
                  <color rgb="FFFF0000"/>
                </top>
                <vertical/>
                <horizontal/>
              </border>
            </x14:dxf>
          </x14:cfRule>
          <xm:sqref>C73:AB73</xm:sqref>
        </x14:conditionalFormatting>
        <x14:conditionalFormatting xmlns:xm="http://schemas.microsoft.com/office/excel/2006/main">
          <x14:cfRule type="expression" priority="293" id="{7C7638C0-A7B6-4F25-844E-31E04E4215DB}">
            <xm:f>'Sprachen &amp; Rückgabewerte(4)'!$M$62=2</xm:f>
            <x14:dxf>
              <border>
                <right style="thin">
                  <color rgb="FFFF0000"/>
                </right>
                <vertical/>
                <horizontal/>
              </border>
            </x14:dxf>
          </x14:cfRule>
          <x14:cfRule type="expression" priority="294" id="{D66A6462-E993-43EF-A12B-C8B33DDE1A9A}">
            <xm:f>'Sprachen &amp; Rückgabewerte(4)'!$M$62=3</xm:f>
            <x14:dxf>
              <border>
                <right style="thin">
                  <color rgb="FFFF0000"/>
                </right>
                <vertical/>
                <horizontal/>
              </border>
            </x14:dxf>
          </x14:cfRule>
          <xm:sqref>AB73:AB85</xm:sqref>
        </x14:conditionalFormatting>
        <x14:conditionalFormatting xmlns:xm="http://schemas.microsoft.com/office/excel/2006/main">
          <x14:cfRule type="expression" priority="170" id="{5F9CBD66-8161-40EB-8895-277EEE953532}">
            <xm:f>'Sprachen &amp; Rückgabewerte(4)'!$M$62=2</xm:f>
            <x14:dxf>
              <border>
                <bottom style="thin">
                  <color rgb="FFFF0000"/>
                </bottom>
                <vertical/>
                <horizontal/>
              </border>
            </x14:dxf>
          </x14:cfRule>
          <x14:cfRule type="expression" priority="206" id="{97955FEA-F40A-4C38-9B70-D5158A12399F}">
            <xm:f>'Sprachen &amp; Rückgabewerte(4)'!$M$62=3</xm:f>
            <x14:dxf>
              <border>
                <bottom style="thin">
                  <color rgb="FFFF0000"/>
                </bottom>
                <vertical/>
                <horizontal/>
              </border>
            </x14:dxf>
          </x14:cfRule>
          <xm:sqref>L85:AB85</xm:sqref>
        </x14:conditionalFormatting>
        <x14:conditionalFormatting xmlns:xm="http://schemas.microsoft.com/office/excel/2006/main">
          <x14:cfRule type="expression" priority="297" id="{4EAEDABB-1A44-4FF8-9EE4-2CF4EDC8E814}">
            <xm:f>'Sprachen &amp; Rückgabewerte(4)'!$M$62=3</xm:f>
            <x14:dxf>
              <border>
                <bottom style="thin">
                  <color rgb="FFFF0000"/>
                </bottom>
                <vertical/>
                <horizontal/>
              </border>
            </x14:dxf>
          </x14:cfRule>
          <x14:cfRule type="expression" priority="298" id="{ACBBE823-B848-45B6-93C5-019E9DC7B66C}">
            <xm:f>'Sprachen &amp; Rückgabewerte(4)'!$M$62=2</xm:f>
            <x14:dxf>
              <border>
                <bottom style="thin">
                  <color rgb="FFFF0000"/>
                </bottom>
                <vertical/>
                <horizontal/>
              </border>
            </x14:dxf>
          </x14:cfRule>
          <xm:sqref>C97:K97</xm:sqref>
        </x14:conditionalFormatting>
        <x14:conditionalFormatting xmlns:xm="http://schemas.microsoft.com/office/excel/2006/main">
          <x14:cfRule type="expression" priority="299" id="{4870B74E-86A0-4048-B562-DEA1D549EC93}">
            <xm:f>'Sprachen &amp; Rückgabewerte(4)'!$M$60=0</xm:f>
            <x14:dxf>
              <border>
                <left style="thin">
                  <color rgb="FFFF0000"/>
                </left>
                <vertical/>
                <horizontal/>
              </border>
            </x14:dxf>
          </x14:cfRule>
          <xm:sqref>M73:M85</xm:sqref>
        </x14:conditionalFormatting>
        <x14:conditionalFormatting xmlns:xm="http://schemas.microsoft.com/office/excel/2006/main">
          <x14:cfRule type="expression" priority="300" id="{74E4E757-BC0E-4D10-A81B-88F9F71648B1}">
            <xm:f>'Sprachen &amp; Rückgabewerte(4)'!$M$60=0</xm:f>
            <x14:dxf>
              <border>
                <top style="thin">
                  <color rgb="FFFF0000"/>
                </top>
                <vertical/>
                <horizontal/>
              </border>
            </x14:dxf>
          </x14:cfRule>
          <xm:sqref>M73:S73</xm:sqref>
        </x14:conditionalFormatting>
        <x14:conditionalFormatting xmlns:xm="http://schemas.microsoft.com/office/excel/2006/main">
          <x14:cfRule type="expression" priority="301" id="{04CD5401-E178-46EF-8CA1-401BC8E7CF72}">
            <xm:f>'Sprachen &amp; Rückgabewerte(4)'!$M$60=0</xm:f>
            <x14:dxf>
              <border>
                <right style="thin">
                  <color rgb="FFFF0000"/>
                </right>
                <vertical/>
                <horizontal/>
              </border>
            </x14:dxf>
          </x14:cfRule>
          <xm:sqref>S73:S85</xm:sqref>
        </x14:conditionalFormatting>
        <x14:conditionalFormatting xmlns:xm="http://schemas.microsoft.com/office/excel/2006/main">
          <x14:cfRule type="expression" priority="295" id="{4DD7C0B8-FB6F-4395-9129-582881FCAB73}">
            <xm:f>'Sprachen &amp; Rückgabewerte(4)'!$M$60=0</xm:f>
            <x14:dxf>
              <border>
                <bottom style="thin">
                  <color rgb="FFFF0000"/>
                </bottom>
                <vertical/>
                <horizontal/>
              </border>
            </x14:dxf>
          </x14:cfRule>
          <xm:sqref>M85:S85</xm:sqref>
        </x14:conditionalFormatting>
        <x14:conditionalFormatting xmlns:xm="http://schemas.microsoft.com/office/excel/2006/main">
          <x14:cfRule type="expression" priority="303" id="{4775D32E-B8D7-4110-953E-B6E0F9AB1BDE}">
            <xm:f>'Sprachen &amp; Rückgabewerte(4)'!$M$56=0</xm:f>
            <x14:dxf>
              <border>
                <left style="thin">
                  <color rgb="FFFF0000"/>
                </left>
                <vertical/>
                <horizontal/>
              </border>
            </x14:dxf>
          </x14:cfRule>
          <xm:sqref>C62:C72</xm:sqref>
        </x14:conditionalFormatting>
        <x14:conditionalFormatting xmlns:xm="http://schemas.microsoft.com/office/excel/2006/main">
          <x14:cfRule type="expression" priority="142" id="{88A92CCB-ACBA-4D7B-9108-7729AE97DC40}">
            <xm:f>'Sprachen &amp; Rückgabewerte(4)'!$M$56=0</xm:f>
            <x14:dxf>
              <border>
                <bottom style="thin">
                  <color rgb="FFFF0000"/>
                </bottom>
                <vertical/>
                <horizontal/>
              </border>
            </x14:dxf>
          </x14:cfRule>
          <xm:sqref>C72:AB72</xm:sqref>
        </x14:conditionalFormatting>
        <x14:conditionalFormatting xmlns:xm="http://schemas.microsoft.com/office/excel/2006/main">
          <x14:cfRule type="expression" priority="305" id="{D492C9BC-535E-4702-B764-F33B7BB648B8}">
            <xm:f>'Sprachen &amp; Rückgabewerte(4)'!$M$56=0</xm:f>
            <x14:dxf>
              <border>
                <right style="thin">
                  <color rgb="FFFF0000"/>
                </right>
                <vertical/>
                <horizontal/>
              </border>
            </x14:dxf>
          </x14:cfRule>
          <xm:sqref>AB62:AB72</xm:sqref>
        </x14:conditionalFormatting>
        <x14:conditionalFormatting xmlns:xm="http://schemas.microsoft.com/office/excel/2006/main">
          <x14:cfRule type="expression" priority="306" id="{AA57F60D-148E-4F6B-8864-0204315C1422}">
            <xm:f>'Sprachen &amp; Rückgabewerte(4)'!$M$56=0</xm:f>
            <x14:dxf>
              <border>
                <top style="thin">
                  <color rgb="FFFF0000"/>
                </top>
                <vertical/>
                <horizontal/>
              </border>
            </x14:dxf>
          </x14:cfRule>
          <xm:sqref>C62:AB62</xm:sqref>
        </x14:conditionalFormatting>
        <x14:conditionalFormatting xmlns:xm="http://schemas.microsoft.com/office/excel/2006/main">
          <x14:cfRule type="expression" priority="127" id="{04E3F717-FC65-41FA-AB7D-76D76D2137FB}">
            <xm:f>'Sprachen &amp; Rückgabewerte(4)'!$M$66=FALSE</xm:f>
            <x14:dxf>
              <border>
                <left style="thin">
                  <color rgb="FFFF0000"/>
                </left>
                <vertical/>
                <horizontal/>
              </border>
            </x14:dxf>
          </x14:cfRule>
          <xm:sqref>AD73:AD81</xm:sqref>
        </x14:conditionalFormatting>
        <x14:conditionalFormatting xmlns:xm="http://schemas.microsoft.com/office/excel/2006/main">
          <x14:cfRule type="expression" priority="126" id="{2BF53BC4-BA1C-407A-91A0-D9A2FD680A1A}">
            <xm:f>'Sprachen &amp; Rückgabewerte(4)'!$M$66=FALSE</xm:f>
            <x14:dxf>
              <border>
                <top style="thin">
                  <color rgb="FFFF0000"/>
                </top>
                <vertical/>
                <horizontal/>
              </border>
            </x14:dxf>
          </x14:cfRule>
          <xm:sqref>AD73:AT73</xm:sqref>
        </x14:conditionalFormatting>
        <x14:conditionalFormatting xmlns:xm="http://schemas.microsoft.com/office/excel/2006/main">
          <x14:cfRule type="expression" priority="125" id="{F1B984E0-AE41-4A6E-BE0A-F49DF14324F3}">
            <xm:f>'Sprachen &amp; Rückgabewerte(4)'!$M$66=FALSE</xm:f>
            <x14:dxf>
              <border>
                <right style="thin">
                  <color rgb="FFFF0000"/>
                </right>
                <vertical/>
                <horizontal/>
              </border>
            </x14:dxf>
          </x14:cfRule>
          <xm:sqref>AT73:AT81</xm:sqref>
        </x14:conditionalFormatting>
        <x14:conditionalFormatting xmlns:xm="http://schemas.microsoft.com/office/excel/2006/main">
          <x14:cfRule type="expression" priority="124" id="{E20B5306-8C27-4008-8B3E-F572CD4761B4}">
            <xm:f>'Sprachen &amp; Rückgabewerte(4)'!$M$66=FALSE</xm:f>
            <x14:dxf>
              <border>
                <bottom style="thin">
                  <color rgb="FFFF0000"/>
                </bottom>
                <vertical/>
                <horizontal/>
              </border>
            </x14:dxf>
          </x14:cfRule>
          <xm:sqref>AD81:AT81</xm:sqref>
        </x14:conditionalFormatting>
        <x14:conditionalFormatting xmlns:xm="http://schemas.microsoft.com/office/excel/2006/main">
          <x14:cfRule type="expression" priority="119" id="{10611963-07DB-4A99-BC55-4DB23F840D43}">
            <xm:f>'Sprachen &amp; Rückgabewerte(4)'!$I$5=FALSE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100" id="{8AC0C8B0-5BD0-4D43-AE05-BBF2BC5462C9}">
            <xm:f>'Sprachen &amp; Rückgabewerte(4)'!$I$19=FALSE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7" id="{8AE35647-2205-4E03-A864-B29AF83748C5}">
            <xm:f>'Sprachen &amp; Rückgabewerte(4)'!$I$13=FALSE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99" id="{E802EF27-BA91-458D-8DAB-E1DDFAE2AA3B}">
            <xm:f>AND($AY$43&lt;&gt;0,'Sprachen &amp; Rückgabewerte(4)'!$I$19=TRUE)</xm:f>
            <x14:dxf>
              <border>
                <top style="thin">
                  <color rgb="FFFF0000"/>
                </top>
                <vertical/>
                <horizontal/>
              </border>
            </x14:dxf>
          </x14:cfRule>
          <x14:cfRule type="expression" priority="104" id="{768E118F-7F6E-42A9-94EB-B37376ED479F}">
            <xm:f>'Sprachen &amp; Rückgabewerte(4)'!$I$19=FALSE</xm:f>
            <x14:dxf>
              <border>
                <top/>
                <vertical/>
                <horizontal/>
              </border>
            </x14:dxf>
          </x14:cfRule>
          <xm:sqref>AU32:AV32</xm:sqref>
        </x14:conditionalFormatting>
        <x14:conditionalFormatting xmlns:xm="http://schemas.microsoft.com/office/excel/2006/main">
          <x14:cfRule type="expression" priority="103" id="{234A6578-3013-481A-98C6-DA27A3DD475A}">
            <xm:f>AND($AY$43&lt;&gt;0,'Sprachen &amp; Rückgabewerte(4)'!$I$19=TRUE)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2" id="{50D40B68-55EC-4ADC-B19B-F9CF09F25B70}">
            <xm:f>AND($AY$43&lt;&gt;0,'Sprachen &amp; Rückgabewerte(4)'!$I$19=TRUE)</xm:f>
            <x14:dxf>
              <border>
                <right style="thin">
                  <color rgb="FFFF0000"/>
                </right>
                <vertical/>
                <horizontal/>
              </border>
            </x14:dxf>
          </x14:cfRule>
          <xm:sqref>BA33:BA43</xm:sqref>
        </x14:conditionalFormatting>
        <x14:conditionalFormatting xmlns:xm="http://schemas.microsoft.com/office/excel/2006/main">
          <x14:cfRule type="expression" priority="101" id="{8A9485B2-6742-4C5F-ABA8-06E4B827E425}">
            <xm:f>AND($AY$43&lt;&gt;0,'Sprachen &amp; Rückgabewerte(4)'!$I$19=TRUE)</xm:f>
            <x14:dxf>
              <border>
                <bottom style="thin">
                  <color rgb="FFFF0000"/>
                </bottom>
                <vertical/>
                <horizontal/>
              </border>
            </x14:dxf>
          </x14:cfRule>
          <xm:sqref>AW43:BA43</xm:sqref>
        </x14:conditionalFormatting>
        <x14:conditionalFormatting xmlns:xm="http://schemas.microsoft.com/office/excel/2006/main">
          <x14:cfRule type="expression" priority="105" id="{2D5F3A9C-7824-49F2-90C4-3952C5351FA3}">
            <xm:f>AND($AY$43&lt;&gt;0,'Sprachen &amp; Rückgabewerte(4)'!$I$19=TRUE)</xm:f>
            <x14:dxf>
              <border>
                <left style="thin">
                  <color rgb="FFFF0000"/>
                </left>
                <vertical/>
                <horizontal/>
              </border>
            </x14:dxf>
          </x14:cfRule>
          <xm:sqref>AW33:AW43</xm:sqref>
        </x14:conditionalFormatting>
        <x14:conditionalFormatting xmlns:xm="http://schemas.microsoft.com/office/excel/2006/main">
          <x14:cfRule type="expression" priority="98" id="{59D992F8-7DDA-4982-8F77-A7D85D859522}">
            <xm:f>AND($AY$43&lt;&gt;0,'Sprachen &amp; Rückgabewerte(4)'!$I$19=TRUE)</xm:f>
            <x14:dxf>
              <border>
                <top style="thin">
                  <color rgb="FFFF0000"/>
                </top>
                <vertical/>
                <horizontal/>
              </border>
            </x14:dxf>
          </x14:cfRule>
          <xm:sqref>AD32:AT32</xm:sqref>
        </x14:conditionalFormatting>
        <x14:conditionalFormatting xmlns:xm="http://schemas.microsoft.com/office/excel/2006/main">
          <x14:cfRule type="expression" priority="96" id="{4B65E461-50D2-4D88-9D8B-9B869F033AB8}">
            <xm:f>AND($AY$43&lt;&gt;0,'Sprachen &amp; Rückgabewerte(4)'!$I$19=TRUE)</xm:f>
            <x14:dxf>
              <border>
                <bottom style="thin">
                  <color rgb="FFFF0000"/>
                </bottom>
                <vertical/>
                <horizontal/>
              </border>
            </x14:dxf>
          </x14:cfRule>
          <xm:sqref>AD40:AT40</xm:sqref>
        </x14:conditionalFormatting>
        <x14:conditionalFormatting xmlns:xm="http://schemas.microsoft.com/office/excel/2006/main">
          <x14:cfRule type="expression" priority="93" id="{2347315C-D2E6-4313-B27D-2A68F1F4A680}">
            <xm:f>AND('Sprachen &amp; Rückgabewerte(4)'!$I$50=TRUE,'Sprachen &amp; Rückgabewerte(4)'!$C$95&lt;&gt;0)</xm:f>
            <x14:dxf>
              <border>
                <top style="thin">
                  <color rgb="FFFF0000"/>
                </top>
                <vertical/>
                <horizontal/>
              </border>
            </x14:dxf>
          </x14:cfRule>
          <xm:sqref>B101:AU101</xm:sqref>
        </x14:conditionalFormatting>
        <x14:conditionalFormatting xmlns:xm="http://schemas.microsoft.com/office/excel/2006/main">
          <x14:cfRule type="expression" priority="92" id="{0FD7D81C-37C6-45E5-854C-EF85E8335C2E}">
            <xm:f>AND('Sprachen &amp; Rückgabewerte(4)'!$I$50=TRUE,'Sprachen &amp; Rückgabewerte(4)'!$C$95&lt;&gt;0)</xm:f>
            <x14:dxf>
              <border>
                <right style="thin">
                  <color rgb="FFFF0000"/>
                </right>
                <vertical/>
                <horizontal/>
              </border>
            </x14:dxf>
          </x14:cfRule>
          <xm:sqref>AU101:AU136</xm:sqref>
        </x14:conditionalFormatting>
        <x14:conditionalFormatting xmlns:xm="http://schemas.microsoft.com/office/excel/2006/main">
          <x14:cfRule type="expression" priority="91" id="{0A6FBDF7-7F1F-4EA8-B115-116893554B3C}">
            <xm:f>AND('Sprachen &amp; Rückgabewerte(4)'!$I$50=TRUE,'Sprachen &amp; Rückgabewerte(4)'!$C$95&lt;&gt;0)</xm:f>
            <x14:dxf>
              <border>
                <bottom style="thin">
                  <color rgb="FFFF0000"/>
                </bottom>
                <vertical/>
                <horizontal/>
              </border>
            </x14:dxf>
          </x14:cfRule>
          <xm:sqref>B136:AU136</xm:sqref>
        </x14:conditionalFormatting>
        <x14:conditionalFormatting xmlns:xm="http://schemas.microsoft.com/office/excel/2006/main">
          <x14:cfRule type="expression" priority="90" id="{D95E8A71-1BBA-4EA7-8191-3C1A6FD940D3}">
            <xm:f>AND('Sprachen &amp; Rückgabewerte(4)'!$I$50=TRUE,'Sprachen &amp; Rückgabewerte(4)'!$C$95&lt;&gt;0)</xm:f>
            <x14:dxf>
              <border>
                <left style="thin">
                  <color rgb="FFFF0000"/>
                </left>
                <vertical/>
                <horizontal/>
              </border>
            </x14:dxf>
          </x14:cfRule>
          <xm:sqref>B101:B136</xm:sqref>
        </x14:conditionalFormatting>
        <x14:conditionalFormatting xmlns:xm="http://schemas.microsoft.com/office/excel/2006/main">
          <x14:cfRule type="expression" priority="89" id="{4DE55504-B9CE-4F3E-A3A0-E3194D790B4A}">
            <xm:f>AND('Sprachen &amp; Rückgabewerte(4)'!$I$50=TRUE,'Sprachen &amp; Rückgabewerte(4)'!$C$95&lt;&gt;0)</xm:f>
            <x14:dxf>
              <border>
                <top style="thin">
                  <color rgb="FFFF0000"/>
                </top>
                <bottom/>
                <vertical/>
                <horizontal/>
              </border>
            </x14:dxf>
          </x14:cfRule>
          <xm:sqref>AV101</xm:sqref>
        </x14:conditionalFormatting>
        <x14:conditionalFormatting xmlns:xm="http://schemas.microsoft.com/office/excel/2006/main">
          <x14:cfRule type="expression" priority="85" id="{FDAB3FBE-0ACA-4AF9-A283-5FA2EAFEC89F}">
            <xm:f>'Sprachen &amp; Rückgabewerte(4)'!$I$50=FALSE</xm:f>
            <x14:dxf>
              <border>
                <right/>
                <vertical/>
                <horizontal/>
              </border>
            </x14:dxf>
          </x14:cfRule>
          <x14:cfRule type="expression" priority="88" id="{A717FA44-686C-4B4F-89DC-61E08AE26580}">
            <xm:f>AND('Sprachen &amp; Rückgabewerte(4)'!$I$50=TRUE,'Sprachen &amp; Rückgabewerte(4)'!$C$95&lt;&gt;0)</xm:f>
            <x14:dxf>
              <border>
                <right style="thin">
                  <color rgb="FFFF0000"/>
                </right>
                <vertical/>
                <horizontal/>
              </border>
            </x14:dxf>
          </x14:cfRule>
          <xm:sqref>AV84:AV100</xm:sqref>
        </x14:conditionalFormatting>
        <x14:conditionalFormatting xmlns:xm="http://schemas.microsoft.com/office/excel/2006/main">
          <x14:cfRule type="expression" priority="86" id="{9660F7B7-6DA8-4E8F-AD52-1EABBB8EE16F}">
            <xm:f>'Sprachen &amp; Rückgabewerte(4)'!$I$50=FALSE</xm:f>
            <x14:dxf>
              <border>
                <top/>
                <vertical/>
                <horizontal/>
              </border>
            </x14:dxf>
          </x14:cfRule>
          <x14:cfRule type="expression" priority="87" id="{9559130C-02AA-4C06-B1E5-211FFCC86AA7}">
            <xm:f>AND('Sprachen &amp; Rückgabewerte(4)'!$I$50=TRUE,'Sprachen &amp; Rückgabewerte(4)'!$C$95&lt;&gt;0)</xm:f>
            <x14:dxf>
              <border>
                <top style="thin">
                  <color rgb="FFFF0000"/>
                </top>
                <vertical/>
                <horizontal/>
              </border>
            </x14:dxf>
          </x14:cfRule>
          <xm:sqref>AU84:AV84</xm:sqref>
        </x14:conditionalFormatting>
        <x14:conditionalFormatting xmlns:xm="http://schemas.microsoft.com/office/excel/2006/main">
          <x14:cfRule type="expression" priority="84" id="{97D3BAD9-2C3F-4BD0-B6AD-6758F6595A1C}">
            <xm:f>'Sprachen &amp; Rückgabewerte(4)'!$I$50=FALSE</xm:f>
            <x14:dxf>
              <border>
                <bottom/>
                <vertical/>
                <horizontal/>
              </border>
            </x14:dxf>
          </x14:cfRule>
          <xm:sqref>AV100</xm:sqref>
        </x14:conditionalFormatting>
        <x14:conditionalFormatting xmlns:xm="http://schemas.microsoft.com/office/excel/2006/main">
          <x14:cfRule type="expression" priority="73" id="{273DC756-A849-4DB8-AE47-AE1555A1474F}">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141614BB-D337-4573-805D-079B099B1CB9}">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8" id="{944682BD-02B2-45A9-B741-EAB3BB4E7179}">
            <xm:f>'Sprachen &amp; Rückgabewerte(4)'!$S$41=1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9" id="{599A19A7-53E6-4CF8-9A0E-6A1C1B955BB9}">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10" id="{19960AA4-771D-4930-9C90-7F6BCDF2D4AE}">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1" id="{C2F7CD58-31D2-4EDB-814B-7821D442458E}">
            <xm:f>'Sprachen &amp; Rückgabewerte(4)'!$S$41=3</xm:f>
            <x14:dxf>
              <font>
                <b/>
                <i val="0"/>
                <color theme="1"/>
              </font>
            </x14:dxf>
          </x14:cfRule>
          <x14:cfRule type="expression" priority="312" id="{420B78E0-CF62-4F83-B3C1-8FCEC826389C}">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3" id="{F5D57956-75B1-46E5-B8C3-174B2F475165}">
            <xm:f>'Sprachen &amp; Rückgabewerte(4)'!$S$41=3</xm:f>
            <x14:dxf>
              <font>
                <b/>
                <i val="0"/>
                <color theme="1"/>
              </font>
            </x14:dxf>
          </x14:cfRule>
          <xm:sqref>L46</xm:sqref>
        </x14:conditionalFormatting>
        <x14:conditionalFormatting xmlns:xm="http://schemas.microsoft.com/office/excel/2006/main">
          <x14:cfRule type="expression" priority="314" id="{04AFC4DB-9239-437E-9C5B-180E470FB9DC}">
            <xm:f>'Sprachen &amp; Rückgabewerte(4)'!$S$41=2</xm:f>
            <x14:dxf>
              <font>
                <b/>
                <i val="0"/>
                <color theme="1"/>
              </font>
            </x14:dxf>
          </x14:cfRule>
          <x14:cfRule type="expression" priority="315" id="{BFB00652-1AE6-41D1-9F6C-AECA02A5B08C}">
            <xm:f>'Sprachen &amp; Rückgabewerte(4)'!$S$41=3</xm:f>
            <x14:dxf>
              <font>
                <b/>
                <i val="0"/>
                <color theme="1"/>
              </font>
            </x14:dxf>
          </x14:cfRule>
          <xm:sqref>L47</xm:sqref>
        </x14:conditionalFormatting>
        <x14:conditionalFormatting xmlns:xm="http://schemas.microsoft.com/office/excel/2006/main">
          <x14:cfRule type="expression" priority="316" id="{515BE934-C5CA-4FCC-887A-9165C1D9CDB4}">
            <xm:f>'Sprachen &amp; Rückgabewerte(4)'!$S$41=3</xm:f>
            <x14:dxf>
              <font>
                <b/>
                <i val="0"/>
                <color theme="1"/>
              </font>
            </x14:dxf>
          </x14:cfRule>
          <x14:cfRule type="expression" priority="317" id="{CF2DFFEF-E5F2-451A-8235-F765E0EA330B}">
            <xm:f>'Sprachen &amp; Rückgabewerte(4)'!$S$41=2</xm:f>
            <x14:dxf>
              <font>
                <b/>
                <i val="0"/>
                <color theme="1"/>
              </font>
            </x14:dxf>
          </x14:cfRule>
          <x14:cfRule type="expression" priority="318" id="{206559FE-B5BD-4D90-B62A-F0E2737475F3}">
            <xm:f>'Sprachen &amp; Rückgabewerte(4)'!$S$41=1</xm:f>
            <x14:dxf>
              <font>
                <b/>
                <i val="0"/>
                <color theme="1"/>
              </font>
            </x14:dxf>
          </x14:cfRule>
          <xm:sqref>L48</xm:sqref>
        </x14:conditionalFormatting>
        <x14:conditionalFormatting xmlns:xm="http://schemas.microsoft.com/office/excel/2006/main">
          <x14:cfRule type="expression" priority="81" id="{CA4C59F2-CA50-42DB-B4E9-DA7244C9913F}">
            <xm:f>'Sprachen &amp; Rückgabewerte(4)'!$M$71=0</xm:f>
            <x14:dxf>
              <border>
                <top style="thin">
                  <color rgb="FFFF0000"/>
                </top>
                <vertical/>
                <horizontal/>
              </border>
            </x14:dxf>
          </x14:cfRule>
          <xm:sqref>AW45:AX45</xm:sqref>
        </x14:conditionalFormatting>
        <x14:conditionalFormatting xmlns:xm="http://schemas.microsoft.com/office/excel/2006/main">
          <x14:cfRule type="expression" priority="80" id="{09536B0A-DD85-4225-99CA-394BD277B3C7}">
            <xm:f>'Sprachen &amp; Rückgabewerte(4)'!$M$71=0</xm:f>
            <x14:dxf>
              <border>
                <right style="thin">
                  <color rgb="FFFF0000"/>
                </right>
                <vertical/>
                <horizontal/>
              </border>
            </x14:dxf>
          </x14:cfRule>
          <xm:sqref>AX45:AX47 AW48:AX48 AX49</xm:sqref>
        </x14:conditionalFormatting>
        <x14:conditionalFormatting xmlns:xm="http://schemas.microsoft.com/office/excel/2006/main">
          <x14:cfRule type="expression" priority="79" id="{26BA519B-D8E7-46C0-8BAF-C3F4F3F4C369}">
            <xm:f>'Sprachen &amp; Rückgabewerte(4)'!$M$71=0</xm:f>
            <x14:dxf>
              <border>
                <bottom style="thin">
                  <color rgb="FFFF0000"/>
                </bottom>
                <vertical/>
                <horizontal/>
              </border>
            </x14:dxf>
          </x14:cfRule>
          <xm:sqref>AW49:AX49</xm:sqref>
        </x14:conditionalFormatting>
        <x14:conditionalFormatting xmlns:xm="http://schemas.microsoft.com/office/excel/2006/main">
          <x14:cfRule type="expression" priority="78" id="{E97A4C54-49CF-4AE5-AD90-43D26C972E1F}">
            <xm:f>'Sprachen &amp; Rückgabewerte(4)'!$M$71=0</xm:f>
            <x14:dxf>
              <border>
                <left style="thin">
                  <color rgb="FFFF0000"/>
                </left>
                <vertical/>
                <horizontal/>
              </border>
            </x14:dxf>
          </x14:cfRule>
          <xm:sqref>AW49 AW48:AX48 AW45:AW47</xm:sqref>
        </x14:conditionalFormatting>
        <x14:conditionalFormatting xmlns:xm="http://schemas.microsoft.com/office/excel/2006/main">
          <x14:cfRule type="expression" priority="75" id="{743760A1-CCDF-4A89-AFF6-E0C752DC1E2A}">
            <xm:f>'Sprachen &amp; Rückgabewerte(4)'!$L$71=1</xm:f>
            <x14:dxf>
              <font>
                <color theme="0" tint="-0.14996795556505021"/>
              </font>
              <fill>
                <patternFill>
                  <bgColor theme="0" tint="-0.14996795556505021"/>
                </patternFill>
              </fill>
              <border>
                <top/>
                <vertical/>
                <horizontal/>
              </border>
            </x14:dxf>
          </x14:cfRule>
          <x14:cfRule type="expression" priority="77" id="{1CA86B77-0A89-43CF-8EDD-E9D081DAE6B0}">
            <xm:f>'Sprachen &amp; Rückgabewerte(4)'!$M$71=0</xm:f>
            <x14:dxf>
              <border>
                <top style="thin">
                  <color rgb="FFFF0000"/>
                </top>
                <vertical/>
                <horizontal/>
              </border>
            </x14:dxf>
          </x14:cfRule>
          <xm:sqref>AU45:AV45</xm:sqref>
        </x14:conditionalFormatting>
        <x14:conditionalFormatting xmlns:xm="http://schemas.microsoft.com/office/excel/2006/main">
          <x14:cfRule type="expression" priority="76" id="{9EEAC621-362F-4FE9-B726-CFD0656BBFF9}">
            <xm:f>'Sprachen &amp; Rückgabewerte(4)'!$L$71=1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5" id="{822B50C5-DCEC-456A-B689-D649E055C94D}">
            <xm:f>'Sprachen &amp; Rückgabewerte(4)'!$I$50=FALSE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4" id="{9DFA68AE-078E-4BBF-846E-6B90A2FC9A1E}">
            <xm:f>'Sprachen &amp; Rückgabewerte(4)'!$I$50=FALSE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3" id="{B46560E2-B35F-4486-B241-1A478F1B03CF}">
            <xm:f>$AX$19='Sprachen &amp; Rückgabewerte(4)'!$H$155</xm:f>
            <x14:dxf>
              <font>
                <color rgb="FFFF0000"/>
              </font>
            </x14:dxf>
          </x14:cfRule>
          <xm:sqref>AX19:BA20</xm:sqref>
        </x14:conditionalFormatting>
        <x14:conditionalFormatting xmlns:xm="http://schemas.microsoft.com/office/excel/2006/main">
          <x14:cfRule type="expression" priority="50" id="{B0457603-3283-4FB8-8DE5-4E078CC9F0B4}">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3" id="{1FBB4455-246F-4930-AC66-28E94350E8A9}">
            <xm:f>$AN$80&lt;&gt;'Sprachen &amp; Rückgabewerte(4)'!$H$85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2" id="{95E15254-8E73-4564-B214-CB4EEA8901D4}">
            <xm:f>$AN$80&lt;&gt;'Sprachen &amp; Rückgabewerte(4)'!$H$86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7" id="{F56F8ED7-EA93-41D6-BD39-F1377C732C2A}">
            <xm:f>'Sprachen &amp; Rückgabewerte(4)'!$U$49=FALSE</xm:f>
            <x14:dxf>
              <border>
                <left style="thin">
                  <color rgb="FFFF0000"/>
                </left>
                <vertical/>
                <horizontal/>
              </border>
            </x14:dxf>
          </x14:cfRule>
          <xm:sqref>E22:H26</xm:sqref>
        </x14:conditionalFormatting>
        <x14:conditionalFormatting xmlns:xm="http://schemas.microsoft.com/office/excel/2006/main">
          <x14:cfRule type="expression" priority="35" id="{95801B4E-4D8F-4C59-BD81-00D5181BA916}">
            <xm:f>'Sprachen &amp; Rückgabewerte(4)'!$U$49=FALSE</xm:f>
            <x14:dxf>
              <border>
                <right style="thin">
                  <color rgb="FFFF0000"/>
                </right>
                <vertical/>
                <horizontal/>
              </border>
            </x14:dxf>
          </x14:cfRule>
          <xm:sqref>AO22:AR26</xm:sqref>
        </x14:conditionalFormatting>
        <x14:conditionalFormatting xmlns:xm="http://schemas.microsoft.com/office/excel/2006/main">
          <x14:cfRule type="expression" priority="34" id="{7964CFE6-F482-44DA-B792-616DEF51BBE4}">
            <xm:f>'Sprachen &amp; Rückgabewerte(4)'!$I$39=FALSE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1" id="{4FA2563E-699C-40AE-9746-9A653F0253F9}">
            <xm:f>'Sprachen &amp; Rückgabewerte(4)'!$I$39=FALSE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0" id="{26A08278-3789-4E45-AFE3-FCB663650125}">
            <xm:f>AND('Sprachen &amp; Rückgabewerte(4)'!$C$16=1,$F$16="")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9" id="{316F4339-32E9-4E8F-A38C-88A3BC8760DC}">
            <xm:f>AND('Sprachen &amp; Rückgabewerte(4)'!$C$17=1,$J$16="")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8" id="{53741034-D6C9-4E68-AE40-14F5A812E907}">
            <xm:f>AND('Sprachen &amp; Rückgabewerte(4)'!$C$18=1,$N$16="")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7" id="{890B0A6B-D842-4A4F-9CB4-A8249B8EA82B}">
            <xm:f>AND('Sprachen &amp; Rückgabewerte(4)'!$C$19=1,$R$16="")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6" id="{AED9593C-F573-4766-9429-26EB8E34B5F1}">
            <xm:f>AND('Sprachen &amp; Rückgabewerte(4)'!$C$20=1,$V$16="")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5" id="{58F31676-E875-4AFE-BE5B-08DD460A3DD7}">
            <xm:f>AND('Sprachen &amp; Rückgabewerte(4)'!$C$21=1,$Z$16="")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4" id="{A06D711E-EAE1-4E6A-9FAC-38AD1FA731AE}">
            <xm:f>AND('Sprachen &amp; Rückgabewerte(4)'!$C$22=1,$AD$16="")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3" id="{4D6CAF13-3E8B-45AC-B41E-939A4E59402D}">
            <xm:f>AND('Sprachen &amp; Rückgabewerte(4)'!$C$23=1,$AH$16="")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2" id="{D1AF6963-EDE6-4B86-BBAA-CDFB6B64053C}">
            <xm:f>AND('Sprachen &amp; Rückgabewerte(4)'!$C$24=1,$AL$16="")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1" id="{0852FD84-5819-45BB-A398-8110176EC16D}">
            <xm:f>AND('Sprachen &amp; Rückgabewerte(4)'!$C$25=1,$AP$16="")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0" id="{8A6B6DBD-8034-44B8-91B5-E6DBAEF60C3A}">
            <xm:f>'Sprachen &amp; Rückgabewerte(4)'!$I$71=FALSE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9" id="{A35DD9B4-5BC8-4E01-BDDC-6CBCE5AE5AE0}">
            <xm:f>AND('Sprachen &amp; Rückgabewerte(4)'!$I$71=TRUE,$AP$74="",$AP$75="",$AP$76="")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D271460B-6A1B-481E-BBE9-3EF957DE8A2F}">
            <xm:f>OR($AQ$96='Sprachen &amp; Rückgabewerte(4)'!$H$96,$AQ$96="")</xm:f>
            <x14:dxf>
              <border>
                <bottom/>
                <vertical/>
                <horizontal/>
              </border>
            </x14:dxf>
          </x14:cfRule>
          <x14:cfRule type="expression" priority="17" id="{FCED739E-3EA0-4CB1-9DD8-E71632A935C2}">
            <xm:f>AND($AQ$96='Sprachen &amp; Rückgabewerte(4)'!$H$95,$AW$96="")</xm:f>
            <x14:dxf>
              <border>
                <bottom style="thin">
                  <color rgb="FFFF0000"/>
                </bottom>
                <vertical/>
                <horizontal/>
              </border>
            </x14:dxf>
          </x14:cfRule>
          <xm:sqref>AS96:AV96</xm:sqref>
        </x14:conditionalFormatting>
        <x14:conditionalFormatting xmlns:xm="http://schemas.microsoft.com/office/excel/2006/main">
          <x14:cfRule type="expression" priority="15" id="{C359D7A0-5CB7-4604-B23C-A488C7774AD2}">
            <xm:f>AND($AQ$96='Sprachen &amp; Rückgabewerte(4)'!$H$95,$AW$96="")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4" id="{7D190EA7-6571-429F-8843-565132CAFBC8}">
            <xm:f>OR($AQ$96='Sprachen &amp; Rückgabewerte(4)'!$H$96,$AQ$96="")</xm:f>
            <x14:dxf>
              <font>
                <color theme="0" tint="-0.14996795556505021"/>
              </font>
              <fill>
                <patternFill>
                  <bgColor theme="0" tint="-0.14996795556505021"/>
                </patternFill>
              </fill>
              <border>
                <left/>
                <right/>
                <top/>
                <bottom/>
                <vertical/>
                <horizontal/>
              </border>
            </x14:dxf>
          </x14:cfRule>
          <xm:sqref>AW95:AX96</xm:sqref>
        </x14:conditionalFormatting>
        <x14:conditionalFormatting xmlns:xm="http://schemas.microsoft.com/office/excel/2006/main">
          <x14:cfRule type="expression" priority="13" id="{146D18F9-CF39-456F-B692-EE49F20E53B2}">
            <xm:f>'Sprachen &amp; Rückgabewerte(4)'!$W$68&gt;0</xm:f>
            <x14:dxf>
              <border>
                <bottom style="thin">
                  <color rgb="FFFF0000"/>
                </bottom>
                <vertical/>
                <horizontal/>
              </border>
            </x14:dxf>
          </x14:cfRule>
          <xm:sqref>AD97:AT97</xm:sqref>
        </x14:conditionalFormatting>
        <x14:conditionalFormatting xmlns:xm="http://schemas.microsoft.com/office/excel/2006/main">
          <x14:cfRule type="expression" priority="12" id="{86DED937-DFB6-4EE2-86B4-C6F8C0CCCE48}">
            <xm:f>'Sprachen &amp; Rückgabewerte(4)'!$W$68&gt;0</xm:f>
            <x14:dxf>
              <border>
                <top style="thin">
                  <color rgb="FFFF0000"/>
                </top>
                <vertical/>
                <horizontal/>
              </border>
            </x14:dxf>
          </x14:cfRule>
          <xm:sqref>AD95:AT95</xm:sqref>
        </x14:conditionalFormatting>
        <x14:conditionalFormatting xmlns:xm="http://schemas.microsoft.com/office/excel/2006/main">
          <x14:cfRule type="expression" priority="11" id="{ED7434FB-4FA2-45B8-9BBD-37F07EA02B21}">
            <xm:f>'Sprachen &amp; Rückgabewerte(4)'!$W$68&gt;0</xm:f>
            <x14:dxf>
              <border>
                <left style="thin">
                  <color rgb="FFFF0000"/>
                </left>
                <vertical/>
                <horizontal/>
              </border>
            </x14:dxf>
          </x14:cfRule>
          <xm:sqref>AD95:AD97</xm:sqref>
        </x14:conditionalFormatting>
        <x14:conditionalFormatting xmlns:xm="http://schemas.microsoft.com/office/excel/2006/main">
          <x14:cfRule type="expression" priority="10" id="{D93300C0-18F9-4E7A-A9E2-882DB0681703}">
            <xm:f>'Sprachen &amp; Rückgabewerte(4)'!$W$68&gt;0</xm:f>
            <x14:dxf>
              <border>
                <right style="thin">
                  <color rgb="FFFF0000"/>
                </right>
                <vertical/>
                <horizontal/>
              </border>
            </x14:dxf>
          </x14:cfRule>
          <xm:sqref>AT95:AT97</xm:sqref>
        </x14:conditionalFormatting>
        <x14:conditionalFormatting xmlns:xm="http://schemas.microsoft.com/office/excel/2006/main">
          <x14:cfRule type="expression" priority="7" id="{B5D56D18-3038-40EA-88A9-A463AA0C001C}">
            <xm:f>'Sprachen &amp; Rückgabewerte(4)'!$C$51=FALSE</xm:f>
            <x14:dxf>
              <font>
                <color theme="0" tint="-0.14996795556505021"/>
              </font>
              <fill>
                <patternFill>
                  <bgColor theme="0" tint="-0.14996795556505021"/>
                </patternFill>
              </fill>
              <border>
                <left/>
                <right/>
                <top/>
                <bottom/>
                <vertical/>
                <horizontal/>
              </border>
            </x14:dxf>
          </x14:cfRule>
          <x14:cfRule type="expression" priority="8" id="{7CA26BEB-4E01-4E4F-B2B2-F7FB7D6862D4}">
            <xm:f>'Sprachen &amp; Rückgabewerte(4)'!$U$65=FALSE</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V96:Y96</xm:sqref>
        </x14:conditionalFormatting>
        <x14:conditionalFormatting xmlns:xm="http://schemas.microsoft.com/office/excel/2006/main">
          <x14:cfRule type="expression" priority="4" id="{12BBCC57-DF2A-4F3E-9FE4-A68E2FBAA7E9}">
            <xm:f>'Sprachen &amp; Rückgabewerte(4)'!$W$78&lt;&gt;0</xm:f>
            <x14:dxf>
              <border>
                <bottom style="thin">
                  <color rgb="FFFF0000"/>
                </bottom>
                <vertical/>
                <horizontal/>
              </border>
            </x14:dxf>
          </x14:cfRule>
          <xm:sqref>AW11:BB11</xm:sqref>
        </x14:conditionalFormatting>
        <x14:conditionalFormatting xmlns:xm="http://schemas.microsoft.com/office/excel/2006/main">
          <x14:cfRule type="expression" priority="3" id="{80F98CC1-73DC-4D0B-911F-B1CD5DDB12DA}">
            <xm:f>'Sprachen &amp; Rückgabewerte(4)'!$W$78&lt;&gt;0</xm:f>
            <x14:dxf>
              <border>
                <top style="thin">
                  <color rgb="FFFF0000"/>
                </top>
                <vertical/>
                <horizontal/>
              </border>
            </x14:dxf>
          </x14:cfRule>
          <xm:sqref>AW6:BB6</xm:sqref>
        </x14:conditionalFormatting>
        <x14:conditionalFormatting xmlns:xm="http://schemas.microsoft.com/office/excel/2006/main">
          <x14:cfRule type="expression" priority="2" id="{55C906F4-B6E1-497C-9A27-BBB88BB3259E}">
            <xm:f>'Sprachen &amp; Rückgabewerte(4)'!$W$78&lt;&gt;0</xm:f>
            <x14:dxf>
              <border>
                <left style="thin">
                  <color rgb="FFFF0000"/>
                </left>
                <vertical/>
                <horizontal/>
              </border>
            </x14:dxf>
          </x14:cfRule>
          <xm:sqref>AW6:AW11</xm:sqref>
        </x14:conditionalFormatting>
        <x14:conditionalFormatting xmlns:xm="http://schemas.microsoft.com/office/excel/2006/main">
          <x14:cfRule type="expression" priority="1" id="{4AD2E853-1CCB-4749-9DD5-1D1239D084E1}">
            <xm:f>'Sprachen &amp; Rückgabewerte(4)'!$W$78&lt;&gt;0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4">
        <x14:dataValidation type="list" allowBlank="1" showInputMessage="1" showErrorMessage="1" xr:uid="{4024C3CD-825C-471C-9410-1BBB2E11D56E}">
          <x14:formula1>
            <xm:f>'Sprachen &amp; Rückgabewerte(4)'!$M$86:$M$138</xm:f>
          </x14:formula1>
          <xm:sqref>AM88:AR88</xm:sqref>
        </x14:dataValidation>
        <x14:dataValidation type="list" showInputMessage="1" showErrorMessage="1" xr:uid="{995044EE-126C-4F1D-BA39-BC266104CB4A}">
          <x14:formula1>
            <xm:f>'Sprachen &amp; Rückgabewerte(4)'!$B$70:$B$72</xm:f>
          </x14:formula1>
          <xm:sqref>H85:K85 V85:Y85 O85:R85 X72:AA72</xm:sqref>
        </x14:dataValidation>
        <x14:dataValidation type="list" allowBlank="1" showInputMessage="1" showErrorMessage="1" xr:uid="{D4DED8AD-84A3-484F-84D9-A2DFF8E7A43C}">
          <x14:formula1>
            <xm:f>'Sprachen &amp; Rückgabewerte(4)'!$H$103:$H$107</xm:f>
          </x14:formula1>
          <xm:sqref>G20:AP20</xm:sqref>
        </x14:dataValidation>
        <x14:dataValidation type="list" showInputMessage="1" showErrorMessage="1" xr:uid="{C7DFE00B-E78A-41FC-94FC-78CCC6E888F7}">
          <x14:formula1>
            <xm:f>'Sprachen &amp; Rückgabewerte(4)'!$B$33:$B$34</xm:f>
          </x14:formula1>
          <xm:sqref>E23:AR26</xm:sqref>
        </x14:dataValidation>
        <x14:dataValidation type="list" showInputMessage="1" showErrorMessage="1" xr:uid="{A731DD4C-965C-4712-BC6A-96C90E0F3383}">
          <x14:formula1>
            <xm:f>'Sprachen &amp; Rückgabewerte(4)'!$A$11:$A$18</xm:f>
          </x14:formula1>
          <xm:sqref>AM43:AQ43</xm:sqref>
        </x14:dataValidation>
        <x14:dataValidation type="list" showInputMessage="1" showErrorMessage="1" xr:uid="{B6529047-97A0-4D84-896A-76D1D98025B8}">
          <x14:formula1>
            <xm:f>'Sprachen &amp; Rückgabewerte(4)'!$A$19:$A$21</xm:f>
          </x14:formula1>
          <xm:sqref>AR43:AS43</xm:sqref>
        </x14:dataValidation>
        <x14:dataValidation type="list" allowBlank="1" showInputMessage="1" showErrorMessage="1" xr:uid="{3CAA70F9-5DA5-4B38-B607-ED8ABE14F959}">
          <x14:formula1>
            <xm:f>'Sprachen &amp; Rückgabewerte(4)'!$J$67:$J$69</xm:f>
          </x14:formula1>
          <xm:sqref>AN70:AS70</xm:sqref>
        </x14:dataValidation>
        <x14:dataValidation type="list" allowBlank="1" showInputMessage="1" showErrorMessage="1" xr:uid="{6E35A932-6151-4403-A9C1-BDAE213CE4C2}">
          <x14:formula1>
            <xm:f>'Sprachen &amp; Rückgabewerte(4)'!$J$77:$J$79</xm:f>
          </x14:formula1>
          <xm:sqref>AN78:AP78</xm:sqref>
        </x14:dataValidation>
        <x14:dataValidation type="list" allowBlank="1" showInputMessage="1" showErrorMessage="1" xr:uid="{4FB02F6E-C71C-431B-957C-8240EFA33D2E}">
          <x14:formula1>
            <xm:f>'Sprachen &amp; Rückgabewerte(4)'!$J$80:$J$82</xm:f>
          </x14:formula1>
          <xm:sqref>AN79:AP79</xm:sqref>
        </x14:dataValidation>
        <x14:dataValidation type="list" allowBlank="1" showInputMessage="1" showErrorMessage="1" xr:uid="{26D23870-8796-4440-BF99-737AA354B808}">
          <x14:formula1>
            <xm:f>'Sprachen &amp; Rückgabewerte(4)'!$J$84:$J$86</xm:f>
          </x14:formula1>
          <xm:sqref>AN80:AS80</xm:sqref>
        </x14:dataValidation>
        <x14:dataValidation type="list" allowBlank="1" showInputMessage="1" showErrorMessage="1" xr:uid="{2D1D564B-F7D0-4A5D-8A04-415EDE9913A2}">
          <x14:formula1>
            <xm:f>'Sprachen &amp; Rückgabewerte(4)'!$J$94:$J$96</xm:f>
          </x14:formula1>
          <xm:sqref>AO55:AP55</xm:sqref>
        </x14:dataValidation>
        <x14:dataValidation type="list" showInputMessage="1" showErrorMessage="1" xr:uid="{7751C758-2F98-4CB1-BEBB-06B54186AB0F}">
          <x14:formula1>
            <xm:f>'Sprachen &amp; Rückgabewerte(4)'!$B$73:$B$75</xm:f>
          </x14:formula1>
          <xm:sqref>H96:K96</xm:sqref>
        </x14:dataValidation>
        <x14:dataValidation type="list" showInputMessage="1" showErrorMessage="1" xr:uid="{3B42B88A-564C-4FDB-88A0-BB518BB978DA}">
          <x14:formula1>
            <xm:f>'Sprachen &amp; Rückgabewerte(4)'!$B$76:$B$78</xm:f>
          </x14:formula1>
          <xm:sqref>O96:R96</xm:sqref>
        </x14:dataValidation>
        <x14:dataValidation type="list" allowBlank="1" showInputMessage="1" showErrorMessage="1" xr:uid="{A52E3D45-6B02-4CFD-ABDC-DC4EBED43429}">
          <x14:formula1>
            <xm:f>'Sprachen &amp; Rückgabewerte(4)'!$B$9:$B$14</xm:f>
          </x14:formula1>
          <xm:sqref>F10:G10 J10:K10 N10:O10 R10:S10 V10:W10 Z10:AA10 AD10:AE10 AH10:AI10 AL10:AM10 AP10:AQ10</xm:sqref>
        </x14:dataValidation>
        <x14:dataValidation type="list" allowBlank="1" showInputMessage="1" showErrorMessage="1" xr:uid="{D358DF0C-93A9-419A-8BB3-F1DE1463EC24}">
          <x14:formula1>
            <xm:f>'Sprachen &amp; Rückgabewerte(4)'!$B$33:$B$34</xm:f>
          </x14:formula1>
          <xm:sqref>E22:AR22</xm:sqref>
        </x14:dataValidation>
        <x14:dataValidation type="list" showInputMessage="1" showErrorMessage="1" xr:uid="{3AF1F2ED-DE62-483C-A431-2031BA3CE6F6}">
          <x14:formula1>
            <xm:f>'Sprachen &amp; Rückgabewerte(4)'!$B$67:$B$69</xm:f>
          </x14:formula1>
          <xm:sqref>F72:I72 L72:O72 R72:U72</xm:sqref>
        </x14:dataValidation>
        <x14:dataValidation type="list" allowBlank="1" showInputMessage="1" showErrorMessage="1" xr:uid="{F31D6B96-2D55-4A3A-9D87-B6F66B6B1697}">
          <x14:formula1>
            <xm:f>'Sprachen &amp; Rückgabewerte(4)'!$J$91:$J$93</xm:f>
          </x14:formula1>
          <xm:sqref>AM49:AP49</xm:sqref>
        </x14:dataValidation>
        <x14:dataValidation type="list" allowBlank="1" showInputMessage="1" showErrorMessage="1" xr:uid="{3F6D8CE7-4F5F-43D1-8803-3FAFAE9A9E76}">
          <x14:formula1>
            <xm:f>'Sprachen &amp; Rückgabewerte(4)'!$N$78:$N$80</xm:f>
          </x14:formula1>
          <xm:sqref>AE70:AL70</xm:sqref>
        </x14:dataValidation>
        <x14:dataValidation type="list" allowBlank="1" showInputMessage="1" showErrorMessage="1" xr:uid="{249175D4-6824-46C1-83ED-34E0451C5F54}">
          <x14:formula1>
            <xm:f>'Sprachen &amp; Rückgabewerte(4)'!$J$133:$J$136</xm:f>
          </x14:formula1>
          <xm:sqref>AX33:AY42</xm:sqref>
        </x14:dataValidation>
        <x14:dataValidation type="list" allowBlank="1" showInputMessage="1" showErrorMessage="1" xr:uid="{2AC27824-2F07-4C08-825C-447464E51DC2}">
          <x14:formula1>
            <xm:f>'Sprachen &amp; Rückgabewerte(4)'!$B$81:$B$84</xm:f>
          </x14:formula1>
          <xm:sqref>T104</xm:sqref>
        </x14:dataValidation>
        <x14:dataValidation type="list" allowBlank="1" showInputMessage="1" showErrorMessage="1" xr:uid="{BF58F27B-C47D-44FF-90BA-B96AC91E7431}">
          <x14:formula1>
            <xm:f>'Sprachen &amp; Rückgabewerte(4)'!$J$142:$J$144</xm:f>
          </x14:formula1>
          <xm:sqref>T110</xm:sqref>
        </x14:dataValidation>
        <x14:dataValidation type="list" allowBlank="1" showInputMessage="1" showErrorMessage="1" xr:uid="{98112EBD-7580-4AAA-B75E-7872F4A7759B}">
          <x14:formula1>
            <xm:f>'Sprachen &amp; Rückgabewerte(4)'!$J$145:$J$147</xm:f>
          </x14:formula1>
          <xm:sqref>T114</xm:sqref>
        </x14:dataValidation>
        <x14:dataValidation type="list" showInputMessage="1" showErrorMessage="1" xr:uid="{E94776AC-A891-479F-BB0B-FDCCE311B608}">
          <x14:formula1>
            <xm:f>'Sprachen &amp; Rückgabewerte(4)'!$R$41:$R$43</xm:f>
          </x14:formula1>
          <xm:sqref>AF11:AG11 AN11:AO11 X11:Y11 T11:U11 P11:Q11 L11:M11 AB11:AC11 AJ11:AK11 H11:I11</xm:sqref>
        </x14:dataValidation>
        <x14:dataValidation type="list" allowBlank="1" showInputMessage="1" showErrorMessage="1" xr:uid="{0C53F639-EE26-41F9-99BE-9E49F0E9519F}">
          <x14:formula1>
            <xm:f>'Sprachen &amp; Rückgabewerte(4)'!$Q$41:$Q$51</xm:f>
          </x14:formula1>
          <xm:sqref>AP74:AP76</xm:sqref>
        </x14:dataValidation>
        <x14:dataValidation type="list" showInputMessage="1" showErrorMessage="1" errorTitle="SG-Typ auswählen" error="Bitte wählen Sie einen Sky-Glass Typ aus. Spezialaufbau bitte im Feld Speziell eingeben!" xr:uid="{AEDAD933-5F93-4A11-A34D-61D0B9AB6B4E}">
          <x14:formula1>
            <xm:f>'Sprachen &amp; Rückgabewerte(4)'!$V$3:$V$35</xm:f>
          </x14:formula1>
          <xm:sqref>AE53:AG53</xm:sqref>
        </x14:dataValidation>
        <x14:dataValidation type="list" allowBlank="1" showInputMessage="1" showErrorMessage="1" xr:uid="{CE28030D-3E6A-4A83-AB77-24FBAA54D446}">
          <x14:formula1>
            <xm:f>'Sprachen &amp; Rückgabewerte(4)'!$J$150:$J$153</xm:f>
          </x14:formula1>
          <xm:sqref>AW48:AX48</xm:sqref>
        </x14:dataValidation>
        <x14:dataValidation type="list" allowBlank="1" showInputMessage="1" showErrorMessage="1" xr:uid="{7CF54290-BDBB-4B22-89FF-7FEB604208D8}">
          <x14:formula1>
            <xm:f>'Sprachen &amp; Rückgabewerte(4)'!$J$87:$J$89</xm:f>
          </x14:formula1>
          <xm:sqref>AE84:AL84</xm:sqref>
        </x14:dataValidation>
        <x14:dataValidation type="list" allowBlank="1" showInputMessage="1" showErrorMessage="1" xr:uid="{864FFFC0-D5BD-498E-BE86-980E822DAF1B}">
          <x14:formula1>
            <xm:f>'Sprachen &amp; Rückgabewerte(4)'!$J$174:$J$175</xm:f>
          </x14:formula1>
          <xm:sqref>AM46:AS46</xm:sqref>
        </x14:dataValidation>
        <x14:dataValidation type="list" allowBlank="1" showInputMessage="1" showErrorMessage="1" xr:uid="{8DF92744-1592-4309-92BD-C0A07ED733EE}">
          <x14:formula1>
            <xm:f>'Sprachen &amp; Rückgabewerte(4)'!$J$177:$J$178</xm:f>
          </x14:formula1>
          <xm:sqref>AM47:AS47</xm:sqref>
        </x14:dataValidation>
        <x14:dataValidation type="list" allowBlank="1" showInputMessage="1" showErrorMessage="1" xr:uid="{B19E9C51-E0EC-4D85-8C1D-B77D5FA736E7}">
          <x14:formula1>
            <xm:f>'Sprachen &amp; Rückgabewerte(4)'!$A$28:$A$30</xm:f>
          </x14:formula1>
          <xm:sqref>F16:G17 AL16:AM17 J16:K17 N16:O17 R16:S17 V16:W17 Z16:AA17 AD16:AE17 AH16:AI17 AP16:AQ17</xm:sqref>
        </x14:dataValidation>
        <x14:dataValidation type="list" allowBlank="1" showInputMessage="1" showErrorMessage="1" xr:uid="{383AAB1D-AAED-4615-849A-B1FD555DD5F4}">
          <x14:formula1>
            <xm:f>'Sprachen &amp; Rückgabewerte(4)'!$H$95:$H$96</xm:f>
          </x14:formula1>
          <xm:sqref>AQ96:AR96</xm:sqref>
        </x14:dataValidation>
        <x14:dataValidation type="list" allowBlank="1" showInputMessage="1" showErrorMessage="1" xr:uid="{13556F36-98DE-440C-B821-8E38243ED472}">
          <x14:formula1>
            <xm:f>'Sprachen &amp; Rückgabewerte(4)'!$H$191:$H$192</xm:f>
          </x14:formula1>
          <xm:sqref>V96:Y96</xm:sqref>
        </x14:dataValidation>
        <x14:dataValidation type="list" allowBlank="1" showInputMessage="1" showErrorMessage="1" xr:uid="{D7DF9AE1-6D91-4ECA-BDC4-CB67C6B15883}">
          <x14:formula1>
            <xm:f>'Sprachen &amp; Rückgabewerte(4)'!$H$198:$H$199</xm:f>
          </x14:formula1>
          <xm:sqref>AZ9:BA9</xm:sqref>
        </x14:dataValidation>
        <x14:dataValidation type="list" allowBlank="1" showInputMessage="1" showErrorMessage="1" xr:uid="{9B82337F-91A0-40C1-8C85-F85B4F048939}">
          <x14:formula1>
            <xm:f>'Sprachen &amp; Rückgabewerte(4)'!$H$196:$H$197</xm:f>
          </x14:formula1>
          <xm:sqref>AZ10:BA10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AC98-BB30-4AAF-837B-38881E1E2BEA}">
  <dimension ref="A1:AF205"/>
  <sheetViews>
    <sheetView showGridLines="0" topLeftCell="A170" zoomScale="70" zoomScaleNormal="70" workbookViewId="0">
      <selection activeCell="P78" sqref="P78"/>
    </sheetView>
  </sheetViews>
  <sheetFormatPr baseColWidth="10" defaultColWidth="11.42578125" defaultRowHeight="12.75" x14ac:dyDescent="0.2"/>
  <cols>
    <col min="1" max="1" width="19.140625" style="280" customWidth="1"/>
    <col min="2" max="2" width="16.7109375" style="280" customWidth="1"/>
    <col min="3" max="3" width="11.42578125" style="280" customWidth="1"/>
    <col min="4" max="7" width="40.7109375" style="280" customWidth="1"/>
    <col min="8" max="8" width="34.28515625" style="280" customWidth="1"/>
    <col min="9" max="9" width="30.42578125" style="280" customWidth="1"/>
    <col min="10" max="10" width="25.7109375" style="280" customWidth="1"/>
    <col min="11" max="11" width="15.5703125" style="280" customWidth="1"/>
    <col min="12" max="12" width="13.42578125" style="280" customWidth="1"/>
    <col min="13" max="13" width="16.140625" style="280" customWidth="1"/>
    <col min="14" max="17" width="11.42578125" style="280"/>
    <col min="18" max="18" width="12.5703125" style="280" customWidth="1"/>
    <col min="19" max="19" width="10.140625" style="280" customWidth="1"/>
    <col min="20" max="20" width="10.28515625" style="280" customWidth="1"/>
    <col min="21" max="21" width="21.5703125" style="280" customWidth="1"/>
    <col min="22" max="26" width="11.42578125" style="280"/>
    <col min="27" max="27" width="12.28515625" style="280" customWidth="1"/>
    <col min="28" max="28" width="11.42578125" style="280"/>
    <col min="29" max="31" width="26.42578125" style="280" customWidth="1"/>
    <col min="32" max="16384" width="11.42578125" style="280"/>
  </cols>
  <sheetData>
    <row r="1" spans="1:32" ht="13.5" thickBot="1" x14ac:dyDescent="0.25">
      <c r="H1" s="46" t="s">
        <v>214</v>
      </c>
      <c r="L1" s="280" t="s">
        <v>181</v>
      </c>
      <c r="M1" s="280" t="s">
        <v>182</v>
      </c>
      <c r="N1" s="280" t="s">
        <v>183</v>
      </c>
      <c r="R1" s="280" t="s">
        <v>623</v>
      </c>
      <c r="S1" s="280" t="s">
        <v>624</v>
      </c>
      <c r="T1" s="280" t="s">
        <v>625</v>
      </c>
      <c r="W1" s="316" t="str">
        <f>IF($I$125=TRUE,R1,L1)</f>
        <v>Ug=</v>
      </c>
      <c r="X1" s="371" t="str">
        <f>IF($I$125=TRUE,S1,M1)</f>
        <v>Lt=</v>
      </c>
      <c r="Y1" s="371" t="str">
        <f>IF($I$125=TRUE,T1,N1)</f>
        <v>g=</v>
      </c>
    </row>
    <row r="2" spans="1:32" x14ac:dyDescent="0.2">
      <c r="B2" s="29" t="s">
        <v>178</v>
      </c>
      <c r="C2" s="30" t="s">
        <v>91</v>
      </c>
      <c r="D2" s="16" t="s">
        <v>457</v>
      </c>
      <c r="E2" s="17" t="s">
        <v>458</v>
      </c>
      <c r="F2" s="17" t="s">
        <v>459</v>
      </c>
      <c r="G2" s="18" t="s">
        <v>460</v>
      </c>
      <c r="H2" s="444" t="str">
        <f>IF($B$3=$A$3,D2,IF($B$3=$A$4,E2,IF($B$3=$A$5,F2,IF($B$3=$A$6,G2,""))))</f>
        <v>Sprache:</v>
      </c>
      <c r="I2" s="46" t="s">
        <v>194</v>
      </c>
      <c r="K2" s="34" t="s">
        <v>626</v>
      </c>
      <c r="L2" s="365"/>
      <c r="M2" s="365"/>
      <c r="N2" s="365"/>
      <c r="O2" s="365"/>
      <c r="P2" s="366"/>
      <c r="Q2" s="34" t="s">
        <v>627</v>
      </c>
      <c r="R2" s="365"/>
      <c r="S2" s="365"/>
      <c r="T2" s="365"/>
      <c r="U2" s="366"/>
      <c r="V2" s="34" t="s">
        <v>628</v>
      </c>
      <c r="W2" s="365"/>
      <c r="X2" s="365"/>
      <c r="Y2" s="365"/>
      <c r="Z2" s="365"/>
      <c r="AA2" s="366"/>
      <c r="AB2" s="445"/>
      <c r="AC2" s="445"/>
      <c r="AD2" s="445"/>
      <c r="AE2" s="445"/>
      <c r="AF2" s="445"/>
    </row>
    <row r="3" spans="1:32" x14ac:dyDescent="0.2">
      <c r="A3" s="280">
        <v>1</v>
      </c>
      <c r="B3" s="446">
        <v>1</v>
      </c>
      <c r="C3" s="447" t="s">
        <v>92</v>
      </c>
      <c r="D3" s="448" t="s">
        <v>92</v>
      </c>
      <c r="E3" s="449" t="s">
        <v>93</v>
      </c>
      <c r="F3" s="449" t="s">
        <v>94</v>
      </c>
      <c r="G3" s="450" t="s">
        <v>95</v>
      </c>
      <c r="H3" s="444" t="str">
        <f>IF($B$3=$A$3,D3,IF($B$3=$A$4,E3,IF($B$3=$A$5,F3,IF($B$3=$A$6,G3,""))))</f>
        <v>DEUTSCH</v>
      </c>
      <c r="I3" s="451"/>
      <c r="K3" s="357" t="s">
        <v>232</v>
      </c>
      <c r="L3" s="371">
        <v>1.1000000000000001</v>
      </c>
      <c r="M3" s="371">
        <v>81</v>
      </c>
      <c r="N3" s="371">
        <v>64</v>
      </c>
      <c r="O3" s="371" t="s">
        <v>233</v>
      </c>
      <c r="P3" s="372"/>
      <c r="Q3" s="357" t="s">
        <v>232</v>
      </c>
      <c r="R3" s="452">
        <v>0.34</v>
      </c>
      <c r="S3" s="371">
        <v>0.49</v>
      </c>
      <c r="T3" s="371">
        <v>0.67</v>
      </c>
      <c r="U3" s="372" t="s">
        <v>658</v>
      </c>
      <c r="V3" s="357" t="str">
        <f t="shared" ref="V3:Z25" si="0">IF($I$125=TRUE,Q3,K3)</f>
        <v>SG-01</v>
      </c>
      <c r="W3" s="316">
        <f t="shared" si="0"/>
        <v>1.1000000000000001</v>
      </c>
      <c r="X3" s="371">
        <f t="shared" si="0"/>
        <v>81</v>
      </c>
      <c r="Y3" s="371">
        <f t="shared" si="0"/>
        <v>64</v>
      </c>
      <c r="Z3" s="371" t="str">
        <f t="shared" si="0"/>
        <v>ESG 6 / 18 / ESG 6</v>
      </c>
      <c r="AA3" s="372"/>
      <c r="AB3" s="445"/>
      <c r="AC3" s="453"/>
      <c r="AD3" s="453"/>
      <c r="AE3" s="453"/>
      <c r="AF3" s="445"/>
    </row>
    <row r="4" spans="1:32" x14ac:dyDescent="0.2">
      <c r="A4" s="280">
        <v>2</v>
      </c>
      <c r="B4" s="454"/>
      <c r="C4" s="455" t="s">
        <v>93</v>
      </c>
      <c r="D4" s="357" t="s">
        <v>96</v>
      </c>
      <c r="E4" s="456" t="s">
        <v>97</v>
      </c>
      <c r="F4" s="456" t="s">
        <v>98</v>
      </c>
      <c r="G4" s="457" t="s">
        <v>99</v>
      </c>
      <c r="H4" s="444" t="str">
        <f>IF($B$3=$A$3,D4,IF($B$3=$A$4,E4,IF($B$3=$A$5,F4,IF($B$3=$A$6,G4,""))))</f>
        <v>BESTELLUNG</v>
      </c>
      <c r="I4" s="451"/>
      <c r="K4" s="281" t="s">
        <v>234</v>
      </c>
      <c r="L4" s="316">
        <v>1.1000000000000001</v>
      </c>
      <c r="M4" s="316">
        <v>80</v>
      </c>
      <c r="N4" s="316">
        <v>63</v>
      </c>
      <c r="O4" s="316" t="s">
        <v>235</v>
      </c>
      <c r="P4" s="317"/>
      <c r="Q4" s="281" t="s">
        <v>234</v>
      </c>
      <c r="R4" s="316">
        <v>0.34</v>
      </c>
      <c r="S4" s="316">
        <v>0.48</v>
      </c>
      <c r="T4" s="316">
        <v>0.66</v>
      </c>
      <c r="U4" s="317" t="s">
        <v>659</v>
      </c>
      <c r="V4" s="281" t="str">
        <f t="shared" si="0"/>
        <v>SG-02</v>
      </c>
      <c r="W4" s="316">
        <f t="shared" si="0"/>
        <v>1.1000000000000001</v>
      </c>
      <c r="X4" s="316">
        <f t="shared" si="0"/>
        <v>80</v>
      </c>
      <c r="Y4" s="316">
        <f t="shared" si="0"/>
        <v>63</v>
      </c>
      <c r="Z4" s="316" t="str">
        <f t="shared" si="0"/>
        <v>ESG 8 / 14 / ESG 8</v>
      </c>
      <c r="AA4" s="317"/>
      <c r="AB4" s="722"/>
      <c r="AC4" s="458"/>
      <c r="AD4" s="458"/>
      <c r="AE4" s="458"/>
      <c r="AF4" s="445"/>
    </row>
    <row r="5" spans="1:32" x14ac:dyDescent="0.2">
      <c r="A5" s="280">
        <v>3</v>
      </c>
      <c r="B5" s="454"/>
      <c r="C5" s="455" t="s">
        <v>94</v>
      </c>
      <c r="D5" s="281" t="s">
        <v>0</v>
      </c>
      <c r="E5" s="316" t="s">
        <v>1</v>
      </c>
      <c r="F5" s="316" t="s">
        <v>101</v>
      </c>
      <c r="G5" s="317" t="s">
        <v>100</v>
      </c>
      <c r="H5" s="444" t="str">
        <f>IF($B$3=$A$3,D5,IF($B$3=$A$4,E5,IF($B$3=$A$5,F5,IF($B$3=$A$6,G5,""))))</f>
        <v>Gemäss Zeichnung Nr.:</v>
      </c>
      <c r="I5" s="451" t="b">
        <v>0</v>
      </c>
      <c r="K5" s="281" t="s">
        <v>236</v>
      </c>
      <c r="L5" s="316">
        <v>1.1000000000000001</v>
      </c>
      <c r="M5" s="316">
        <v>80</v>
      </c>
      <c r="N5" s="316">
        <v>64</v>
      </c>
      <c r="O5" s="316" t="s">
        <v>237</v>
      </c>
      <c r="P5" s="317"/>
      <c r="Q5" s="281" t="s">
        <v>236</v>
      </c>
      <c r="R5" s="316">
        <v>0.34</v>
      </c>
      <c r="S5" s="316">
        <v>0.49</v>
      </c>
      <c r="T5" s="316">
        <v>0.68</v>
      </c>
      <c r="U5" s="317" t="s">
        <v>660</v>
      </c>
      <c r="V5" s="281" t="str">
        <f t="shared" si="0"/>
        <v>SG-03</v>
      </c>
      <c r="W5" s="316">
        <f t="shared" si="0"/>
        <v>1.1000000000000001</v>
      </c>
      <c r="X5" s="316">
        <f t="shared" si="0"/>
        <v>80</v>
      </c>
      <c r="Y5" s="316">
        <f t="shared" si="0"/>
        <v>64</v>
      </c>
      <c r="Z5" s="316" t="str">
        <f t="shared" si="0"/>
        <v>ESG 8 / 16 / ESG 6</v>
      </c>
      <c r="AA5" s="317"/>
      <c r="AB5" s="722"/>
      <c r="AC5" s="458"/>
      <c r="AD5" s="458"/>
      <c r="AE5" s="458"/>
      <c r="AF5" s="445"/>
    </row>
    <row r="6" spans="1:32" ht="13.5" thickBot="1" x14ac:dyDescent="0.25">
      <c r="A6" s="280">
        <v>4</v>
      </c>
      <c r="B6" s="459"/>
      <c r="C6" s="460" t="s">
        <v>95</v>
      </c>
      <c r="D6" s="281" t="s">
        <v>102</v>
      </c>
      <c r="E6" s="316" t="s">
        <v>103</v>
      </c>
      <c r="F6" s="316" t="s">
        <v>104</v>
      </c>
      <c r="G6" s="317" t="s">
        <v>376</v>
      </c>
      <c r="H6" s="444" t="str">
        <f>IF($B$3=$A$3,D6,IF($B$3=$A$4,E6,IF($B$3=$A$5,F6,IF($B$3=$A$6,G6,""))))</f>
        <v>Gemäss Skizze: (Ansicht von Aussen)</v>
      </c>
      <c r="I6" s="451" t="b">
        <v>0</v>
      </c>
      <c r="K6" s="281" t="s">
        <v>238</v>
      </c>
      <c r="L6" s="316">
        <v>1.1000000000000001</v>
      </c>
      <c r="M6" s="316">
        <v>80</v>
      </c>
      <c r="N6" s="316">
        <v>62</v>
      </c>
      <c r="O6" s="316" t="s">
        <v>239</v>
      </c>
      <c r="P6" s="317"/>
      <c r="Q6" s="281" t="s">
        <v>238</v>
      </c>
      <c r="R6" s="316">
        <v>0.34</v>
      </c>
      <c r="S6" s="316">
        <v>0.48</v>
      </c>
      <c r="T6" s="316">
        <v>0.66</v>
      </c>
      <c r="U6" s="317" t="s">
        <v>661</v>
      </c>
      <c r="V6" s="281" t="str">
        <f t="shared" si="0"/>
        <v>SG-04</v>
      </c>
      <c r="W6" s="316">
        <f t="shared" si="0"/>
        <v>1.1000000000000001</v>
      </c>
      <c r="X6" s="316">
        <f t="shared" si="0"/>
        <v>80</v>
      </c>
      <c r="Y6" s="316">
        <f t="shared" si="0"/>
        <v>62</v>
      </c>
      <c r="Z6" s="316" t="str">
        <f t="shared" si="0"/>
        <v>ESG 10 / 14 / ESG 6</v>
      </c>
      <c r="AA6" s="317"/>
      <c r="AB6" s="722"/>
      <c r="AC6" s="458"/>
      <c r="AD6" s="458"/>
      <c r="AE6" s="458"/>
      <c r="AF6" s="445"/>
    </row>
    <row r="7" spans="1:32" ht="13.5" thickBot="1" x14ac:dyDescent="0.25">
      <c r="D7" s="281" t="s">
        <v>513</v>
      </c>
      <c r="E7" s="316" t="s">
        <v>514</v>
      </c>
      <c r="F7" s="316" t="s">
        <v>515</v>
      </c>
      <c r="G7" s="317" t="s">
        <v>516</v>
      </c>
      <c r="H7" s="444" t="str">
        <f t="shared" ref="H7:H71" si="1">IF($B$3=$A$3,D7,IF($B$3=$A$4,E7,IF($B$3=$A$5,F7,IF($B$3=$A$6,G7,""))))</f>
        <v xml:space="preserve">Objekt: </v>
      </c>
      <c r="I7" s="451"/>
      <c r="K7" s="281" t="s">
        <v>240</v>
      </c>
      <c r="L7" s="316">
        <v>1.1000000000000001</v>
      </c>
      <c r="M7" s="316">
        <v>80</v>
      </c>
      <c r="N7" s="316" t="s">
        <v>800</v>
      </c>
      <c r="O7" s="316" t="s">
        <v>241</v>
      </c>
      <c r="P7" s="317"/>
      <c r="Q7" s="281" t="s">
        <v>240</v>
      </c>
      <c r="R7" s="316">
        <v>0.34</v>
      </c>
      <c r="S7" s="316">
        <v>0.47</v>
      </c>
      <c r="T7" s="316">
        <v>0.66</v>
      </c>
      <c r="U7" s="317" t="s">
        <v>662</v>
      </c>
      <c r="V7" s="281" t="str">
        <f t="shared" si="0"/>
        <v>SG-05</v>
      </c>
      <c r="W7" s="316">
        <f t="shared" si="0"/>
        <v>1.1000000000000001</v>
      </c>
      <c r="X7" s="316">
        <f t="shared" si="0"/>
        <v>80</v>
      </c>
      <c r="Y7" s="316" t="str">
        <f t="shared" si="0"/>
        <v>59/64</v>
      </c>
      <c r="Z7" s="316" t="str">
        <f t="shared" si="0"/>
        <v>V-F 8-2 / 14 / ESG 6</v>
      </c>
      <c r="AA7" s="317"/>
      <c r="AB7" s="722"/>
      <c r="AC7" s="458"/>
      <c r="AD7" s="458"/>
      <c r="AE7" s="458"/>
      <c r="AF7" s="445"/>
    </row>
    <row r="8" spans="1:32" x14ac:dyDescent="0.2">
      <c r="B8" s="16" t="s">
        <v>186</v>
      </c>
      <c r="C8" s="18" t="s">
        <v>190</v>
      </c>
      <c r="D8" s="281" t="s">
        <v>184</v>
      </c>
      <c r="E8" s="316" t="s">
        <v>185</v>
      </c>
      <c r="F8" s="316" t="s">
        <v>105</v>
      </c>
      <c r="G8" s="317" t="s">
        <v>106</v>
      </c>
      <c r="H8" s="444" t="str">
        <f t="shared" si="1"/>
        <v>Bestelldatum:</v>
      </c>
      <c r="I8" s="451"/>
      <c r="K8" s="281" t="s">
        <v>242</v>
      </c>
      <c r="L8" s="316">
        <v>1.1000000000000001</v>
      </c>
      <c r="M8" s="316">
        <v>79</v>
      </c>
      <c r="N8" s="316" t="s">
        <v>801</v>
      </c>
      <c r="O8" s="316" t="s">
        <v>243</v>
      </c>
      <c r="P8" s="317"/>
      <c r="Q8" s="281" t="s">
        <v>242</v>
      </c>
      <c r="R8" s="316">
        <v>0.33</v>
      </c>
      <c r="S8" s="316">
        <v>0.46</v>
      </c>
      <c r="T8" s="316">
        <v>0.65</v>
      </c>
      <c r="U8" s="317" t="s">
        <v>663</v>
      </c>
      <c r="V8" s="281" t="str">
        <f t="shared" si="0"/>
        <v>SG-06</v>
      </c>
      <c r="W8" s="316">
        <f t="shared" si="0"/>
        <v>1.1000000000000001</v>
      </c>
      <c r="X8" s="316">
        <f t="shared" si="0"/>
        <v>79</v>
      </c>
      <c r="Y8" s="316" t="str">
        <f t="shared" si="0"/>
        <v>59/62</v>
      </c>
      <c r="Z8" s="316" t="str">
        <f t="shared" si="0"/>
        <v>V-F 8-2 / 14 / ESG 8</v>
      </c>
      <c r="AA8" s="317"/>
      <c r="AB8" s="722"/>
      <c r="AC8" s="458"/>
      <c r="AD8" s="458"/>
      <c r="AE8" s="458"/>
      <c r="AF8" s="445"/>
    </row>
    <row r="9" spans="1:32" ht="13.5" thickBot="1" x14ac:dyDescent="0.25">
      <c r="B9" s="357" t="s">
        <v>841</v>
      </c>
      <c r="C9" s="358" t="s">
        <v>842</v>
      </c>
      <c r="D9" s="281" t="s">
        <v>2</v>
      </c>
      <c r="E9" s="316" t="s">
        <v>3</v>
      </c>
      <c r="F9" s="316" t="s">
        <v>4</v>
      </c>
      <c r="G9" s="317" t="s">
        <v>107</v>
      </c>
      <c r="H9" s="444" t="str">
        <f t="shared" si="1"/>
        <v>Projekt-Nr.:</v>
      </c>
      <c r="I9" s="451"/>
      <c r="K9" s="281" t="s">
        <v>244</v>
      </c>
      <c r="L9" s="316">
        <v>1.1000000000000001</v>
      </c>
      <c r="M9" s="316">
        <v>81</v>
      </c>
      <c r="N9" s="316">
        <v>64</v>
      </c>
      <c r="O9" s="316" t="s">
        <v>245</v>
      </c>
      <c r="P9" s="317"/>
      <c r="Q9" s="281">
        <v>0</v>
      </c>
      <c r="R9" s="316">
        <v>0</v>
      </c>
      <c r="S9" s="316">
        <v>0</v>
      </c>
      <c r="T9" s="316">
        <v>0</v>
      </c>
      <c r="U9" s="317" t="str">
        <f>$H$54</f>
        <v>Glastyp wählen</v>
      </c>
      <c r="V9" s="281" t="str">
        <f t="shared" si="0"/>
        <v>SG-07</v>
      </c>
      <c r="W9" s="316">
        <f t="shared" si="0"/>
        <v>1.1000000000000001</v>
      </c>
      <c r="X9" s="316">
        <f t="shared" si="0"/>
        <v>81</v>
      </c>
      <c r="Y9" s="316">
        <f t="shared" si="0"/>
        <v>64</v>
      </c>
      <c r="Z9" s="316" t="str">
        <f t="shared" si="0"/>
        <v>ESG 6 / 14 / V-WG 8-2</v>
      </c>
      <c r="AA9" s="317"/>
      <c r="AB9" s="722"/>
      <c r="AC9" s="458"/>
      <c r="AD9" s="458"/>
      <c r="AE9" s="458"/>
      <c r="AF9" s="445"/>
    </row>
    <row r="10" spans="1:32" x14ac:dyDescent="0.2">
      <c r="A10" s="57" t="s">
        <v>44</v>
      </c>
      <c r="B10" s="461" t="s">
        <v>187</v>
      </c>
      <c r="C10" s="462" t="s">
        <v>191</v>
      </c>
      <c r="D10" s="281" t="s">
        <v>5</v>
      </c>
      <c r="E10" s="316" t="s">
        <v>6</v>
      </c>
      <c r="F10" s="316" t="s">
        <v>7</v>
      </c>
      <c r="G10" s="317" t="s">
        <v>352</v>
      </c>
      <c r="H10" s="444" t="str">
        <f t="shared" si="1"/>
        <v>2-gleisig</v>
      </c>
      <c r="I10" s="463" t="b">
        <v>0</v>
      </c>
      <c r="K10" s="281" t="s">
        <v>246</v>
      </c>
      <c r="L10" s="52">
        <v>1.1000000000000001</v>
      </c>
      <c r="M10" s="316">
        <v>81</v>
      </c>
      <c r="N10" s="316">
        <v>63</v>
      </c>
      <c r="O10" s="316" t="s">
        <v>840</v>
      </c>
      <c r="P10" s="317"/>
      <c r="Q10" s="281" t="s">
        <v>247</v>
      </c>
      <c r="R10" s="316">
        <v>0.34</v>
      </c>
      <c r="S10" s="316">
        <v>0.41</v>
      </c>
      <c r="T10" s="316">
        <v>0.59</v>
      </c>
      <c r="U10" s="317" t="s">
        <v>657</v>
      </c>
      <c r="V10" s="281" t="str">
        <f t="shared" si="0"/>
        <v>SG-08</v>
      </c>
      <c r="W10" s="316">
        <f t="shared" si="0"/>
        <v>1.1000000000000001</v>
      </c>
      <c r="X10" s="316">
        <f t="shared" si="0"/>
        <v>81</v>
      </c>
      <c r="Y10" s="316">
        <f t="shared" si="0"/>
        <v>63</v>
      </c>
      <c r="Z10" s="316" t="str">
        <f t="shared" si="0"/>
        <v>ESG 8 / 14 / V-WG 8-2</v>
      </c>
      <c r="AA10" s="317"/>
      <c r="AB10" s="722"/>
      <c r="AC10" s="458"/>
      <c r="AD10" s="458"/>
      <c r="AE10" s="458"/>
      <c r="AF10" s="445"/>
    </row>
    <row r="11" spans="1:32" x14ac:dyDescent="0.2">
      <c r="A11" s="464"/>
      <c r="B11" s="465" t="s">
        <v>188</v>
      </c>
      <c r="C11" s="466" t="s">
        <v>192</v>
      </c>
      <c r="D11" s="281" t="s">
        <v>8</v>
      </c>
      <c r="E11" s="316" t="s">
        <v>9</v>
      </c>
      <c r="F11" s="316" t="s">
        <v>790</v>
      </c>
      <c r="G11" s="317" t="s">
        <v>353</v>
      </c>
      <c r="H11" s="444" t="str">
        <f t="shared" si="1"/>
        <v>3-gleisig</v>
      </c>
      <c r="I11" s="463" t="b">
        <v>0</v>
      </c>
      <c r="K11" s="281">
        <v>0</v>
      </c>
      <c r="L11" s="316">
        <v>0</v>
      </c>
      <c r="M11" s="316">
        <v>0</v>
      </c>
      <c r="N11" s="316">
        <v>0</v>
      </c>
      <c r="O11" s="316" t="str">
        <f>$H$54</f>
        <v>Glastyp wählen</v>
      </c>
      <c r="P11" s="317"/>
      <c r="Q11" s="281" t="s">
        <v>248</v>
      </c>
      <c r="R11" s="316">
        <v>0.33</v>
      </c>
      <c r="S11" s="316">
        <v>0.4</v>
      </c>
      <c r="T11" s="316">
        <v>0.57999999999999996</v>
      </c>
      <c r="U11" s="317" t="s">
        <v>664</v>
      </c>
      <c r="V11" s="281">
        <f t="shared" si="0"/>
        <v>0</v>
      </c>
      <c r="W11" s="316">
        <f t="shared" si="0"/>
        <v>0</v>
      </c>
      <c r="X11" s="316">
        <f t="shared" si="0"/>
        <v>0</v>
      </c>
      <c r="Y11" s="316">
        <f t="shared" si="0"/>
        <v>0</v>
      </c>
      <c r="Z11" s="316" t="str">
        <f t="shared" si="0"/>
        <v>Glastyp wählen</v>
      </c>
      <c r="AA11" s="317"/>
      <c r="AB11" s="722"/>
      <c r="AC11" s="458"/>
      <c r="AD11" s="458"/>
      <c r="AE11" s="458"/>
      <c r="AF11" s="445"/>
    </row>
    <row r="12" spans="1:32" x14ac:dyDescent="0.2">
      <c r="A12" s="444" t="s">
        <v>180</v>
      </c>
      <c r="B12" s="465" t="s">
        <v>189</v>
      </c>
      <c r="C12" s="466" t="s">
        <v>193</v>
      </c>
      <c r="D12" s="281" t="s">
        <v>10</v>
      </c>
      <c r="E12" s="316" t="s">
        <v>11</v>
      </c>
      <c r="F12" s="316" t="s">
        <v>791</v>
      </c>
      <c r="G12" s="317" t="s">
        <v>354</v>
      </c>
      <c r="H12" s="444" t="str">
        <f t="shared" si="1"/>
        <v>4-gleisig</v>
      </c>
      <c r="I12" s="463" t="b">
        <v>0</v>
      </c>
      <c r="K12" s="281" t="s">
        <v>247</v>
      </c>
      <c r="L12" s="316">
        <v>1</v>
      </c>
      <c r="M12" s="316">
        <v>71</v>
      </c>
      <c r="N12" s="316">
        <v>52</v>
      </c>
      <c r="O12" s="316" t="s">
        <v>233</v>
      </c>
      <c r="P12" s="317"/>
      <c r="Q12" s="281" t="s">
        <v>249</v>
      </c>
      <c r="R12" s="316">
        <v>0.34</v>
      </c>
      <c r="S12" s="316">
        <v>0.4</v>
      </c>
      <c r="T12" s="316">
        <v>0.57999999999999996</v>
      </c>
      <c r="U12" s="317" t="s">
        <v>665</v>
      </c>
      <c r="V12" s="281" t="str">
        <f t="shared" si="0"/>
        <v>SG-11</v>
      </c>
      <c r="W12" s="316">
        <f t="shared" si="0"/>
        <v>1</v>
      </c>
      <c r="X12" s="316">
        <f t="shared" si="0"/>
        <v>71</v>
      </c>
      <c r="Y12" s="316">
        <f t="shared" si="0"/>
        <v>52</v>
      </c>
      <c r="Z12" s="316" t="str">
        <f t="shared" si="0"/>
        <v>ESG 6 / 18 / ESG 6</v>
      </c>
      <c r="AA12" s="317"/>
      <c r="AB12" s="722"/>
      <c r="AC12" s="458"/>
      <c r="AD12" s="458"/>
      <c r="AE12" s="458"/>
      <c r="AF12" s="445"/>
    </row>
    <row r="13" spans="1:32" x14ac:dyDescent="0.2">
      <c r="A13" s="444" t="s">
        <v>225</v>
      </c>
      <c r="B13" s="467" t="s">
        <v>453</v>
      </c>
      <c r="C13" s="468" t="s">
        <v>452</v>
      </c>
      <c r="D13" s="281" t="s">
        <v>12</v>
      </c>
      <c r="E13" s="316" t="s">
        <v>13</v>
      </c>
      <c r="F13" s="316" t="s">
        <v>14</v>
      </c>
      <c r="G13" s="317" t="s">
        <v>108</v>
      </c>
      <c r="H13" s="444" t="str">
        <f t="shared" si="1"/>
        <v>Teilung Achsmasse</v>
      </c>
      <c r="I13" s="451" t="b">
        <v>0</v>
      </c>
      <c r="K13" s="281" t="s">
        <v>248</v>
      </c>
      <c r="L13" s="316">
        <v>1.1000000000000001</v>
      </c>
      <c r="M13" s="316">
        <v>70</v>
      </c>
      <c r="N13" s="316">
        <v>51</v>
      </c>
      <c r="O13" s="316" t="s">
        <v>235</v>
      </c>
      <c r="P13" s="317"/>
      <c r="Q13" s="281" t="s">
        <v>250</v>
      </c>
      <c r="R13" s="316">
        <v>0.33</v>
      </c>
      <c r="S13" s="316">
        <v>0.4</v>
      </c>
      <c r="T13" s="316">
        <v>0.57999999999999996</v>
      </c>
      <c r="U13" s="317" t="s">
        <v>666</v>
      </c>
      <c r="V13" s="281" t="str">
        <f t="shared" si="0"/>
        <v>SG-12</v>
      </c>
      <c r="W13" s="316">
        <f t="shared" si="0"/>
        <v>1.1000000000000001</v>
      </c>
      <c r="X13" s="316">
        <f t="shared" si="0"/>
        <v>70</v>
      </c>
      <c r="Y13" s="316">
        <f t="shared" si="0"/>
        <v>51</v>
      </c>
      <c r="Z13" s="316" t="str">
        <f t="shared" si="0"/>
        <v>ESG 8 / 14 / ESG 8</v>
      </c>
      <c r="AA13" s="317"/>
      <c r="AB13" s="722"/>
      <c r="AC13" s="458"/>
      <c r="AD13" s="458"/>
      <c r="AE13" s="458"/>
      <c r="AF13" s="445"/>
    </row>
    <row r="14" spans="1:32" ht="13.5" thickBot="1" x14ac:dyDescent="0.25">
      <c r="A14" s="444" t="s">
        <v>224</v>
      </c>
      <c r="B14" s="374" t="s">
        <v>454</v>
      </c>
      <c r="C14" s="469" t="s">
        <v>451</v>
      </c>
      <c r="D14" s="281" t="s">
        <v>110</v>
      </c>
      <c r="E14" s="316" t="s">
        <v>109</v>
      </c>
      <c r="F14" s="5" t="s">
        <v>15</v>
      </c>
      <c r="G14" s="59" t="s">
        <v>377</v>
      </c>
      <c r="H14" s="444" t="str">
        <f t="shared" si="1"/>
        <v>alle Gläser gleiche Breite (Empfehlung)</v>
      </c>
      <c r="I14" s="451" t="b">
        <v>0</v>
      </c>
      <c r="K14" s="281" t="s">
        <v>249</v>
      </c>
      <c r="L14" s="316">
        <v>1</v>
      </c>
      <c r="M14" s="316">
        <v>71</v>
      </c>
      <c r="N14" s="316">
        <v>52</v>
      </c>
      <c r="O14" s="316" t="s">
        <v>237</v>
      </c>
      <c r="P14" s="317"/>
      <c r="Q14" s="281" t="s">
        <v>251</v>
      </c>
      <c r="R14" s="316">
        <v>0.33</v>
      </c>
      <c r="S14" s="316">
        <v>0.39</v>
      </c>
      <c r="T14" s="316">
        <v>0.56999999999999995</v>
      </c>
      <c r="U14" s="317" t="s">
        <v>667</v>
      </c>
      <c r="V14" s="281" t="str">
        <f t="shared" si="0"/>
        <v>SG-13</v>
      </c>
      <c r="W14" s="316">
        <f t="shared" si="0"/>
        <v>1</v>
      </c>
      <c r="X14" s="316">
        <f t="shared" si="0"/>
        <v>71</v>
      </c>
      <c r="Y14" s="316">
        <f t="shared" si="0"/>
        <v>52</v>
      </c>
      <c r="Z14" s="316" t="str">
        <f t="shared" si="0"/>
        <v>ESG 8 / 16 / ESG 6</v>
      </c>
      <c r="AA14" s="317"/>
      <c r="AB14" s="722"/>
      <c r="AC14" s="458"/>
      <c r="AD14" s="458"/>
      <c r="AE14" s="458"/>
      <c r="AF14" s="445"/>
    </row>
    <row r="15" spans="1:32" x14ac:dyDescent="0.2">
      <c r="A15" s="444" t="s">
        <v>226</v>
      </c>
      <c r="B15" s="86" t="s">
        <v>197</v>
      </c>
      <c r="C15" s="35"/>
      <c r="D15" s="281" t="s">
        <v>16</v>
      </c>
      <c r="E15" s="316" t="s">
        <v>16</v>
      </c>
      <c r="F15" s="316" t="s">
        <v>16</v>
      </c>
      <c r="G15" s="317" t="s">
        <v>16</v>
      </c>
      <c r="H15" s="444" t="str">
        <f t="shared" si="1"/>
        <v>Standard</v>
      </c>
      <c r="I15" s="451" t="b">
        <v>0</v>
      </c>
      <c r="K15" s="281" t="s">
        <v>250</v>
      </c>
      <c r="L15" s="316">
        <v>1.1000000000000001</v>
      </c>
      <c r="M15" s="316">
        <v>70</v>
      </c>
      <c r="N15" s="316">
        <v>50</v>
      </c>
      <c r="O15" s="316" t="s">
        <v>239</v>
      </c>
      <c r="P15" s="317"/>
      <c r="Q15" s="281" t="s">
        <v>252</v>
      </c>
      <c r="R15" s="316">
        <v>0.33</v>
      </c>
      <c r="S15" s="316">
        <v>0.39</v>
      </c>
      <c r="T15" s="316">
        <v>0.56999999999999995</v>
      </c>
      <c r="U15" s="317" t="s">
        <v>668</v>
      </c>
      <c r="V15" s="281" t="str">
        <f t="shared" si="0"/>
        <v>SG-14</v>
      </c>
      <c r="W15" s="316">
        <f t="shared" si="0"/>
        <v>1.1000000000000001</v>
      </c>
      <c r="X15" s="316">
        <f t="shared" si="0"/>
        <v>70</v>
      </c>
      <c r="Y15" s="316">
        <f t="shared" si="0"/>
        <v>50</v>
      </c>
      <c r="Z15" s="316" t="str">
        <f t="shared" si="0"/>
        <v>ESG 10 / 14 / ESG 6</v>
      </c>
      <c r="AA15" s="317"/>
      <c r="AB15" s="722"/>
      <c r="AC15" s="458"/>
      <c r="AD15" s="458"/>
      <c r="AE15" s="458"/>
      <c r="AF15" s="445"/>
    </row>
    <row r="16" spans="1:32" x14ac:dyDescent="0.2">
      <c r="A16" s="444" t="s">
        <v>227</v>
      </c>
      <c r="B16" s="470" t="s">
        <v>198</v>
      </c>
      <c r="C16" s="462">
        <f>IF(AND($I$20=TRUE,OR('Pos. 5'!$F$10='Sprachen &amp; Rückgabewerte(5)'!$B$10,'Pos. 5'!$F$10='Sprachen &amp; Rückgabewerte(5)'!$B$11)),1,0)</f>
        <v>0</v>
      </c>
      <c r="D16" s="281" t="s">
        <v>17</v>
      </c>
      <c r="E16" s="316" t="s">
        <v>18</v>
      </c>
      <c r="F16" s="316" t="s">
        <v>19</v>
      </c>
      <c r="G16" s="317" t="s">
        <v>355</v>
      </c>
      <c r="H16" s="444" t="str">
        <f t="shared" si="1"/>
        <v>Einbruchschutz RC2</v>
      </c>
      <c r="I16" s="451" t="b">
        <v>0</v>
      </c>
      <c r="K16" s="281" t="s">
        <v>251</v>
      </c>
      <c r="L16" s="316">
        <v>1</v>
      </c>
      <c r="M16" s="316">
        <v>70</v>
      </c>
      <c r="N16" s="316" t="s">
        <v>803</v>
      </c>
      <c r="O16" s="316" t="s">
        <v>241</v>
      </c>
      <c r="P16" s="317"/>
      <c r="Q16" s="281">
        <v>0</v>
      </c>
      <c r="R16" s="316">
        <v>0</v>
      </c>
      <c r="S16" s="316">
        <v>0</v>
      </c>
      <c r="T16" s="316">
        <v>0</v>
      </c>
      <c r="U16" s="317" t="str">
        <f t="shared" ref="U16:U23" si="2">$H$54</f>
        <v>Glastyp wählen</v>
      </c>
      <c r="V16" s="281" t="str">
        <f t="shared" si="0"/>
        <v>SG-15</v>
      </c>
      <c r="W16" s="316">
        <f t="shared" si="0"/>
        <v>1</v>
      </c>
      <c r="X16" s="316">
        <f t="shared" si="0"/>
        <v>70</v>
      </c>
      <c r="Y16" s="316" t="str">
        <f t="shared" si="0"/>
        <v>48/51</v>
      </c>
      <c r="Z16" s="316" t="str">
        <f t="shared" si="0"/>
        <v>V-F 8-2 / 14 / ESG 6</v>
      </c>
      <c r="AA16" s="317"/>
      <c r="AB16" s="722"/>
      <c r="AC16" s="458"/>
      <c r="AD16" s="458"/>
      <c r="AE16" s="458"/>
      <c r="AF16" s="445"/>
    </row>
    <row r="17" spans="1:32" x14ac:dyDescent="0.2">
      <c r="A17" s="444" t="s">
        <v>228</v>
      </c>
      <c r="B17" s="465" t="s">
        <v>199</v>
      </c>
      <c r="C17" s="466">
        <f>IF(AND($I$20=TRUE,OR('Pos. 5'!$J$10='Sprachen &amp; Rückgabewerte(5)'!$B$10,'Pos. 5'!$J$10='Sprachen &amp; Rückgabewerte(5)'!$B$11)),1,0)</f>
        <v>0</v>
      </c>
      <c r="D17" s="281" t="s">
        <v>346</v>
      </c>
      <c r="E17" s="316" t="s">
        <v>20</v>
      </c>
      <c r="F17" s="316" t="s">
        <v>21</v>
      </c>
      <c r="G17" s="317" t="s">
        <v>125</v>
      </c>
      <c r="H17" s="444" t="str">
        <f t="shared" si="1"/>
        <v>Positionsüberwachung (P)</v>
      </c>
      <c r="I17" s="451" t="b">
        <v>0</v>
      </c>
      <c r="K17" s="281" t="s">
        <v>252</v>
      </c>
      <c r="L17" s="316">
        <v>1</v>
      </c>
      <c r="M17" s="316">
        <v>70</v>
      </c>
      <c r="N17" s="316" t="s">
        <v>802</v>
      </c>
      <c r="O17" s="316" t="s">
        <v>243</v>
      </c>
      <c r="P17" s="317"/>
      <c r="Q17" s="281" t="s">
        <v>253</v>
      </c>
      <c r="R17" s="316">
        <v>0.34</v>
      </c>
      <c r="S17" s="316">
        <v>0.26</v>
      </c>
      <c r="T17" s="316">
        <v>0.53</v>
      </c>
      <c r="U17" s="317" t="s">
        <v>669</v>
      </c>
      <c r="V17" s="281" t="str">
        <f t="shared" si="0"/>
        <v>SG-16</v>
      </c>
      <c r="W17" s="316">
        <f t="shared" si="0"/>
        <v>1</v>
      </c>
      <c r="X17" s="316">
        <f t="shared" si="0"/>
        <v>70</v>
      </c>
      <c r="Y17" s="316" t="str">
        <f t="shared" si="0"/>
        <v>48/50</v>
      </c>
      <c r="Z17" s="316" t="str">
        <f t="shared" si="0"/>
        <v>V-F 8-2 / 14 / ESG 8</v>
      </c>
      <c r="AA17" s="317"/>
      <c r="AB17" s="722"/>
      <c r="AC17" s="458"/>
      <c r="AD17" s="458"/>
      <c r="AE17" s="458"/>
      <c r="AF17" s="445"/>
    </row>
    <row r="18" spans="1:32" x14ac:dyDescent="0.2">
      <c r="A18" s="444" t="s">
        <v>229</v>
      </c>
      <c r="B18" s="465" t="s">
        <v>200</v>
      </c>
      <c r="C18" s="466">
        <f>IF(AND($I$20=TRUE,OR('Pos. 5'!$N$10='Sprachen &amp; Rückgabewerte(5)'!$B$10,'Pos. 5'!$N$10='Sprachen &amp; Rückgabewerte(5)'!$B$11)),1,0)</f>
        <v>0</v>
      </c>
      <c r="D18" s="281" t="s">
        <v>347</v>
      </c>
      <c r="E18" s="316" t="s">
        <v>22</v>
      </c>
      <c r="F18" s="316" t="s">
        <v>348</v>
      </c>
      <c r="G18" s="317" t="s">
        <v>126</v>
      </c>
      <c r="H18" s="444" t="str">
        <f t="shared" si="1"/>
        <v xml:space="preserve">Riegelüberwachung (R) </v>
      </c>
      <c r="I18" s="451" t="b">
        <v>0</v>
      </c>
      <c r="K18" s="281">
        <v>0</v>
      </c>
      <c r="L18" s="316">
        <v>0</v>
      </c>
      <c r="M18" s="316">
        <v>0</v>
      </c>
      <c r="N18" s="316"/>
      <c r="O18" s="316" t="str">
        <f>$H$54</f>
        <v>Glastyp wählen</v>
      </c>
      <c r="P18" s="317"/>
      <c r="Q18" s="281" t="s">
        <v>254</v>
      </c>
      <c r="R18" s="316">
        <v>0.33</v>
      </c>
      <c r="S18" s="316">
        <v>0.26</v>
      </c>
      <c r="T18" s="316">
        <v>0.52</v>
      </c>
      <c r="U18" s="317" t="s">
        <v>670</v>
      </c>
      <c r="V18" s="281">
        <f t="shared" si="0"/>
        <v>0</v>
      </c>
      <c r="W18" s="316">
        <f t="shared" si="0"/>
        <v>0</v>
      </c>
      <c r="X18" s="316">
        <f t="shared" si="0"/>
        <v>0</v>
      </c>
      <c r="Y18" s="316">
        <f t="shared" si="0"/>
        <v>0</v>
      </c>
      <c r="Z18" s="316" t="str">
        <f t="shared" si="0"/>
        <v>Glastyp wählen</v>
      </c>
      <c r="AA18" s="317"/>
      <c r="AB18" s="722"/>
      <c r="AC18" s="458"/>
      <c r="AD18" s="458"/>
      <c r="AE18" s="458"/>
      <c r="AF18" s="445"/>
    </row>
    <row r="19" spans="1:32" x14ac:dyDescent="0.2">
      <c r="A19" s="444"/>
      <c r="B19" s="465" t="s">
        <v>201</v>
      </c>
      <c r="C19" s="466">
        <f>IF(AND($I$20=TRUE,OR('Pos. 5'!$R$10='Sprachen &amp; Rückgabewerte(5)'!$B$10,'Pos. 5'!$R$10='Sprachen &amp; Rückgabewerte(5)'!$B$11)),1,0)</f>
        <v>0</v>
      </c>
      <c r="D19" s="281" t="s">
        <v>349</v>
      </c>
      <c r="E19" s="316" t="s">
        <v>23</v>
      </c>
      <c r="F19" s="316" t="s">
        <v>24</v>
      </c>
      <c r="G19" s="317" t="s">
        <v>124</v>
      </c>
      <c r="H19" s="444" t="str">
        <f t="shared" si="1"/>
        <v>Glasbruchüberwachung (G)</v>
      </c>
      <c r="I19" s="451" t="b">
        <v>0</v>
      </c>
      <c r="K19" s="281" t="s">
        <v>253</v>
      </c>
      <c r="L19" s="316">
        <v>1</v>
      </c>
      <c r="M19" s="316">
        <v>61</v>
      </c>
      <c r="N19" s="316">
        <v>28</v>
      </c>
      <c r="O19" s="316" t="s">
        <v>233</v>
      </c>
      <c r="P19" s="317"/>
      <c r="Q19" s="281" t="s">
        <v>255</v>
      </c>
      <c r="R19" s="316">
        <v>0.34</v>
      </c>
      <c r="S19" s="316">
        <v>0.26</v>
      </c>
      <c r="T19" s="316">
        <v>0.52</v>
      </c>
      <c r="U19" s="317" t="s">
        <v>671</v>
      </c>
      <c r="V19" s="281" t="str">
        <f t="shared" si="0"/>
        <v>SG-21</v>
      </c>
      <c r="W19" s="316">
        <f t="shared" si="0"/>
        <v>1</v>
      </c>
      <c r="X19" s="316">
        <f t="shared" si="0"/>
        <v>61</v>
      </c>
      <c r="Y19" s="316">
        <f t="shared" si="0"/>
        <v>28</v>
      </c>
      <c r="Z19" s="316" t="str">
        <f t="shared" si="0"/>
        <v>ESG 6 / 18 / ESG 6</v>
      </c>
      <c r="AA19" s="317"/>
      <c r="AB19" s="445"/>
      <c r="AC19" s="445"/>
      <c r="AD19" s="445"/>
      <c r="AE19" s="445"/>
      <c r="AF19" s="445"/>
    </row>
    <row r="20" spans="1:32" x14ac:dyDescent="0.2">
      <c r="A20" s="444" t="s">
        <v>230</v>
      </c>
      <c r="B20" s="465" t="s">
        <v>202</v>
      </c>
      <c r="C20" s="466">
        <f>IF(AND($I$20=TRUE,OR('Pos. 5'!$V$10='Sprachen &amp; Rückgabewerte(5)'!$B$10,'Pos. 5'!$V$10='Sprachen &amp; Rückgabewerte(5)'!$B$11)),1,0)</f>
        <v>0</v>
      </c>
      <c r="D20" s="281" t="s">
        <v>25</v>
      </c>
      <c r="E20" s="316" t="s">
        <v>195</v>
      </c>
      <c r="F20" s="316" t="s">
        <v>26</v>
      </c>
      <c r="G20" s="317" t="s">
        <v>127</v>
      </c>
      <c r="H20" s="444" t="str">
        <f t="shared" si="1"/>
        <v>Elektrischer Antrieb, Anzahl</v>
      </c>
      <c r="I20" s="451" t="b">
        <v>0</v>
      </c>
      <c r="K20" s="281" t="s">
        <v>254</v>
      </c>
      <c r="L20" s="316">
        <v>1.1000000000000001</v>
      </c>
      <c r="M20" s="316">
        <v>60</v>
      </c>
      <c r="N20" s="316">
        <v>28</v>
      </c>
      <c r="O20" s="316" t="s">
        <v>235</v>
      </c>
      <c r="P20" s="317"/>
      <c r="Q20" s="281" t="s">
        <v>256</v>
      </c>
      <c r="R20" s="316">
        <v>0.33</v>
      </c>
      <c r="S20" s="316">
        <v>0.26</v>
      </c>
      <c r="T20" s="316">
        <v>0.52</v>
      </c>
      <c r="U20" s="317" t="s">
        <v>672</v>
      </c>
      <c r="V20" s="281" t="str">
        <f t="shared" si="0"/>
        <v>SG-22</v>
      </c>
      <c r="W20" s="316">
        <f t="shared" si="0"/>
        <v>1.1000000000000001</v>
      </c>
      <c r="X20" s="316">
        <f t="shared" si="0"/>
        <v>60</v>
      </c>
      <c r="Y20" s="316">
        <f t="shared" si="0"/>
        <v>28</v>
      </c>
      <c r="Z20" s="316" t="str">
        <f t="shared" si="0"/>
        <v>ESG 8 / 14 / ESG 8</v>
      </c>
      <c r="AA20" s="317"/>
      <c r="AB20" s="445"/>
      <c r="AC20" s="445"/>
      <c r="AD20" s="445"/>
      <c r="AE20" s="445"/>
      <c r="AF20" s="445"/>
    </row>
    <row r="21" spans="1:32" x14ac:dyDescent="0.2">
      <c r="A21" s="444" t="s">
        <v>231</v>
      </c>
      <c r="B21" s="465" t="s">
        <v>203</v>
      </c>
      <c r="C21" s="466">
        <f>IF(AND($I$20=TRUE,OR('Pos. 5'!$Z$10='Sprachen &amp; Rückgabewerte(5)'!$B$10,'Pos. 5'!$Z$10='Sprachen &amp; Rückgabewerte(5)'!$B$11)),1,0)</f>
        <v>0</v>
      </c>
      <c r="D21" s="281" t="s">
        <v>27</v>
      </c>
      <c r="E21" s="316" t="s">
        <v>770</v>
      </c>
      <c r="F21" s="316" t="s">
        <v>28</v>
      </c>
      <c r="G21" s="317" t="s">
        <v>128</v>
      </c>
      <c r="H21" s="444" t="str">
        <f t="shared" si="1"/>
        <v>Stk.</v>
      </c>
      <c r="I21" s="451"/>
      <c r="K21" s="281" t="s">
        <v>255</v>
      </c>
      <c r="L21" s="316">
        <v>1</v>
      </c>
      <c r="M21" s="316">
        <v>60</v>
      </c>
      <c r="N21" s="316">
        <v>28</v>
      </c>
      <c r="O21" s="316" t="s">
        <v>237</v>
      </c>
      <c r="P21" s="317"/>
      <c r="Q21" s="281" t="s">
        <v>257</v>
      </c>
      <c r="R21" s="316">
        <v>0.33</v>
      </c>
      <c r="S21" s="316">
        <v>0.26</v>
      </c>
      <c r="T21" s="316">
        <v>0.52</v>
      </c>
      <c r="U21" s="317" t="s">
        <v>673</v>
      </c>
      <c r="V21" s="281" t="str">
        <f t="shared" si="0"/>
        <v>SG-23</v>
      </c>
      <c r="W21" s="316">
        <f t="shared" si="0"/>
        <v>1</v>
      </c>
      <c r="X21" s="316">
        <f t="shared" si="0"/>
        <v>60</v>
      </c>
      <c r="Y21" s="316">
        <f t="shared" si="0"/>
        <v>28</v>
      </c>
      <c r="Z21" s="316" t="str">
        <f t="shared" si="0"/>
        <v>ESG 8 / 16 / ESG 6</v>
      </c>
      <c r="AA21" s="317"/>
      <c r="AB21" s="445"/>
      <c r="AC21" s="445"/>
      <c r="AD21" s="445"/>
      <c r="AE21" s="445"/>
      <c r="AF21" s="445"/>
    </row>
    <row r="22" spans="1:32" x14ac:dyDescent="0.2">
      <c r="A22" s="444"/>
      <c r="B22" s="465" t="s">
        <v>204</v>
      </c>
      <c r="C22" s="466">
        <f>IF(AND($I$20=TRUE,OR('Pos. 5'!$AD$10='Sprachen &amp; Rückgabewerte(5)'!$B$10,'Pos. 5'!$AD$10='Sprachen &amp; Rückgabewerte(5)'!$B$11)),1,0)</f>
        <v>0</v>
      </c>
      <c r="D22" s="281" t="s">
        <v>29</v>
      </c>
      <c r="E22" s="316" t="s">
        <v>345</v>
      </c>
      <c r="F22" s="316" t="s">
        <v>344</v>
      </c>
      <c r="G22" s="317" t="s">
        <v>508</v>
      </c>
      <c r="H22" s="444" t="str">
        <f t="shared" si="1"/>
        <v>geforderte Klassen:</v>
      </c>
      <c r="I22" s="451" t="b">
        <v>0</v>
      </c>
      <c r="K22" s="281" t="s">
        <v>256</v>
      </c>
      <c r="L22" s="316">
        <v>1.1000000000000001</v>
      </c>
      <c r="M22" s="316">
        <v>60</v>
      </c>
      <c r="N22" s="316">
        <v>28</v>
      </c>
      <c r="O22" s="316" t="s">
        <v>239</v>
      </c>
      <c r="P22" s="317"/>
      <c r="Q22" s="281" t="s">
        <v>258</v>
      </c>
      <c r="R22" s="316">
        <v>0.33</v>
      </c>
      <c r="S22" s="316">
        <v>0.26</v>
      </c>
      <c r="T22" s="316">
        <v>0.51</v>
      </c>
      <c r="U22" s="317" t="s">
        <v>674</v>
      </c>
      <c r="V22" s="281" t="str">
        <f t="shared" si="0"/>
        <v>SG-24</v>
      </c>
      <c r="W22" s="316">
        <f t="shared" si="0"/>
        <v>1.1000000000000001</v>
      </c>
      <c r="X22" s="316">
        <f t="shared" si="0"/>
        <v>60</v>
      </c>
      <c r="Y22" s="316">
        <f t="shared" si="0"/>
        <v>28</v>
      </c>
      <c r="Z22" s="316" t="str">
        <f t="shared" si="0"/>
        <v>ESG 10 / 14 / ESG 6</v>
      </c>
      <c r="AA22" s="317"/>
      <c r="AB22" s="445"/>
      <c r="AC22" s="445"/>
      <c r="AD22" s="445"/>
      <c r="AE22" s="445"/>
      <c r="AF22" s="445"/>
    </row>
    <row r="23" spans="1:32" x14ac:dyDescent="0.2">
      <c r="A23" s="363">
        <v>1</v>
      </c>
      <c r="B23" s="465" t="s">
        <v>205</v>
      </c>
      <c r="C23" s="466">
        <f>IF(AND($I$20=TRUE,OR('Pos. 5'!$AH$10='Sprachen &amp; Rückgabewerte(5)'!$B$10,'Pos. 5'!$AH$10='Sprachen &amp; Rückgabewerte(5)'!$B$11)),1,0)</f>
        <v>0</v>
      </c>
      <c r="D23" s="6" t="s">
        <v>119</v>
      </c>
      <c r="E23" s="7" t="s">
        <v>121</v>
      </c>
      <c r="F23" s="7" t="s">
        <v>122</v>
      </c>
      <c r="G23" s="8" t="s">
        <v>356</v>
      </c>
      <c r="H23" s="444" t="str">
        <f t="shared" si="1"/>
        <v>(Schlagregen, Luftdurchlässigkeit)</v>
      </c>
      <c r="I23" s="451"/>
      <c r="K23" s="281" t="s">
        <v>257</v>
      </c>
      <c r="L23" s="316">
        <v>1</v>
      </c>
      <c r="M23" s="316">
        <v>61</v>
      </c>
      <c r="N23" s="316">
        <v>28</v>
      </c>
      <c r="O23" s="316" t="s">
        <v>245</v>
      </c>
      <c r="P23" s="317"/>
      <c r="Q23" s="281">
        <v>0</v>
      </c>
      <c r="R23" s="316">
        <v>0</v>
      </c>
      <c r="S23" s="316">
        <v>0</v>
      </c>
      <c r="T23" s="316">
        <v>0</v>
      </c>
      <c r="U23" s="317" t="str">
        <f t="shared" si="2"/>
        <v>Glastyp wählen</v>
      </c>
      <c r="V23" s="281" t="str">
        <f t="shared" si="0"/>
        <v>SG-25</v>
      </c>
      <c r="W23" s="316">
        <f t="shared" si="0"/>
        <v>1</v>
      </c>
      <c r="X23" s="316">
        <f t="shared" si="0"/>
        <v>61</v>
      </c>
      <c r="Y23" s="316">
        <f t="shared" si="0"/>
        <v>28</v>
      </c>
      <c r="Z23" s="316" t="str">
        <f t="shared" si="0"/>
        <v>ESG 6 / 14 / V-WG 8-2</v>
      </c>
      <c r="AA23" s="317"/>
      <c r="AB23" s="445"/>
      <c r="AC23" s="445"/>
      <c r="AD23" s="445"/>
      <c r="AE23" s="445"/>
      <c r="AF23" s="445"/>
    </row>
    <row r="24" spans="1:32" ht="13.5" thickBot="1" x14ac:dyDescent="0.25">
      <c r="A24" s="471">
        <v>2</v>
      </c>
      <c r="B24" s="465" t="s">
        <v>206</v>
      </c>
      <c r="C24" s="466">
        <f>IF(AND($I$20=TRUE,OR('Pos. 5'!$AL$10='Sprachen &amp; Rückgabewerte(5)'!$B$10,'Pos. 5'!$AL$10='Sprachen &amp; Rückgabewerte(5)'!$B$11)),1,0)</f>
        <v>0</v>
      </c>
      <c r="D24" s="281" t="s">
        <v>111</v>
      </c>
      <c r="E24" s="316" t="s">
        <v>112</v>
      </c>
      <c r="F24" s="316" t="s">
        <v>113</v>
      </c>
      <c r="G24" s="317" t="s">
        <v>114</v>
      </c>
      <c r="H24" s="444" t="str">
        <f t="shared" si="1"/>
        <v>Speziell:</v>
      </c>
      <c r="I24" s="451"/>
      <c r="K24" s="281" t="s">
        <v>258</v>
      </c>
      <c r="L24" s="316">
        <v>1</v>
      </c>
      <c r="M24" s="316">
        <v>60</v>
      </c>
      <c r="N24" s="316">
        <v>28</v>
      </c>
      <c r="O24" s="316" t="s">
        <v>259</v>
      </c>
      <c r="P24" s="317"/>
      <c r="Q24" s="281" t="s">
        <v>675</v>
      </c>
      <c r="R24" s="316">
        <v>0.34</v>
      </c>
      <c r="S24" s="316">
        <v>0.22</v>
      </c>
      <c r="T24" s="316">
        <v>0.43</v>
      </c>
      <c r="U24" s="317" t="s">
        <v>676</v>
      </c>
      <c r="V24" s="281" t="str">
        <f t="shared" si="0"/>
        <v>SG-26</v>
      </c>
      <c r="W24" s="316">
        <f t="shared" si="0"/>
        <v>1</v>
      </c>
      <c r="X24" s="316">
        <f t="shared" si="0"/>
        <v>60</v>
      </c>
      <c r="Y24" s="316">
        <f t="shared" si="0"/>
        <v>28</v>
      </c>
      <c r="Z24" s="316" t="str">
        <f t="shared" si="0"/>
        <v>ESG 8 / 12 / V-WG 8-2</v>
      </c>
      <c r="AA24" s="317"/>
      <c r="AB24" s="445"/>
      <c r="AC24" s="445"/>
      <c r="AD24" s="445"/>
      <c r="AE24" s="445"/>
      <c r="AF24" s="445"/>
    </row>
    <row r="25" spans="1:32" ht="13.5" thickBot="1" x14ac:dyDescent="0.25">
      <c r="B25" s="472" t="s">
        <v>207</v>
      </c>
      <c r="C25" s="469">
        <f>IF(AND($I$20=TRUE,OR('Pos. 5'!$AP$10='Sprachen &amp; Rückgabewerte(5)'!$B$10,'Pos. 5'!$AP$10='Sprachen &amp; Rückgabewerte(5)'!$B$11)),1,0)</f>
        <v>0</v>
      </c>
      <c r="D25" s="281" t="s">
        <v>30</v>
      </c>
      <c r="E25" s="316" t="s">
        <v>30</v>
      </c>
      <c r="F25" s="316" t="s">
        <v>30</v>
      </c>
      <c r="G25" s="317" t="s">
        <v>30</v>
      </c>
      <c r="H25" s="444" t="str">
        <f t="shared" si="1"/>
        <v>Pool</v>
      </c>
      <c r="I25" s="451" t="b">
        <v>0</v>
      </c>
      <c r="K25" s="281" t="s">
        <v>260</v>
      </c>
      <c r="L25" s="316">
        <v>1</v>
      </c>
      <c r="M25" s="316">
        <v>59</v>
      </c>
      <c r="N25" s="316">
        <v>27</v>
      </c>
      <c r="O25" s="316" t="s">
        <v>261</v>
      </c>
      <c r="P25" s="317"/>
      <c r="Q25" s="281" t="s">
        <v>677</v>
      </c>
      <c r="R25" s="316">
        <v>0.33</v>
      </c>
      <c r="S25" s="316">
        <v>0.22</v>
      </c>
      <c r="T25" s="316">
        <v>0.42</v>
      </c>
      <c r="U25" s="317" t="s">
        <v>678</v>
      </c>
      <c r="V25" s="473" t="str">
        <f t="shared" si="0"/>
        <v>SG-27</v>
      </c>
      <c r="W25" s="474">
        <f t="shared" si="0"/>
        <v>1</v>
      </c>
      <c r="X25" s="474">
        <f t="shared" si="0"/>
        <v>59</v>
      </c>
      <c r="Y25" s="474">
        <f t="shared" si="0"/>
        <v>27</v>
      </c>
      <c r="Z25" s="474" t="str">
        <f t="shared" si="0"/>
        <v>V-F 10-2 / 12 / ESG 6</v>
      </c>
      <c r="AA25" s="475"/>
      <c r="AB25" s="445"/>
      <c r="AC25" s="445"/>
      <c r="AD25" s="445"/>
      <c r="AE25" s="445"/>
      <c r="AF25" s="445"/>
    </row>
    <row r="26" spans="1:32" ht="13.5" thickBot="1" x14ac:dyDescent="0.25">
      <c r="D26" s="281" t="s">
        <v>115</v>
      </c>
      <c r="E26" s="316" t="s">
        <v>120</v>
      </c>
      <c r="F26" s="316" t="s">
        <v>123</v>
      </c>
      <c r="G26" s="317" t="s">
        <v>357</v>
      </c>
      <c r="H26" s="444" t="str">
        <f t="shared" si="1"/>
        <v>Schallschutz</v>
      </c>
      <c r="I26" s="451"/>
      <c r="K26" s="281">
        <v>0</v>
      </c>
      <c r="L26" s="316">
        <v>0</v>
      </c>
      <c r="M26" s="316">
        <v>0</v>
      </c>
      <c r="N26" s="316">
        <v>0</v>
      </c>
      <c r="O26" s="316" t="str">
        <f t="shared" ref="O26:O35" si="3">$H$54</f>
        <v>Glastyp wählen</v>
      </c>
      <c r="P26" s="317"/>
      <c r="Q26" s="476" t="s">
        <v>679</v>
      </c>
      <c r="R26" s="477">
        <v>0.34</v>
      </c>
      <c r="S26" s="477">
        <v>0.22</v>
      </c>
      <c r="T26" s="477">
        <v>0.43</v>
      </c>
      <c r="U26" s="317" t="s">
        <v>680</v>
      </c>
      <c r="V26" s="281">
        <f t="shared" ref="V26:Z35" si="4">IF($I$125=TRUE,Q26,K26)</f>
        <v>0</v>
      </c>
      <c r="W26" s="316">
        <f t="shared" si="4"/>
        <v>0</v>
      </c>
      <c r="X26" s="316">
        <f t="shared" si="4"/>
        <v>0</v>
      </c>
      <c r="Y26" s="316">
        <f t="shared" si="4"/>
        <v>0</v>
      </c>
      <c r="Z26" s="316" t="str">
        <f t="shared" si="4"/>
        <v>Glastyp wählen</v>
      </c>
      <c r="AA26" s="317"/>
      <c r="AB26" s="445"/>
      <c r="AC26" s="445"/>
      <c r="AD26" s="445"/>
      <c r="AE26" s="445"/>
      <c r="AF26" s="445"/>
    </row>
    <row r="27" spans="1:32" x14ac:dyDescent="0.2">
      <c r="A27" s="57" t="s">
        <v>865</v>
      </c>
      <c r="B27" s="34" t="s">
        <v>208</v>
      </c>
      <c r="C27" s="366"/>
      <c r="D27" s="281" t="s">
        <v>116</v>
      </c>
      <c r="E27" s="316" t="s">
        <v>116</v>
      </c>
      <c r="F27" s="316" t="s">
        <v>116</v>
      </c>
      <c r="G27" s="317" t="s">
        <v>116</v>
      </c>
      <c r="H27" s="444" t="str">
        <f t="shared" si="1"/>
        <v>MINERGIE Modul</v>
      </c>
      <c r="I27" s="451"/>
      <c r="K27" s="281">
        <v>0</v>
      </c>
      <c r="L27" s="316">
        <v>0</v>
      </c>
      <c r="M27" s="316">
        <v>0</v>
      </c>
      <c r="N27" s="316">
        <v>0</v>
      </c>
      <c r="O27" s="316" t="str">
        <f t="shared" si="3"/>
        <v>Glastyp wählen</v>
      </c>
      <c r="P27" s="317"/>
      <c r="Q27" s="476" t="s">
        <v>681</v>
      </c>
      <c r="R27" s="477">
        <v>0.33</v>
      </c>
      <c r="S27" s="477">
        <v>0.22</v>
      </c>
      <c r="T27" s="477">
        <v>0.42</v>
      </c>
      <c r="U27" s="317" t="s">
        <v>682</v>
      </c>
      <c r="V27" s="281">
        <f t="shared" si="4"/>
        <v>0</v>
      </c>
      <c r="W27" s="316">
        <f t="shared" si="4"/>
        <v>0</v>
      </c>
      <c r="X27" s="316">
        <f t="shared" si="4"/>
        <v>0</v>
      </c>
      <c r="Y27" s="316">
        <f t="shared" si="4"/>
        <v>0</v>
      </c>
      <c r="Z27" s="316" t="str">
        <f t="shared" si="4"/>
        <v>Glastyp wählen</v>
      </c>
      <c r="AA27" s="317"/>
      <c r="AB27" s="445"/>
      <c r="AC27" s="445"/>
      <c r="AD27" s="445"/>
      <c r="AE27" s="445"/>
      <c r="AF27" s="445"/>
    </row>
    <row r="28" spans="1:32" x14ac:dyDescent="0.2">
      <c r="A28" s="362"/>
      <c r="B28" s="357" t="s">
        <v>209</v>
      </c>
      <c r="C28" s="358" t="str">
        <f>IF($I$17=TRUE,"P","")</f>
        <v/>
      </c>
      <c r="D28" s="281" t="s">
        <v>117</v>
      </c>
      <c r="E28" s="316" t="s">
        <v>117</v>
      </c>
      <c r="F28" s="316" t="s">
        <v>117</v>
      </c>
      <c r="G28" s="317" t="s">
        <v>117</v>
      </c>
      <c r="H28" s="444" t="str">
        <f t="shared" si="1"/>
        <v>MINERGIE-P Modul</v>
      </c>
      <c r="I28" s="451"/>
      <c r="K28" s="281">
        <v>0</v>
      </c>
      <c r="L28" s="316">
        <v>0</v>
      </c>
      <c r="M28" s="316">
        <v>0</v>
      </c>
      <c r="N28" s="316">
        <v>0</v>
      </c>
      <c r="O28" s="316" t="str">
        <f t="shared" si="3"/>
        <v>Glastyp wählen</v>
      </c>
      <c r="P28" s="317"/>
      <c r="Q28" s="476" t="s">
        <v>683</v>
      </c>
      <c r="R28" s="477">
        <v>0.33</v>
      </c>
      <c r="S28" s="477">
        <v>0.22</v>
      </c>
      <c r="T28" s="477">
        <v>0.42</v>
      </c>
      <c r="U28" s="317" t="s">
        <v>684</v>
      </c>
      <c r="V28" s="281">
        <f t="shared" si="4"/>
        <v>0</v>
      </c>
      <c r="W28" s="316">
        <f t="shared" si="4"/>
        <v>0</v>
      </c>
      <c r="X28" s="316">
        <f t="shared" si="4"/>
        <v>0</v>
      </c>
      <c r="Y28" s="316">
        <f t="shared" si="4"/>
        <v>0</v>
      </c>
      <c r="Z28" s="316" t="str">
        <f t="shared" si="4"/>
        <v>Glastyp wählen</v>
      </c>
      <c r="AA28" s="317"/>
      <c r="AB28" s="445"/>
      <c r="AC28" s="445"/>
      <c r="AD28" s="445"/>
      <c r="AE28" s="445"/>
      <c r="AF28" s="445"/>
    </row>
    <row r="29" spans="1:32" x14ac:dyDescent="0.2">
      <c r="A29" s="363" t="s">
        <v>866</v>
      </c>
      <c r="B29" s="281" t="s">
        <v>210</v>
      </c>
      <c r="C29" s="466" t="str">
        <f>IF($I$18=TRUE,"R","")</f>
        <v/>
      </c>
      <c r="D29" s="281" t="s">
        <v>118</v>
      </c>
      <c r="E29" s="316" t="s">
        <v>118</v>
      </c>
      <c r="F29" s="316" t="s">
        <v>118</v>
      </c>
      <c r="G29" s="317" t="s">
        <v>118</v>
      </c>
      <c r="H29" s="444" t="str">
        <f t="shared" si="1"/>
        <v>Gun</v>
      </c>
      <c r="I29" s="451"/>
      <c r="K29" s="281">
        <v>0</v>
      </c>
      <c r="L29" s="316">
        <v>0</v>
      </c>
      <c r="M29" s="316">
        <v>0</v>
      </c>
      <c r="N29" s="316">
        <v>0</v>
      </c>
      <c r="O29" s="316" t="str">
        <f t="shared" si="3"/>
        <v>Glastyp wählen</v>
      </c>
      <c r="P29" s="317"/>
      <c r="Q29" s="476" t="s">
        <v>685</v>
      </c>
      <c r="R29" s="477">
        <v>0.33</v>
      </c>
      <c r="S29" s="477">
        <v>0.22</v>
      </c>
      <c r="T29" s="477">
        <v>0.42</v>
      </c>
      <c r="U29" s="317" t="s">
        <v>686</v>
      </c>
      <c r="V29" s="281">
        <f t="shared" si="4"/>
        <v>0</v>
      </c>
      <c r="W29" s="316">
        <f t="shared" si="4"/>
        <v>0</v>
      </c>
      <c r="X29" s="316">
        <f t="shared" si="4"/>
        <v>0</v>
      </c>
      <c r="Y29" s="316">
        <f t="shared" si="4"/>
        <v>0</v>
      </c>
      <c r="Z29" s="316" t="str">
        <f t="shared" si="4"/>
        <v>Glastyp wählen</v>
      </c>
      <c r="AA29" s="317"/>
      <c r="AB29" s="445"/>
      <c r="AC29" s="445"/>
      <c r="AD29" s="445"/>
      <c r="AE29" s="445"/>
      <c r="AF29" s="445"/>
    </row>
    <row r="30" spans="1:32" ht="13.5" thickBot="1" x14ac:dyDescent="0.25">
      <c r="A30" s="364" t="s">
        <v>867</v>
      </c>
      <c r="B30" s="472" t="s">
        <v>211</v>
      </c>
      <c r="C30" s="469" t="str">
        <f>IF($I$19=TRUE,"G","")</f>
        <v/>
      </c>
      <c r="D30" s="281" t="s">
        <v>31</v>
      </c>
      <c r="E30" s="316" t="s">
        <v>32</v>
      </c>
      <c r="F30" s="316" t="s">
        <v>33</v>
      </c>
      <c r="G30" s="317" t="s">
        <v>701</v>
      </c>
      <c r="H30" s="444" t="str">
        <f t="shared" si="1"/>
        <v>nach rechts</v>
      </c>
      <c r="I30" s="451" t="b">
        <v>0</v>
      </c>
      <c r="K30" s="281">
        <v>0</v>
      </c>
      <c r="L30" s="316">
        <v>0</v>
      </c>
      <c r="M30" s="316">
        <v>0</v>
      </c>
      <c r="N30" s="316">
        <v>0</v>
      </c>
      <c r="O30" s="316" t="str">
        <f t="shared" si="3"/>
        <v>Glastyp wählen</v>
      </c>
      <c r="P30" s="317"/>
      <c r="Q30" s="281">
        <v>0</v>
      </c>
      <c r="R30" s="316">
        <v>0</v>
      </c>
      <c r="S30" s="316">
        <v>0</v>
      </c>
      <c r="T30" s="316">
        <v>0</v>
      </c>
      <c r="U30" s="317" t="str">
        <f t="shared" ref="U30" si="5">$H$54</f>
        <v>Glastyp wählen</v>
      </c>
      <c r="V30" s="281">
        <f t="shared" si="4"/>
        <v>0</v>
      </c>
      <c r="W30" s="316">
        <f t="shared" si="4"/>
        <v>0</v>
      </c>
      <c r="X30" s="316">
        <f t="shared" si="4"/>
        <v>0</v>
      </c>
      <c r="Y30" s="316">
        <f t="shared" si="4"/>
        <v>0</v>
      </c>
      <c r="Z30" s="316" t="str">
        <f t="shared" si="4"/>
        <v>Glastyp wählen</v>
      </c>
      <c r="AA30" s="317"/>
      <c r="AB30" s="445"/>
      <c r="AC30" s="445"/>
      <c r="AD30" s="445"/>
      <c r="AE30" s="445"/>
      <c r="AF30" s="445"/>
    </row>
    <row r="31" spans="1:32" ht="13.5" thickBot="1" x14ac:dyDescent="0.25">
      <c r="B31" s="445"/>
      <c r="C31" s="478"/>
      <c r="D31" s="465" t="s">
        <v>34</v>
      </c>
      <c r="E31" s="316" t="s">
        <v>35</v>
      </c>
      <c r="F31" s="316" t="s">
        <v>36</v>
      </c>
      <c r="G31" s="317" t="s">
        <v>702</v>
      </c>
      <c r="H31" s="444" t="str">
        <f t="shared" si="1"/>
        <v>nach links</v>
      </c>
      <c r="I31" s="451" t="b">
        <v>0</v>
      </c>
      <c r="K31" s="281">
        <v>0</v>
      </c>
      <c r="L31" s="316">
        <v>0</v>
      </c>
      <c r="M31" s="316">
        <v>0</v>
      </c>
      <c r="N31" s="316">
        <v>0</v>
      </c>
      <c r="O31" s="316" t="str">
        <f t="shared" si="3"/>
        <v>Glastyp wählen</v>
      </c>
      <c r="P31" s="317"/>
      <c r="Q31" s="476" t="s">
        <v>687</v>
      </c>
      <c r="R31" s="477">
        <v>0.33</v>
      </c>
      <c r="S31" s="477">
        <v>0.46</v>
      </c>
      <c r="T31" s="477">
        <v>0.66</v>
      </c>
      <c r="U31" s="317" t="s">
        <v>691</v>
      </c>
      <c r="V31" s="281">
        <f t="shared" si="4"/>
        <v>0</v>
      </c>
      <c r="W31" s="316">
        <f t="shared" si="4"/>
        <v>0</v>
      </c>
      <c r="X31" s="316">
        <f t="shared" si="4"/>
        <v>0</v>
      </c>
      <c r="Y31" s="316">
        <f t="shared" si="4"/>
        <v>0</v>
      </c>
      <c r="Z31" s="316" t="str">
        <f t="shared" si="4"/>
        <v>Glastyp wählen</v>
      </c>
      <c r="AA31" s="317"/>
      <c r="AB31" s="445"/>
      <c r="AC31" s="445"/>
      <c r="AD31" s="445"/>
      <c r="AE31" s="445"/>
      <c r="AF31" s="445"/>
    </row>
    <row r="32" spans="1:32" x14ac:dyDescent="0.2">
      <c r="B32" s="34" t="s">
        <v>217</v>
      </c>
      <c r="C32" s="34"/>
      <c r="D32" s="465" t="s">
        <v>37</v>
      </c>
      <c r="E32" s="316" t="s">
        <v>38</v>
      </c>
      <c r="F32" s="316" t="s">
        <v>39</v>
      </c>
      <c r="G32" s="317" t="s">
        <v>129</v>
      </c>
      <c r="H32" s="444" t="str">
        <f t="shared" si="1"/>
        <v>Breite =</v>
      </c>
      <c r="I32" s="451"/>
      <c r="K32" s="281">
        <v>0</v>
      </c>
      <c r="L32" s="316">
        <v>0</v>
      </c>
      <c r="M32" s="316">
        <v>0</v>
      </c>
      <c r="N32" s="316">
        <v>0</v>
      </c>
      <c r="O32" s="316" t="str">
        <f t="shared" si="3"/>
        <v>Glastyp wählen</v>
      </c>
      <c r="P32" s="317"/>
      <c r="Q32" s="476" t="s">
        <v>688</v>
      </c>
      <c r="R32" s="477">
        <v>0.32</v>
      </c>
      <c r="S32" s="477">
        <v>0.39</v>
      </c>
      <c r="T32" s="477">
        <v>0.57999999999999996</v>
      </c>
      <c r="U32" s="317" t="s">
        <v>692</v>
      </c>
      <c r="V32" s="281">
        <f t="shared" si="4"/>
        <v>0</v>
      </c>
      <c r="W32" s="316">
        <f t="shared" si="4"/>
        <v>0</v>
      </c>
      <c r="X32" s="316">
        <f t="shared" si="4"/>
        <v>0</v>
      </c>
      <c r="Y32" s="316">
        <f t="shared" si="4"/>
        <v>0</v>
      </c>
      <c r="Z32" s="316" t="str">
        <f t="shared" si="4"/>
        <v>Glastyp wählen</v>
      </c>
      <c r="AA32" s="317"/>
      <c r="AB32" s="445"/>
      <c r="AC32" s="445"/>
      <c r="AD32" s="445"/>
      <c r="AE32" s="445"/>
      <c r="AF32" s="445"/>
    </row>
    <row r="33" spans="1:32" x14ac:dyDescent="0.2">
      <c r="B33" s="357"/>
      <c r="C33" s="372"/>
      <c r="D33" s="281" t="s">
        <v>132</v>
      </c>
      <c r="E33" s="316" t="s">
        <v>131</v>
      </c>
      <c r="F33" s="316" t="s">
        <v>40</v>
      </c>
      <c r="G33" s="317" t="s">
        <v>130</v>
      </c>
      <c r="H33" s="444" t="str">
        <f t="shared" si="1"/>
        <v>Griffhöhe:</v>
      </c>
      <c r="I33" s="451"/>
      <c r="K33" s="281">
        <v>0</v>
      </c>
      <c r="L33" s="316">
        <v>0</v>
      </c>
      <c r="M33" s="316">
        <v>0</v>
      </c>
      <c r="N33" s="316">
        <v>0</v>
      </c>
      <c r="O33" s="316" t="str">
        <f t="shared" si="3"/>
        <v>Glastyp wählen</v>
      </c>
      <c r="P33" s="317"/>
      <c r="Q33" s="476" t="s">
        <v>689</v>
      </c>
      <c r="R33" s="477">
        <v>0.32</v>
      </c>
      <c r="S33" s="477">
        <v>0.26</v>
      </c>
      <c r="T33" s="477">
        <v>0.52</v>
      </c>
      <c r="U33" s="317" t="s">
        <v>690</v>
      </c>
      <c r="V33" s="281">
        <f t="shared" si="4"/>
        <v>0</v>
      </c>
      <c r="W33" s="316">
        <f t="shared" si="4"/>
        <v>0</v>
      </c>
      <c r="X33" s="316">
        <f t="shared" si="4"/>
        <v>0</v>
      </c>
      <c r="Y33" s="316">
        <f t="shared" si="4"/>
        <v>0</v>
      </c>
      <c r="Z33" s="316" t="str">
        <f t="shared" si="4"/>
        <v>Glastyp wählen</v>
      </c>
      <c r="AA33" s="317"/>
      <c r="AB33" s="445"/>
      <c r="AC33" s="445"/>
      <c r="AD33" s="445"/>
      <c r="AE33" s="445"/>
      <c r="AF33" s="445"/>
    </row>
    <row r="34" spans="1:32" ht="13.5" thickBot="1" x14ac:dyDescent="0.25">
      <c r="B34" s="479" t="s">
        <v>218</v>
      </c>
      <c r="C34" s="377"/>
      <c r="D34" s="281" t="s">
        <v>41</v>
      </c>
      <c r="E34" s="316" t="s">
        <v>42</v>
      </c>
      <c r="F34" s="316" t="s">
        <v>43</v>
      </c>
      <c r="G34" s="317" t="s">
        <v>133</v>
      </c>
      <c r="H34" s="444" t="str">
        <f t="shared" si="1"/>
        <v xml:space="preserve">Höhe = </v>
      </c>
      <c r="I34" s="451"/>
      <c r="K34" s="281">
        <v>0</v>
      </c>
      <c r="L34" s="316">
        <v>0</v>
      </c>
      <c r="M34" s="316">
        <v>0</v>
      </c>
      <c r="N34" s="316">
        <v>0</v>
      </c>
      <c r="O34" s="316" t="str">
        <f t="shared" si="3"/>
        <v>Glastyp wählen</v>
      </c>
      <c r="P34" s="229"/>
      <c r="Q34" s="281">
        <v>0</v>
      </c>
      <c r="R34" s="316">
        <v>0</v>
      </c>
      <c r="S34" s="316">
        <v>0</v>
      </c>
      <c r="T34" s="316">
        <v>0</v>
      </c>
      <c r="U34" s="317" t="str">
        <f t="shared" ref="U34" si="6">$H$54</f>
        <v>Glastyp wählen</v>
      </c>
      <c r="V34" s="281">
        <f t="shared" si="4"/>
        <v>0</v>
      </c>
      <c r="W34" s="316">
        <f t="shared" si="4"/>
        <v>0</v>
      </c>
      <c r="X34" s="316">
        <f t="shared" si="4"/>
        <v>0</v>
      </c>
      <c r="Y34" s="316">
        <f t="shared" si="4"/>
        <v>0</v>
      </c>
      <c r="Z34" s="316" t="str">
        <f t="shared" si="4"/>
        <v>Glastyp wählen</v>
      </c>
      <c r="AA34" s="317"/>
      <c r="AB34" s="445"/>
      <c r="AC34" s="445"/>
      <c r="AD34" s="445"/>
      <c r="AE34" s="445"/>
      <c r="AF34" s="445"/>
    </row>
    <row r="35" spans="1:32" ht="13.5" thickBot="1" x14ac:dyDescent="0.25">
      <c r="D35" s="281" t="s">
        <v>44</v>
      </c>
      <c r="E35" s="316" t="s">
        <v>45</v>
      </c>
      <c r="F35" s="316" t="s">
        <v>45</v>
      </c>
      <c r="G35" s="317" t="s">
        <v>134</v>
      </c>
      <c r="H35" s="444" t="str">
        <f t="shared" si="1"/>
        <v>Oberfläche:</v>
      </c>
      <c r="I35" s="451"/>
      <c r="K35" s="472">
        <v>0</v>
      </c>
      <c r="L35" s="480">
        <v>0</v>
      </c>
      <c r="M35" s="480">
        <v>0</v>
      </c>
      <c r="N35" s="480">
        <v>0</v>
      </c>
      <c r="O35" s="480" t="str">
        <f t="shared" si="3"/>
        <v>Glastyp wählen</v>
      </c>
      <c r="P35" s="377"/>
      <c r="Q35" s="481" t="s">
        <v>693</v>
      </c>
      <c r="R35" s="482">
        <v>0.32</v>
      </c>
      <c r="S35" s="482">
        <v>0.22</v>
      </c>
      <c r="T35" s="482">
        <v>0.42</v>
      </c>
      <c r="U35" s="377" t="s">
        <v>694</v>
      </c>
      <c r="V35" s="472">
        <f t="shared" si="4"/>
        <v>0</v>
      </c>
      <c r="W35" s="480">
        <f t="shared" si="4"/>
        <v>0</v>
      </c>
      <c r="X35" s="480">
        <f t="shared" si="4"/>
        <v>0</v>
      </c>
      <c r="Y35" s="480">
        <f t="shared" si="4"/>
        <v>0</v>
      </c>
      <c r="Z35" s="480" t="str">
        <f t="shared" si="4"/>
        <v>Glastyp wählen</v>
      </c>
      <c r="AA35" s="377"/>
      <c r="AB35" s="445"/>
      <c r="AC35" s="445"/>
      <c r="AD35" s="445"/>
      <c r="AE35" s="445"/>
      <c r="AF35" s="445"/>
    </row>
    <row r="36" spans="1:32" x14ac:dyDescent="0.2">
      <c r="B36" s="34" t="s">
        <v>219</v>
      </c>
      <c r="C36" s="34"/>
      <c r="D36" s="281" t="s">
        <v>46</v>
      </c>
      <c r="E36" s="316" t="s">
        <v>47</v>
      </c>
      <c r="F36" s="316" t="s">
        <v>136</v>
      </c>
      <c r="G36" s="317" t="s">
        <v>135</v>
      </c>
      <c r="H36" s="444" t="str">
        <f t="shared" si="1"/>
        <v>eloxiert (Qualanod):</v>
      </c>
      <c r="I36" s="451" t="b">
        <v>1</v>
      </c>
      <c r="AB36" s="445"/>
      <c r="AC36" s="445"/>
      <c r="AD36" s="445"/>
      <c r="AE36" s="445"/>
      <c r="AF36" s="445"/>
    </row>
    <row r="37" spans="1:32" x14ac:dyDescent="0.2">
      <c r="B37" s="357" t="s">
        <v>221</v>
      </c>
      <c r="C37" s="372" t="b">
        <v>1</v>
      </c>
      <c r="D37" s="281" t="s">
        <v>48</v>
      </c>
      <c r="E37" s="316" t="s">
        <v>137</v>
      </c>
      <c r="F37" s="316" t="s">
        <v>137</v>
      </c>
      <c r="G37" s="317" t="s">
        <v>137</v>
      </c>
      <c r="H37" s="444" t="str">
        <f t="shared" si="1"/>
        <v>20 my (Standard)</v>
      </c>
      <c r="I37" s="451"/>
    </row>
    <row r="38" spans="1:32" x14ac:dyDescent="0.2">
      <c r="B38" s="281" t="s">
        <v>220</v>
      </c>
      <c r="C38" s="317" t="b">
        <v>1</v>
      </c>
      <c r="D38" s="281" t="s">
        <v>49</v>
      </c>
      <c r="E38" s="316" t="s">
        <v>50</v>
      </c>
      <c r="F38" s="316" t="s">
        <v>51</v>
      </c>
      <c r="G38" s="317" t="s">
        <v>358</v>
      </c>
      <c r="H38" s="444" t="str">
        <f t="shared" si="1"/>
        <v>25 my (Pool/Meer)</v>
      </c>
      <c r="I38" s="451"/>
    </row>
    <row r="39" spans="1:32" ht="13.5" thickBot="1" x14ac:dyDescent="0.25">
      <c r="B39" s="281" t="s">
        <v>222</v>
      </c>
      <c r="C39" s="317" t="b">
        <v>0</v>
      </c>
      <c r="D39" s="281" t="s">
        <v>382</v>
      </c>
      <c r="E39" s="316" t="s">
        <v>383</v>
      </c>
      <c r="F39" s="316" t="s">
        <v>384</v>
      </c>
      <c r="G39" s="317" t="s">
        <v>385</v>
      </c>
      <c r="H39" s="444" t="str">
        <f t="shared" si="1"/>
        <v>pulverbeschichtet:</v>
      </c>
      <c r="I39" s="451" t="b">
        <v>0</v>
      </c>
    </row>
    <row r="40" spans="1:32" x14ac:dyDescent="0.2">
      <c r="A40" s="282" t="s">
        <v>762</v>
      </c>
      <c r="B40" s="281" t="s">
        <v>223</v>
      </c>
      <c r="C40" s="317" t="b">
        <v>0</v>
      </c>
      <c r="D40" s="281" t="s">
        <v>856</v>
      </c>
      <c r="E40" s="316" t="s">
        <v>857</v>
      </c>
      <c r="F40" s="316" t="s">
        <v>858</v>
      </c>
      <c r="G40" s="317" t="s">
        <v>859</v>
      </c>
      <c r="H40" s="444" t="str">
        <f t="shared" si="1"/>
        <v>Vorbehandlung:</v>
      </c>
      <c r="I40" s="451"/>
      <c r="K40" s="57" t="s">
        <v>468</v>
      </c>
      <c r="L40" s="365"/>
      <c r="M40" s="366"/>
      <c r="N40" s="536" t="s">
        <v>621</v>
      </c>
      <c r="O40" s="537"/>
      <c r="P40" s="538"/>
      <c r="Q40" s="57" t="s">
        <v>321</v>
      </c>
      <c r="R40" s="57" t="s">
        <v>528</v>
      </c>
      <c r="S40" s="57" t="s">
        <v>532</v>
      </c>
      <c r="U40" s="34" t="s">
        <v>760</v>
      </c>
      <c r="V40" s="35"/>
    </row>
    <row r="41" spans="1:32" x14ac:dyDescent="0.2">
      <c r="A41" s="464" t="b">
        <f>IF(C41=FALSE,TRUE,(IF(AND(C41=TRUE,'Pos. 5'!F72=""),FALSE,TRUE)))</f>
        <v>1</v>
      </c>
      <c r="B41" s="281" t="s">
        <v>389</v>
      </c>
      <c r="C41" s="317" t="b">
        <v>0</v>
      </c>
      <c r="D41" s="281" t="s">
        <v>52</v>
      </c>
      <c r="E41" s="316" t="s">
        <v>53</v>
      </c>
      <c r="F41" s="316" t="s">
        <v>54</v>
      </c>
      <c r="G41" s="483" t="s">
        <v>138</v>
      </c>
      <c r="H41" s="444" t="str">
        <f t="shared" si="1"/>
        <v>+Voranodisieren</v>
      </c>
      <c r="I41" s="451"/>
      <c r="K41" s="484" t="s">
        <v>469</v>
      </c>
      <c r="L41" s="284">
        <f>IF(OR($I$5=TRUE,$I$6=TRUE),1,0)</f>
        <v>0</v>
      </c>
      <c r="M41" s="485"/>
      <c r="N41" s="193" t="str">
        <f>CONCATENATE("Pos. ",'Pos. 5'!$B$2,".1")</f>
        <v>Pos. 5.1</v>
      </c>
      <c r="O41" s="194" t="b">
        <f>IF(AND('Pos. 5'!AW32&lt;&gt;"",'Pos. 5'!AX32&lt;&gt;""),TRUE,FALSE)</f>
        <v>0</v>
      </c>
      <c r="P41" s="195"/>
      <c r="Q41" s="362"/>
      <c r="R41" s="362"/>
      <c r="S41" s="280">
        <f>COUNTA('Pos. 5'!G20:AP20)</f>
        <v>0</v>
      </c>
      <c r="U41" s="486" t="b">
        <f>IF(L41=0,FALSE,TRUE)</f>
        <v>0</v>
      </c>
      <c r="V41" s="487">
        <f>IF(U41=FALSE,1,0)</f>
        <v>1</v>
      </c>
    </row>
    <row r="42" spans="1:32" x14ac:dyDescent="0.2">
      <c r="A42" s="444" t="b">
        <f>IF(C42=FALSE,TRUE,(IF(AND(C42=TRUE,'Pos. 5'!L72=""),FALSE,TRUE)))</f>
        <v>1</v>
      </c>
      <c r="B42" s="281" t="s">
        <v>390</v>
      </c>
      <c r="C42" s="317" t="b">
        <v>0</v>
      </c>
      <c r="D42" s="281" t="s">
        <v>55</v>
      </c>
      <c r="E42" s="316" t="s">
        <v>56</v>
      </c>
      <c r="F42" s="316" t="s">
        <v>57</v>
      </c>
      <c r="G42" s="317" t="s">
        <v>139</v>
      </c>
      <c r="H42" s="444" t="str">
        <f t="shared" si="1"/>
        <v>Glas-Typ: SG = "Sky-Glass"</v>
      </c>
      <c r="I42" s="451"/>
      <c r="K42" s="311" t="s">
        <v>470</v>
      </c>
      <c r="L42" s="287">
        <f>IF(AND('Pos. 5'!$Y$5&lt;&gt;"",'Pos. 5'!$Y$7&lt;&gt;"",'Pos. 5'!$Y$6&lt;&gt;""),1,0)</f>
        <v>0</v>
      </c>
      <c r="M42" s="488"/>
      <c r="N42" s="193" t="str">
        <f>CONCATENATE("Pos. ",'Pos. 5'!$B$2,".2")</f>
        <v>Pos. 5.2</v>
      </c>
      <c r="O42" s="194" t="b">
        <f>IF(AND('Pos. 5'!AW33&lt;&gt;"",'Pos. 5'!AX33&lt;&gt;""),TRUE,FALSE)</f>
        <v>0</v>
      </c>
      <c r="P42" s="197"/>
      <c r="Q42" s="489">
        <v>1</v>
      </c>
      <c r="R42" s="490" t="s">
        <v>526</v>
      </c>
      <c r="U42" s="311" t="b">
        <f t="shared" ref="U42:U47" si="7">IF(L42=0,FALSE,TRUE)</f>
        <v>0</v>
      </c>
      <c r="V42" s="491">
        <f t="shared" ref="V42:V79" si="8">IF(U42=FALSE,1,0)</f>
        <v>1</v>
      </c>
    </row>
    <row r="43" spans="1:32" x14ac:dyDescent="0.2">
      <c r="A43" s="444" t="b">
        <f>IF(C43=FALSE,TRUE,(IF(AND(C43=TRUE,'Pos. 5'!R72=""),FALSE,TRUE)))</f>
        <v>1</v>
      </c>
      <c r="B43" s="281" t="s">
        <v>391</v>
      </c>
      <c r="C43" s="317" t="b">
        <v>0</v>
      </c>
      <c r="D43" s="281" t="s">
        <v>58</v>
      </c>
      <c r="E43" s="316" t="s">
        <v>59</v>
      </c>
      <c r="F43" s="316" t="s">
        <v>60</v>
      </c>
      <c r="G43" s="317" t="s">
        <v>140</v>
      </c>
      <c r="H43" s="444" t="str">
        <f t="shared" si="1"/>
        <v>Swisspacer-U schwarz</v>
      </c>
      <c r="I43" s="451" t="b">
        <v>0</v>
      </c>
      <c r="K43" s="311" t="s">
        <v>471</v>
      </c>
      <c r="L43" s="287">
        <f>IF(AND('Pos. 5'!$AJ$5&lt;&gt;"",'Pos. 5'!$AJ$6&lt;&gt;"",'Pos. 5'!$AJ$7&lt;&gt;""),1,0)</f>
        <v>0</v>
      </c>
      <c r="M43" s="488"/>
      <c r="N43" s="193" t="str">
        <f>CONCATENATE("Pos. ",'Pos. 5'!$B$2,".3")</f>
        <v>Pos. 5.3</v>
      </c>
      <c r="O43" s="194" t="b">
        <f>IF(AND('Pos. 5'!AW34&lt;&gt;"",'Pos. 5'!AX34&lt;&gt;""),TRUE,FALSE)</f>
        <v>0</v>
      </c>
      <c r="P43" s="197"/>
      <c r="Q43" s="363">
        <v>2</v>
      </c>
      <c r="R43" s="490" t="s">
        <v>527</v>
      </c>
      <c r="U43" s="311" t="b">
        <f t="shared" si="7"/>
        <v>0</v>
      </c>
      <c r="V43" s="491">
        <f t="shared" si="8"/>
        <v>1</v>
      </c>
    </row>
    <row r="44" spans="1:32" x14ac:dyDescent="0.2">
      <c r="A44" s="444" t="b">
        <f>IF(C44=FALSE,TRUE,(IF(AND(C44=TRUE,'Pos. 5'!X72=""),FALSE,TRUE)))</f>
        <v>1</v>
      </c>
      <c r="B44" s="281" t="str">
        <f>IF('Pos. 5'!AB62="","121101/121101","121401/121401")</f>
        <v>121101/121101</v>
      </c>
      <c r="C44" s="317" t="b">
        <v>0</v>
      </c>
      <c r="D44" s="281" t="s">
        <v>61</v>
      </c>
      <c r="E44" s="316" t="s">
        <v>62</v>
      </c>
      <c r="F44" s="316" t="s">
        <v>63</v>
      </c>
      <c r="G44" s="317" t="s">
        <v>141</v>
      </c>
      <c r="H44" s="444" t="str">
        <f t="shared" si="1"/>
        <v>Swisspacer-U grau</v>
      </c>
      <c r="I44" s="451" t="b">
        <v>0</v>
      </c>
      <c r="K44" s="311" t="s">
        <v>472</v>
      </c>
      <c r="L44" s="287">
        <f>IF(OR($I$10=TRUE,$I$11=TRUE,$I$12=TRUE),1,0)</f>
        <v>0</v>
      </c>
      <c r="M44" s="488"/>
      <c r="N44" s="193" t="str">
        <f>CONCATENATE("Pos. ",'Pos. 5'!$B$2,".4")</f>
        <v>Pos. 5.4</v>
      </c>
      <c r="O44" s="194" t="b">
        <f>IF(AND('Pos. 5'!AW35&lt;&gt;"",'Pos. 5'!AX35&lt;&gt;""),TRUE,FALSE)</f>
        <v>0</v>
      </c>
      <c r="P44" s="197"/>
      <c r="Q44" s="363">
        <v>3</v>
      </c>
      <c r="U44" s="311" t="b">
        <f t="shared" si="7"/>
        <v>0</v>
      </c>
      <c r="V44" s="491">
        <f t="shared" si="8"/>
        <v>1</v>
      </c>
    </row>
    <row r="45" spans="1:32" x14ac:dyDescent="0.2">
      <c r="A45" s="444" t="b">
        <f>IF(C45=FALSE,TRUE,(IF(AND(C45=TRUE,'Pos. 5'!H85=""),FALSE,TRUE)))</f>
        <v>1</v>
      </c>
      <c r="B45" s="281" t="s">
        <v>406</v>
      </c>
      <c r="C45" s="317" t="b">
        <v>0</v>
      </c>
      <c r="D45" s="281" t="s">
        <v>111</v>
      </c>
      <c r="E45" s="316" t="s">
        <v>112</v>
      </c>
      <c r="F45" s="316" t="s">
        <v>113</v>
      </c>
      <c r="G45" s="317" t="s">
        <v>114</v>
      </c>
      <c r="H45" s="444" t="str">
        <f t="shared" si="1"/>
        <v>Speziell:</v>
      </c>
      <c r="I45" s="451" t="b">
        <v>0</v>
      </c>
      <c r="K45" s="311" t="s">
        <v>473</v>
      </c>
      <c r="L45" s="287">
        <f>IF(AND('Pos. 5'!$F$10&lt;&gt;"",OR('Pos. 5'!$E$23&lt;&gt;"",'Pos. 5'!$E$24&lt;&gt;"",'Pos. 5'!$E$25&lt;&gt;"",'Pos. 5'!$E$26&lt;&gt;"")),1,0)</f>
        <v>0</v>
      </c>
      <c r="M45" s="488"/>
      <c r="N45" s="193" t="str">
        <f>CONCATENATE("Pos. ",'Pos. 5'!$B$2,".5")</f>
        <v>Pos. 5.5</v>
      </c>
      <c r="O45" s="194" t="b">
        <f>IF(AND('Pos. 5'!AW36&lt;&gt;"",'Pos. 5'!AX36&lt;&gt;""),TRUE,FALSE)</f>
        <v>0</v>
      </c>
      <c r="P45" s="197"/>
      <c r="Q45" s="363">
        <v>4</v>
      </c>
      <c r="U45" s="311" t="b">
        <f t="shared" si="7"/>
        <v>0</v>
      </c>
      <c r="V45" s="491">
        <f t="shared" si="8"/>
        <v>1</v>
      </c>
    </row>
    <row r="46" spans="1:32" x14ac:dyDescent="0.2">
      <c r="A46" s="444" t="b">
        <f>IF(C46=FALSE,TRUE,(IF(AND(C46=TRUE,'Pos. 5'!O85=""),FALSE,TRUE)))</f>
        <v>1</v>
      </c>
      <c r="B46" s="281" t="s">
        <v>407</v>
      </c>
      <c r="C46" s="317" t="b">
        <v>0</v>
      </c>
      <c r="D46" s="281" t="s">
        <v>64</v>
      </c>
      <c r="E46" s="316" t="s">
        <v>65</v>
      </c>
      <c r="F46" s="316" t="s">
        <v>66</v>
      </c>
      <c r="G46" s="317" t="s">
        <v>142</v>
      </c>
      <c r="H46" s="444" t="str">
        <f t="shared" si="1"/>
        <v>Statik:</v>
      </c>
      <c r="I46" s="451"/>
      <c r="K46" s="311" t="s">
        <v>474</v>
      </c>
      <c r="L46" s="287">
        <f>IF(AND($I$13=TRUE,'Pos. 5'!$E$28=""),0,1)</f>
        <v>1</v>
      </c>
      <c r="M46" s="488"/>
      <c r="N46" s="193" t="str">
        <f>CONCATENATE("Pos. ",'Pos. 5'!$B$2,".6")</f>
        <v>Pos. 5.6</v>
      </c>
      <c r="O46" s="194" t="b">
        <f>IF(AND('Pos. 5'!AW37&lt;&gt;"",'Pos. 5'!AX37&lt;&gt;""),TRUE,FALSE)</f>
        <v>0</v>
      </c>
      <c r="P46" s="197"/>
      <c r="Q46" s="363">
        <v>5</v>
      </c>
      <c r="U46" s="311" t="b">
        <f t="shared" si="7"/>
        <v>1</v>
      </c>
      <c r="V46" s="491">
        <f t="shared" si="8"/>
        <v>0</v>
      </c>
    </row>
    <row r="47" spans="1:32" x14ac:dyDescent="0.2">
      <c r="A47" s="444" t="b">
        <f>IF(C47=FALSE,TRUE,(IF(AND(C47=TRUE,'Pos. 5'!V85=""),FALSE,TRUE)))</f>
        <v>1</v>
      </c>
      <c r="B47" s="281" t="str">
        <f>IF('Pos. 5'!AB73="","322301/322301","400419/400419")</f>
        <v>322301/322301</v>
      </c>
      <c r="C47" s="317" t="b">
        <v>0</v>
      </c>
      <c r="D47" s="281" t="s">
        <v>67</v>
      </c>
      <c r="E47" s="316" t="s">
        <v>68</v>
      </c>
      <c r="F47" s="316" t="s">
        <v>69</v>
      </c>
      <c r="G47" s="317" t="s">
        <v>359</v>
      </c>
      <c r="H47" s="444" t="str">
        <f t="shared" si="1"/>
        <v>Windlast:</v>
      </c>
      <c r="I47" s="451"/>
      <c r="K47" s="311" t="s">
        <v>475</v>
      </c>
      <c r="L47" s="289">
        <f>IF(AND($I$13=FALSE,$I$14=FALSE),0,1)</f>
        <v>0</v>
      </c>
      <c r="M47" s="488"/>
      <c r="N47" s="193" t="str">
        <f>CONCATENATE("Pos. ",'Pos. 5'!$B$2,".7")</f>
        <v>Pos. 5.7</v>
      </c>
      <c r="O47" s="194" t="b">
        <f>IF(AND('Pos. 5'!AW38&lt;&gt;"",'Pos. 5'!AX38&lt;&gt;""),TRUE,FALSE)</f>
        <v>0</v>
      </c>
      <c r="P47" s="197"/>
      <c r="Q47" s="363">
        <v>6</v>
      </c>
      <c r="U47" s="311" t="b">
        <f t="shared" si="7"/>
        <v>0</v>
      </c>
      <c r="V47" s="491">
        <f t="shared" si="8"/>
        <v>1</v>
      </c>
    </row>
    <row r="48" spans="1:32" x14ac:dyDescent="0.2">
      <c r="A48" s="444" t="b">
        <f>IF(C48=FALSE,TRUE,(IF(AND(C48=TRUE,'Pos. 5'!H96=""),FALSE,TRUE)))</f>
        <v>1</v>
      </c>
      <c r="B48" s="281" t="s">
        <v>419</v>
      </c>
      <c r="C48" s="317" t="b">
        <v>0</v>
      </c>
      <c r="D48" s="281" t="s">
        <v>70</v>
      </c>
      <c r="E48" s="316" t="s">
        <v>71</v>
      </c>
      <c r="F48" s="316" t="s">
        <v>72</v>
      </c>
      <c r="G48" s="317" t="s">
        <v>360</v>
      </c>
      <c r="H48" s="444" t="str">
        <f t="shared" si="1"/>
        <v>Bemerkung:</v>
      </c>
      <c r="I48" s="451"/>
      <c r="K48" s="311" t="s">
        <v>477</v>
      </c>
      <c r="L48" s="492">
        <f>IF(OR(AND($C$37=FALSE,$C$39=FALSE),(AND($C$38=FALSE,$C$40=FALSE))),0,1)</f>
        <v>1</v>
      </c>
      <c r="M48" s="493">
        <f>IF($L$49=0,0,L48)</f>
        <v>0</v>
      </c>
      <c r="N48" s="193" t="str">
        <f>CONCATENATE("Pos. ",'Pos. 5'!$B$2,".8")</f>
        <v>Pos. 5.8</v>
      </c>
      <c r="O48" s="194" t="b">
        <f>IF(AND('Pos. 5'!AW39&lt;&gt;"",'Pos. 5'!AX39&lt;&gt;""),TRUE,FALSE)</f>
        <v>0</v>
      </c>
      <c r="P48" s="197"/>
      <c r="Q48" s="363">
        <v>7</v>
      </c>
      <c r="U48" s="311" t="b">
        <f>IF(M49=0,FALSE,TRUE)</f>
        <v>0</v>
      </c>
      <c r="V48" s="491">
        <f t="shared" si="8"/>
        <v>1</v>
      </c>
    </row>
    <row r="49" spans="1:22" ht="13.5" thickBot="1" x14ac:dyDescent="0.25">
      <c r="A49" s="494" t="b">
        <f>IF(C49=FALSE,TRUE,(IF(AND(C49=TRUE,'Pos. 5'!O96=""),FALSE,TRUE)))</f>
        <v>1</v>
      </c>
      <c r="B49" s="281" t="s">
        <v>420</v>
      </c>
      <c r="C49" s="317" t="b">
        <v>0</v>
      </c>
      <c r="D49" s="281" t="s">
        <v>73</v>
      </c>
      <c r="E49" s="316" t="s">
        <v>74</v>
      </c>
      <c r="F49" s="316" t="s">
        <v>343</v>
      </c>
      <c r="G49" s="317" t="s">
        <v>361</v>
      </c>
      <c r="H49" s="444" t="str">
        <f t="shared" si="1"/>
        <v>Zubehör:</v>
      </c>
      <c r="I49" s="451"/>
      <c r="K49" s="311" t="s">
        <v>476</v>
      </c>
      <c r="L49" s="495">
        <f>IF(L48=0,0,IF('Pos. 5'!$I$49&gt;0,1,0))</f>
        <v>0</v>
      </c>
      <c r="M49" s="293">
        <f>SUM(L49,M48)</f>
        <v>0</v>
      </c>
      <c r="N49" s="193" t="str">
        <f>CONCATENATE("Pos. ",'Pos. 5'!$B$2,".9")</f>
        <v>Pos. 5.9</v>
      </c>
      <c r="O49" s="194" t="b">
        <f>IF(AND('Pos. 5'!AW40&lt;&gt;"",'Pos. 5'!AX40&lt;&gt;""),TRUE,FALSE)</f>
        <v>0</v>
      </c>
      <c r="P49" s="197"/>
      <c r="Q49" s="363">
        <v>8</v>
      </c>
      <c r="T49" s="315" t="s">
        <v>851</v>
      </c>
      <c r="U49" s="311" t="b">
        <f>IF(AND(L44=1,AND('Pos. 5'!E22="",'Pos. 5'!E23="",'Pos. 5'!E24="",'Pos. 5'!E25="",'Pos. 5'!E26="")),FALSE,TRUE)</f>
        <v>1</v>
      </c>
      <c r="V49" s="491">
        <f t="shared" si="8"/>
        <v>0</v>
      </c>
    </row>
    <row r="50" spans="1:22" x14ac:dyDescent="0.2">
      <c r="A50" s="280">
        <f>COUNTIF(A41:A49,FALSE)</f>
        <v>0</v>
      </c>
      <c r="B50" s="281" t="s">
        <v>408</v>
      </c>
      <c r="C50" s="317" t="b">
        <v>0</v>
      </c>
      <c r="D50" s="281" t="s">
        <v>748</v>
      </c>
      <c r="E50" s="316" t="s">
        <v>749</v>
      </c>
      <c r="F50" s="316" t="s">
        <v>751</v>
      </c>
      <c r="G50" s="317" t="s">
        <v>750</v>
      </c>
      <c r="H50" s="444" t="str">
        <f t="shared" si="1"/>
        <v>Rinne (siehe unten)</v>
      </c>
      <c r="I50" s="451" t="b">
        <v>0</v>
      </c>
      <c r="K50" s="311" t="s">
        <v>478</v>
      </c>
      <c r="L50" s="294">
        <f>IF(AND(OR($C$53=TRUE,$C$54=TRUE),'Pos. 5'!$Z$42&lt;&gt;"",'Pos. 5'!$T$45&lt;&gt;""),1,0)</f>
        <v>0</v>
      </c>
      <c r="M50" s="488"/>
      <c r="N50" s="193" t="str">
        <f>CONCATENATE("Pos. ",'Pos. 5'!$B$2,".10")</f>
        <v>Pos. 5.10</v>
      </c>
      <c r="O50" s="194" t="b">
        <f>IF(AND('Pos. 5'!AW41&lt;&gt;"",'Pos. 5'!AX41&lt;&gt;""),TRUE,FALSE)</f>
        <v>0</v>
      </c>
      <c r="P50" s="197"/>
      <c r="Q50" s="363">
        <v>9</v>
      </c>
      <c r="U50" s="311" t="b">
        <f>IF(L50=0,FALSE,TRUE)</f>
        <v>0</v>
      </c>
      <c r="V50" s="491">
        <f t="shared" si="8"/>
        <v>1</v>
      </c>
    </row>
    <row r="51" spans="1:22" ht="13.5" thickBot="1" x14ac:dyDescent="0.25">
      <c r="B51" s="281" t="s">
        <v>429</v>
      </c>
      <c r="C51" s="317" t="b">
        <v>0</v>
      </c>
      <c r="D51" s="281" t="s">
        <v>339</v>
      </c>
      <c r="E51" s="316" t="s">
        <v>340</v>
      </c>
      <c r="F51" s="316" t="s">
        <v>341</v>
      </c>
      <c r="G51" s="317" t="s">
        <v>362</v>
      </c>
      <c r="H51" s="444" t="str">
        <f t="shared" si="1"/>
        <v>Wetterschenkel</v>
      </c>
      <c r="I51" s="451" t="b">
        <v>0</v>
      </c>
      <c r="K51" s="311" t="s">
        <v>479</v>
      </c>
      <c r="L51" s="287">
        <f>IF(OR($I$15=TRUE,$I$16=TRUE,$I$17=TRUE,$I$18=TRUE,$I$19=TRUE,$I$20=TRUE,$I$22=TRUE,$I$25=TRUE,$I$125=TRUE),1,0)</f>
        <v>0</v>
      </c>
      <c r="M51" s="488"/>
      <c r="N51" s="196" t="s">
        <v>622</v>
      </c>
      <c r="O51" s="198">
        <f>IF(P51=O52,1,0)</f>
        <v>0</v>
      </c>
      <c r="P51" s="199" t="str">
        <f>CONCATENATE("(",COUNTBLANK('Pos. 5'!AW32:AW41),")")</f>
        <v>(10)</v>
      </c>
      <c r="Q51" s="471">
        <v>10</v>
      </c>
      <c r="U51" s="311" t="b">
        <f t="shared" ref="U51:U55" si="9">IF(L51=0,FALSE,TRUE)</f>
        <v>0</v>
      </c>
      <c r="V51" s="491">
        <f t="shared" si="8"/>
        <v>1</v>
      </c>
    </row>
    <row r="52" spans="1:22" ht="13.5" thickBot="1" x14ac:dyDescent="0.25">
      <c r="B52" s="281"/>
      <c r="C52" s="317"/>
      <c r="D52" s="281" t="s">
        <v>331</v>
      </c>
      <c r="E52" s="316" t="s">
        <v>332</v>
      </c>
      <c r="F52" s="316" t="s">
        <v>333</v>
      </c>
      <c r="G52" s="317" t="s">
        <v>363</v>
      </c>
      <c r="H52" s="444" t="str">
        <f t="shared" si="1"/>
        <v>Standardgrundplatten:</v>
      </c>
      <c r="I52" s="451" t="b">
        <v>0</v>
      </c>
      <c r="K52" s="311" t="s">
        <v>480</v>
      </c>
      <c r="L52" s="287">
        <f>IF(OR(AND($I$36=TRUE,'Pos. 5'!$AM$43&lt;&gt;0,'Pos. 5'!$AR$43&lt;&gt;0,'Pos. 5'!$AM$49&lt;&gt;""),AND($I$39=TRUE,'Pos. 5'!$AM$45&lt;&gt;"",'Pos. 5'!$AM$49&lt;&gt;"",'Pos. 5'!$AM$46&lt;&gt;"",'Pos. 5'!$AM$47&lt;&gt;"")),1,0)</f>
        <v>0</v>
      </c>
      <c r="M52" s="488"/>
      <c r="N52" s="200"/>
      <c r="O52" s="201" t="str">
        <f>CONCATENATE("(",IF(I19=TRUE,COUNTIF(O41:O50,FALSE),""),")")</f>
        <v>()</v>
      </c>
      <c r="P52" s="202"/>
      <c r="U52" s="311" t="b">
        <f t="shared" si="9"/>
        <v>0</v>
      </c>
      <c r="V52" s="491">
        <f t="shared" si="8"/>
        <v>1</v>
      </c>
    </row>
    <row r="53" spans="1:22" x14ac:dyDescent="0.2">
      <c r="B53" s="281" t="s">
        <v>440</v>
      </c>
      <c r="C53" s="317" t="b">
        <v>1</v>
      </c>
      <c r="D53" s="281" t="s">
        <v>75</v>
      </c>
      <c r="E53" s="316" t="s">
        <v>75</v>
      </c>
      <c r="F53" s="316" t="s">
        <v>75</v>
      </c>
      <c r="G53" s="317" t="s">
        <v>75</v>
      </c>
      <c r="H53" s="444" t="str">
        <f t="shared" si="1"/>
        <v>Sun-Box</v>
      </c>
      <c r="I53" s="451"/>
      <c r="K53" s="311" t="s">
        <v>484</v>
      </c>
      <c r="L53" s="287">
        <f>IF('Pos. 5'!AT52=1,1,IF(AND(OR($I$43=TRUE,$I$44=TRUE),'Pos. 5'!$AE$53&lt;&gt;0,'Pos. 5'!$AO$55&lt;&gt;""),1,0))</f>
        <v>0</v>
      </c>
      <c r="M53" s="488"/>
      <c r="U53" s="311" t="b">
        <f t="shared" si="9"/>
        <v>0</v>
      </c>
      <c r="V53" s="491">
        <f t="shared" si="8"/>
        <v>1</v>
      </c>
    </row>
    <row r="54" spans="1:22" x14ac:dyDescent="0.2">
      <c r="B54" s="281" t="s">
        <v>441</v>
      </c>
      <c r="C54" s="317" t="b">
        <v>0</v>
      </c>
      <c r="D54" s="281" t="s">
        <v>76</v>
      </c>
      <c r="E54" s="316" t="s">
        <v>77</v>
      </c>
      <c r="F54" s="316" t="s">
        <v>78</v>
      </c>
      <c r="G54" s="317" t="s">
        <v>364</v>
      </c>
      <c r="H54" s="444" t="str">
        <f t="shared" si="1"/>
        <v>Glastyp wählen</v>
      </c>
      <c r="I54" s="451"/>
      <c r="K54" s="311" t="s">
        <v>485</v>
      </c>
      <c r="L54" s="287">
        <f>SUM(IF(AND('Pos. 5'!$AE$70&lt;&gt;"",'Pos. 5'!$AN$70&lt;&gt;"",OR($C$60=TRUE,$C$61=TRUE,$C$62=TRUE,$C$63=TRUE)),1,0),M54)</f>
        <v>1</v>
      </c>
      <c r="M54" s="488">
        <f>IF(AND(OR('Pos. 5'!F10="F",'Pos. 5'!F10=""),OR('Pos. 5'!N10="F",'Pos. 5'!N10=""),OR('Pos. 5'!R10="F",'Pos. 5'!R10=""),OR('Pos. 5'!V10="F",'Pos. 5'!V10=""),OR('Pos. 5'!Z10="F",'Pos. 5'!Z10=""),OR('Pos. 5'!AD10="F",'Pos. 5'!AD10=""),OR('Pos. 5'!AH10="F",'Pos. 5'!AH10=""),OR('Pos. 5'!AL10="F",'Pos. 5'!AL10=""),OR('Pos. 5'!AP10="F",'Pos. 5'!AP10="")),1,0)</f>
        <v>1</v>
      </c>
      <c r="U54" s="311" t="b">
        <f t="shared" si="9"/>
        <v>1</v>
      </c>
      <c r="V54" s="491">
        <f t="shared" si="8"/>
        <v>0</v>
      </c>
    </row>
    <row r="55" spans="1:22" x14ac:dyDescent="0.2">
      <c r="B55" s="281" t="s">
        <v>493</v>
      </c>
      <c r="C55" s="317" t="b">
        <v>0</v>
      </c>
      <c r="D55" s="281" t="s">
        <v>79</v>
      </c>
      <c r="E55" s="316" t="s">
        <v>80</v>
      </c>
      <c r="F55" s="316" t="s">
        <v>79</v>
      </c>
      <c r="G55" s="317" t="s">
        <v>79</v>
      </c>
      <c r="H55" s="444" t="str">
        <f t="shared" si="1"/>
        <v>Pos:</v>
      </c>
      <c r="I55" s="451"/>
      <c r="K55" s="311" t="s">
        <v>486</v>
      </c>
      <c r="L55" s="289">
        <f>IF(AND('Pos. 5'!$AM$88&lt;&gt;"",'Pos. 5'!$AE$84&lt;&gt;"",'Pos. 5'!$AM$87&lt;&gt;""),1,0)</f>
        <v>0</v>
      </c>
      <c r="M55" s="488"/>
      <c r="U55" s="311" t="b">
        <f t="shared" si="9"/>
        <v>0</v>
      </c>
      <c r="V55" s="491">
        <f t="shared" si="8"/>
        <v>1</v>
      </c>
    </row>
    <row r="56" spans="1:22" ht="15" customHeight="1" thickBot="1" x14ac:dyDescent="0.25">
      <c r="B56" s="281" t="s">
        <v>494</v>
      </c>
      <c r="C56" s="317" t="b">
        <v>0</v>
      </c>
      <c r="D56" s="281" t="s">
        <v>81</v>
      </c>
      <c r="E56" s="316" t="s">
        <v>82</v>
      </c>
      <c r="F56" s="316" t="s">
        <v>83</v>
      </c>
      <c r="G56" s="317" t="s">
        <v>150</v>
      </c>
      <c r="H56" s="444" t="str">
        <f t="shared" si="1"/>
        <v>Stück:</v>
      </c>
      <c r="I56" s="451"/>
      <c r="K56" s="311" t="s">
        <v>491</v>
      </c>
      <c r="L56" s="492">
        <f>IF(OR($C$41=TRUE,$C$43=TRUE,$C$44=TRUE,AND('Pos. 5'!F10="F",'Pos. 5'!J10="")),1,0)</f>
        <v>0</v>
      </c>
      <c r="M56" s="295">
        <f>SUM(L56:L57)</f>
        <v>0</v>
      </c>
      <c r="U56" s="311" t="b">
        <f>IF(M56=0,FALSE,TRUE)</f>
        <v>0</v>
      </c>
      <c r="V56" s="491">
        <f t="shared" si="8"/>
        <v>1</v>
      </c>
    </row>
    <row r="57" spans="1:22" x14ac:dyDescent="0.2">
      <c r="B57" s="281" t="s">
        <v>495</v>
      </c>
      <c r="C57" s="317" t="b">
        <v>0</v>
      </c>
      <c r="D57" s="281" t="s">
        <v>84</v>
      </c>
      <c r="E57" s="316" t="s">
        <v>85</v>
      </c>
      <c r="F57" s="316" t="s">
        <v>85</v>
      </c>
      <c r="G57" s="317" t="s">
        <v>196</v>
      </c>
      <c r="H57" s="444" t="str">
        <f t="shared" si="1"/>
        <v>Seite:</v>
      </c>
      <c r="I57" s="451"/>
      <c r="K57" s="311" t="s">
        <v>492</v>
      </c>
      <c r="L57" s="495">
        <f>IF(AND($C$42=TRUE,OR($C$55=TRUE,$C$56=TRUE)),1,0)</f>
        <v>0</v>
      </c>
      <c r="M57" s="296"/>
      <c r="O57" s="34" t="s">
        <v>868</v>
      </c>
      <c r="P57" s="365"/>
      <c r="Q57" s="365"/>
      <c r="R57" s="366"/>
      <c r="T57" s="315"/>
      <c r="U57" s="311"/>
      <c r="V57" s="491"/>
    </row>
    <row r="58" spans="1:22" x14ac:dyDescent="0.2">
      <c r="B58" s="281" t="s">
        <v>496</v>
      </c>
      <c r="C58" s="317" t="b">
        <v>0</v>
      </c>
      <c r="D58" s="281" t="s">
        <v>463</v>
      </c>
      <c r="E58" s="316" t="s">
        <v>464</v>
      </c>
      <c r="F58" s="316" t="s">
        <v>465</v>
      </c>
      <c r="G58" s="317" t="s">
        <v>466</v>
      </c>
      <c r="H58" s="444" t="str">
        <f t="shared" si="1"/>
        <v>Achsmass →</v>
      </c>
      <c r="I58" s="451"/>
      <c r="K58" s="311" t="s">
        <v>497</v>
      </c>
      <c r="L58" s="294">
        <f>IF(AND('Pos. 5'!$G$20=0,'Pos. 5'!$K$20=0,'Pos. 5'!$O$20=0,'Pos. 5'!$S$20=0,'Pos. 5'!$W$20=0,'Pos. 5'!$AA$20=0,'Pos. 5'!$AE$20=0,'Pos. 5'!$AI$20=0,'Pos. 5'!$AM$20=0),1,0)</f>
        <v>1</v>
      </c>
      <c r="M58" s="488"/>
      <c r="O58" s="367" t="s">
        <v>869</v>
      </c>
      <c r="P58" s="368" t="s">
        <v>870</v>
      </c>
      <c r="Q58" s="368" t="s">
        <v>871</v>
      </c>
      <c r="R58" s="369" t="s">
        <v>872</v>
      </c>
      <c r="T58" s="315" t="s">
        <v>768</v>
      </c>
      <c r="U58" s="311" t="b">
        <f>IF(AND(L62=1,'Pos. 5'!C11&gt;35),FALSE,TRUE)</f>
        <v>1</v>
      </c>
      <c r="V58" s="491">
        <f t="shared" si="8"/>
        <v>0</v>
      </c>
    </row>
    <row r="59" spans="1:22" x14ac:dyDescent="0.2">
      <c r="B59" s="281"/>
      <c r="C59" s="317"/>
      <c r="D59" s="281" t="s">
        <v>86</v>
      </c>
      <c r="E59" s="316" t="s">
        <v>87</v>
      </c>
      <c r="F59" s="316" t="s">
        <v>88</v>
      </c>
      <c r="G59" s="317" t="s">
        <v>149</v>
      </c>
      <c r="H59" s="444" t="str">
        <f t="shared" si="1"/>
        <v>VSG mit P4A</v>
      </c>
      <c r="I59" s="451"/>
      <c r="K59" s="311" t="s">
        <v>498</v>
      </c>
      <c r="L59" s="496">
        <f>IF(AND($C$49=FALSE,$C$50=FALSE,$C$51=FALSE),0,1)</f>
        <v>0</v>
      </c>
      <c r="M59" s="298">
        <f>SUM(L58:L59)</f>
        <v>1</v>
      </c>
      <c r="O59" s="357" t="s">
        <v>198</v>
      </c>
      <c r="P59" s="370">
        <f>IF(OR('Pos. 5'!$F$10='Sprachen &amp; Rückgabewerte(5)'!$B$10,'Pos. 5'!$F$10='Sprachen &amp; Rückgabewerte(5)'!$B$11),1,0)</f>
        <v>0</v>
      </c>
      <c r="Q59" s="371">
        <f>IF(P59=1,0,1)</f>
        <v>1</v>
      </c>
      <c r="R59" s="372">
        <f>IF(AND(P59=1,'Pos. 5'!$F$16=""),1,0)</f>
        <v>0</v>
      </c>
      <c r="U59" s="311" t="b">
        <f>IF(M59=0,FALSE,TRUE)</f>
        <v>1</v>
      </c>
      <c r="V59" s="491">
        <f t="shared" si="8"/>
        <v>0</v>
      </c>
    </row>
    <row r="60" spans="1:22" ht="15" customHeight="1" x14ac:dyDescent="0.2">
      <c r="B60" s="281" t="s">
        <v>262</v>
      </c>
      <c r="C60" s="317" t="b">
        <v>0</v>
      </c>
      <c r="D60" s="281" t="s">
        <v>89</v>
      </c>
      <c r="E60" s="316" t="s">
        <v>90</v>
      </c>
      <c r="F60" s="316" t="s">
        <v>322</v>
      </c>
      <c r="G60" s="317" t="s">
        <v>365</v>
      </c>
      <c r="H60" s="444" t="str">
        <f t="shared" si="1"/>
        <v>Insektenschutz</v>
      </c>
      <c r="I60" s="451"/>
      <c r="K60" s="311" t="s">
        <v>499</v>
      </c>
      <c r="L60" s="492">
        <f>IF(AND($C$46=TRUE,OR($C$57=TRUE,$C$58=TRUE)),1,0)</f>
        <v>0</v>
      </c>
      <c r="M60" s="540">
        <f>SUM(L60:L61)</f>
        <v>1</v>
      </c>
      <c r="O60" s="281" t="s">
        <v>199</v>
      </c>
      <c r="P60" s="373">
        <f>IF(OR('Pos. 5'!$J$10='Sprachen &amp; Rückgabewerte(5)'!$B$10,'Pos. 5'!$J$10='Sprachen &amp; Rückgabewerte(5)'!$B$11),1,0)</f>
        <v>0</v>
      </c>
      <c r="Q60" s="316">
        <f t="shared" ref="Q60:Q68" si="10">IF(P60=1,0,1)</f>
        <v>1</v>
      </c>
      <c r="R60" s="317">
        <f>IF(AND(P60=1,'Pos. 5'!$J$16=""),1,0)</f>
        <v>0</v>
      </c>
      <c r="U60" s="311" t="b">
        <f>IF(M60=0,FALSE,TRUE)</f>
        <v>1</v>
      </c>
      <c r="V60" s="491">
        <f t="shared" si="8"/>
        <v>0</v>
      </c>
    </row>
    <row r="61" spans="1:22" ht="12.75" customHeight="1" x14ac:dyDescent="0.2">
      <c r="B61" s="281" t="s">
        <v>263</v>
      </c>
      <c r="C61" s="317" t="b">
        <v>0</v>
      </c>
      <c r="D61" s="330" t="s">
        <v>148</v>
      </c>
      <c r="E61" s="424" t="s">
        <v>148</v>
      </c>
      <c r="F61" s="424" t="s">
        <v>148</v>
      </c>
      <c r="G61" s="423" t="s">
        <v>148</v>
      </c>
      <c r="H61" s="444" t="str">
        <f t="shared" si="1"/>
        <v>Standard = 1050mm</v>
      </c>
      <c r="I61" s="451"/>
      <c r="K61" s="311"/>
      <c r="L61" s="495">
        <f>IF(C46=FALSE,1,0)</f>
        <v>1</v>
      </c>
      <c r="M61" s="541"/>
      <c r="O61" s="281" t="s">
        <v>200</v>
      </c>
      <c r="P61" s="373">
        <f>IF(OR('Pos. 5'!$N$10='Sprachen &amp; Rückgabewerte(5)'!$B$10,'Pos. 5'!$N$10='Sprachen &amp; Rückgabewerte(5)'!$B$11),1,0)</f>
        <v>0</v>
      </c>
      <c r="Q61" s="316">
        <f t="shared" si="10"/>
        <v>1</v>
      </c>
      <c r="R61" s="317">
        <f>IF(AND(P61=1,'Pos. 5'!$N$16=""),1,0)</f>
        <v>0</v>
      </c>
      <c r="U61" s="311"/>
      <c r="V61" s="491"/>
    </row>
    <row r="62" spans="1:22" x14ac:dyDescent="0.2">
      <c r="B62" s="281" t="s">
        <v>264</v>
      </c>
      <c r="C62" s="317" t="b">
        <v>0</v>
      </c>
      <c r="D62" s="281" t="s">
        <v>143</v>
      </c>
      <c r="E62" s="316" t="s">
        <v>144</v>
      </c>
      <c r="F62" s="316" t="s">
        <v>145</v>
      </c>
      <c r="G62" s="317" t="s">
        <v>146</v>
      </c>
      <c r="H62" s="444" t="str">
        <f t="shared" si="1"/>
        <v>RC2: zwingend 1050mm</v>
      </c>
      <c r="I62" s="451"/>
      <c r="K62" s="311" t="s">
        <v>524</v>
      </c>
      <c r="L62" s="492">
        <f>IF(OR(AND('Pos. 5'!$F$10="L",'Pos. 5'!$J$10="R"),AND('Pos. 5'!$J$10="L",'Pos. 5'!$N$10="R"),AND('Pos. 5'!$N$10="L",'Pos. 5'!$R$10="R"),AND('Pos. 5'!$R$10="L",'Pos. 5'!$V$10="R"),AND('Pos. 5'!$V$10="L",'Pos. 5'!$Z$10="R"),AND('Pos. 5'!$Z$10="L",'Pos. 5'!$AD$10="R"),AND('Pos. 5'!$AD$10="L",'Pos. 5'!$AH$10="R"),AND('Pos. 5'!$AH$10="L",'Pos. 5'!$AL$10="R"),AND('Pos. 5'!$AL$10="L",'Pos. 5'!$AP$10="R"),AND('Pos. 5'!F10="F",'Pos. 5'!J10="R"),AND('Pos. 5'!J10="F",'Pos. 5'!N10="R"),AND('Pos. 5'!N10="F",'Pos. 5'!R10="R"),AND('Pos. 5'!R10="F",'Pos. 5'!V10="R"),AND('Pos. 5'!V10="F",'Pos. 5'!Z10="R"),AND('Pos. 5'!Z10="F",'Pos. 5'!AD10="R"),AND('Pos. 5'!AD10="F",'Pos. 5'!AH10="R"),AND('Pos. 5'!AH10="F",'Pos. 5'!AL10="R"),AND('Pos. 5'!AL10="F",'Pos. 5'!AP10="R"),AND('Pos. 5'!F10="L",'Pos. 5'!J10="F"),AND('Pos. 5'!J10="L",'Pos. 5'!N10="F"),AND('Pos. 5'!N10="L",'Pos. 5'!R10="F"),AND('Pos. 5'!R10="L",'Pos. 5'!V10="F"),AND('Pos. 5'!V10="L",'Pos. 5'!Z10="F"),AND('Pos. 5'!Z10="L",'Pos. 5'!AD10="F"),AND('Pos. 5'!AD10="L",'Pos. 5'!AH10="F"),AND('Pos. 5'!AH10="L",'Pos. 5'!AL10="F"),AND('Pos. 5'!AL10="L",'Pos. 5'!AP10="F")),1,0)</f>
        <v>0</v>
      </c>
      <c r="M62" s="295">
        <f>IF(AND(L58=0,SUM(L62:L65)=2),0,SUM(L62:L65))</f>
        <v>1</v>
      </c>
      <c r="O62" s="281" t="s">
        <v>201</v>
      </c>
      <c r="P62" s="373">
        <f>IF(OR('Pos. 5'!$R$10='Sprachen &amp; Rückgabewerte(5)'!$B$10,'Pos. 5'!$R$10='Sprachen &amp; Rückgabewerte(5)'!$B$11),1,0)</f>
        <v>0</v>
      </c>
      <c r="Q62" s="316">
        <f t="shared" si="10"/>
        <v>1</v>
      </c>
      <c r="R62" s="317">
        <f>IF(AND(P62=1,'Pos. 5'!$R$16=""),1,0)</f>
        <v>0</v>
      </c>
      <c r="U62" s="311" t="b">
        <f>IF(OR(M62=2,M62=3),FALSE,TRUE)</f>
        <v>1</v>
      </c>
      <c r="V62" s="491">
        <f t="shared" si="8"/>
        <v>0</v>
      </c>
    </row>
    <row r="63" spans="1:22" ht="15.75" customHeight="1" thickBot="1" x14ac:dyDescent="0.25">
      <c r="B63" s="472" t="s">
        <v>265</v>
      </c>
      <c r="C63" s="377" t="b">
        <v>0</v>
      </c>
      <c r="D63" s="281" t="s">
        <v>147</v>
      </c>
      <c r="E63" s="316" t="s">
        <v>147</v>
      </c>
      <c r="F63" s="316" t="s">
        <v>147</v>
      </c>
      <c r="G63" s="317" t="s">
        <v>147</v>
      </c>
      <c r="H63" s="444" t="str">
        <f t="shared" si="1"/>
        <v>min: RV=200 MVv=750</v>
      </c>
      <c r="I63" s="451"/>
      <c r="K63" s="311"/>
      <c r="L63" s="497">
        <f>IF(AND('Pos. 5'!G20="",'Pos. 5'!K20="",'Pos. 5'!O20="",'Pos. 5'!S20="",'Pos. 5'!W20="",'Pos. 5'!AA20="",'Pos. 5'!AE20="",'Pos. 5'!AI20="",'Pos. 5'!AM20=""),1,2)</f>
        <v>1</v>
      </c>
      <c r="M63" s="300"/>
      <c r="O63" s="281" t="s">
        <v>202</v>
      </c>
      <c r="P63" s="373">
        <f>IF(OR('Pos. 5'!$V$10='Sprachen &amp; Rückgabewerte(5)'!$B$10,'Pos. 5'!$V$10='Sprachen &amp; Rückgabewerte(5)'!$B$11),1,0)</f>
        <v>0</v>
      </c>
      <c r="Q63" s="316">
        <f t="shared" si="10"/>
        <v>1</v>
      </c>
      <c r="R63" s="317">
        <f>IF(AND(P63=1,'Pos. 5'!$V$16=""),1,0)</f>
        <v>0</v>
      </c>
      <c r="T63" s="315" t="s">
        <v>776</v>
      </c>
      <c r="U63" s="311" t="b">
        <f>IF('Pos. 5'!AX25="",FALSE,TRUE)</f>
        <v>0</v>
      </c>
      <c r="V63" s="491">
        <f>IF(U63=FALSE,1,0)</f>
        <v>1</v>
      </c>
    </row>
    <row r="64" spans="1:22" ht="15" customHeight="1" x14ac:dyDescent="0.2">
      <c r="B64" s="498" t="s">
        <v>589</v>
      </c>
      <c r="C64" s="499">
        <f>IF(OR($C$60=TRUE,$C$61=TRUE,$C$62=TRUE,$C$63=TRUE),1,0)</f>
        <v>0</v>
      </c>
      <c r="D64" s="281" t="s">
        <v>151</v>
      </c>
      <c r="E64" s="316" t="s">
        <v>267</v>
      </c>
      <c r="F64" s="316" t="s">
        <v>291</v>
      </c>
      <c r="G64" s="317" t="s">
        <v>305</v>
      </c>
      <c r="H64" s="444" t="str">
        <f t="shared" si="1"/>
        <v>Verschlussgriffe:</v>
      </c>
      <c r="I64" s="451"/>
      <c r="K64" s="311"/>
      <c r="L64" s="497">
        <f>IF(AND($C$45=FALSE,$C$46=FALSE,$C$47=FALSE,$C$48=FALSE),0,1)</f>
        <v>0</v>
      </c>
      <c r="M64" s="300"/>
      <c r="O64" s="281" t="s">
        <v>203</v>
      </c>
      <c r="P64" s="373">
        <f>IF(OR('Pos. 5'!$Z$10='Sprachen &amp; Rückgabewerte(5)'!$B$10,'Pos. 5'!$Z$10='Sprachen &amp; Rückgabewerte(5)'!$B$11),1,0)</f>
        <v>0</v>
      </c>
      <c r="Q64" s="316">
        <f t="shared" si="10"/>
        <v>1</v>
      </c>
      <c r="R64" s="317">
        <f>IF(AND(P64=1,'Pos. 5'!$Z$16=""),1,0)</f>
        <v>0</v>
      </c>
      <c r="T64" s="315" t="s">
        <v>783</v>
      </c>
      <c r="U64" s="311" t="b">
        <f>IF('Pos. 5'!AM87="",FALSE,TRUE)</f>
        <v>0</v>
      </c>
      <c r="V64" s="491">
        <f>IF(U64=FALSE,1,0)</f>
        <v>1</v>
      </c>
    </row>
    <row r="65" spans="2:23" ht="15.75" customHeight="1" thickBot="1" x14ac:dyDescent="0.25">
      <c r="B65" s="90"/>
      <c r="C65" s="500"/>
      <c r="D65" s="281" t="s">
        <v>155</v>
      </c>
      <c r="E65" s="316" t="s">
        <v>268</v>
      </c>
      <c r="F65" s="316" t="s">
        <v>323</v>
      </c>
      <c r="G65" s="317" t="s">
        <v>794</v>
      </c>
      <c r="H65" s="444" t="str">
        <f t="shared" si="1"/>
        <v>mit Verschlussraster (Druckknopf)</v>
      </c>
      <c r="I65" s="451"/>
      <c r="K65" s="311"/>
      <c r="L65" s="495">
        <f>IF(AND('Pos. 5'!H11="",'Pos. 5'!I11="",'Pos. 5'!L11="",'Pos. 5'!M11="",'Pos. 5'!P11="",'Pos. 5'!Q11="",'Pos. 5'!T11="",'Pos. 5'!U11="",'Pos. 5'!X11="",'Pos. 5'!Y11="",'Pos. 5'!AB11="",'Pos. 5'!AC11="",'Pos. 5'!AF11="",'Pos. 5'!AG11="",'Pos. 5'!AJ11="",'Pos. 5'!AK11="",'Pos. 5'!AN11="",'Pos. 5'!AO11=""),0,1)</f>
        <v>0</v>
      </c>
      <c r="M65" s="296"/>
      <c r="O65" s="281" t="s">
        <v>204</v>
      </c>
      <c r="P65" s="373">
        <f>IF(OR('Pos. 5'!$AD$10='Sprachen &amp; Rückgabewerte(5)'!$B$10,'Pos. 5'!$AD$10='Sprachen &amp; Rückgabewerte(5)'!$B$11),1,0)</f>
        <v>0</v>
      </c>
      <c r="Q65" s="316">
        <f t="shared" si="10"/>
        <v>1</v>
      </c>
      <c r="R65" s="317">
        <f>IF(AND(P65=1,'Pos. 5'!$AD$16=""),1,0)</f>
        <v>0</v>
      </c>
      <c r="T65" s="280" t="s">
        <v>912</v>
      </c>
      <c r="U65" s="311" t="b">
        <f>IF(AND(C51=TRUE,'Pos. 5'!V96=""),FALSE,TRUE)</f>
        <v>1</v>
      </c>
      <c r="V65" s="491">
        <f>IF(U65=FALSE,1,0)</f>
        <v>0</v>
      </c>
    </row>
    <row r="66" spans="2:23" ht="25.5" x14ac:dyDescent="0.2">
      <c r="B66" s="187" t="s">
        <v>590</v>
      </c>
      <c r="C66" s="500"/>
      <c r="D66" s="281" t="s">
        <v>443</v>
      </c>
      <c r="E66" s="316" t="s">
        <v>444</v>
      </c>
      <c r="F66" s="316" t="s">
        <v>446</v>
      </c>
      <c r="G66" s="317" t="s">
        <v>445</v>
      </c>
      <c r="H66" s="444" t="str">
        <f t="shared" si="1"/>
        <v>mit Verschlussraster (Zylinder)</v>
      </c>
      <c r="I66" s="451"/>
      <c r="K66" s="305" t="s">
        <v>593</v>
      </c>
      <c r="L66" s="492" t="b">
        <f>IF(AND($I$71=TRUE,'Pos. 5'!$AP$74="",'Pos. 5'!$AP$75="",'Pos. 5'!$AP$76=""),FALSE,TRUE)</f>
        <v>1</v>
      </c>
      <c r="M66" s="295" t="b">
        <f>IF(OR($L$66=FALSE,$L$67=FALSE,$L$68=FALSE,L69=FALSE),FALSE,TRUE)</f>
        <v>0</v>
      </c>
      <c r="O66" s="281" t="s">
        <v>205</v>
      </c>
      <c r="P66" s="373">
        <f>IF(OR('Pos. 5'!$AH$10='Sprachen &amp; Rückgabewerte(5)'!$B$10,'Pos. 5'!$AH$10='Sprachen &amp; Rückgabewerte(5)'!$B$11),1,0)</f>
        <v>0</v>
      </c>
      <c r="Q66" s="316">
        <f t="shared" si="10"/>
        <v>1</v>
      </c>
      <c r="R66" s="317">
        <f>IF(AND(P66=1,'Pos. 5'!$AH$16=""),1,0)</f>
        <v>0</v>
      </c>
      <c r="U66" s="311" t="b">
        <f>M66</f>
        <v>0</v>
      </c>
      <c r="V66" s="491">
        <f t="shared" si="8"/>
        <v>1</v>
      </c>
    </row>
    <row r="67" spans="2:23" ht="15" customHeight="1" x14ac:dyDescent="0.2">
      <c r="B67" s="501"/>
      <c r="C67" s="500"/>
      <c r="D67" s="281" t="s">
        <v>152</v>
      </c>
      <c r="E67" s="316" t="s">
        <v>269</v>
      </c>
      <c r="F67" s="316" t="s">
        <v>324</v>
      </c>
      <c r="G67" s="317" t="s">
        <v>366</v>
      </c>
      <c r="H67" s="444" t="str">
        <f t="shared" si="1"/>
        <v>ohne Verschlussraster</v>
      </c>
      <c r="I67" s="451"/>
      <c r="K67" s="305" t="s">
        <v>594</v>
      </c>
      <c r="L67" s="502" t="b">
        <f>IF('Pos. 5'!AN78="",FALSE,TRUE)</f>
        <v>0</v>
      </c>
      <c r="M67" s="300"/>
      <c r="O67" s="281" t="s">
        <v>206</v>
      </c>
      <c r="P67" s="373">
        <f>IF(OR('Pos. 5'!$AL$10='Sprachen &amp; Rückgabewerte(5)'!$B$10,'Pos. 5'!$AL$10='Sprachen &amp; Rückgabewerte(5)'!$B$11),1,0)</f>
        <v>0</v>
      </c>
      <c r="Q67" s="316">
        <f t="shared" si="10"/>
        <v>1</v>
      </c>
      <c r="R67" s="317">
        <f>IF(AND(P67=1,'Pos. 5'!$AL$16=""),1,0)</f>
        <v>0</v>
      </c>
      <c r="T67" s="315" t="s">
        <v>874</v>
      </c>
      <c r="U67" s="311" t="b">
        <f>IF(R69&gt;0,FALSE,TRUE)</f>
        <v>1</v>
      </c>
      <c r="V67" s="491">
        <f>IF(U67=FALSE,1,0)</f>
        <v>0</v>
      </c>
    </row>
    <row r="68" spans="2:23" ht="15" customHeight="1" x14ac:dyDescent="0.2">
      <c r="B68" s="444" t="str">
        <f>$H$112</f>
        <v>mit CFK</v>
      </c>
      <c r="C68" s="500"/>
      <c r="D68" s="281" t="s">
        <v>153</v>
      </c>
      <c r="E68" s="316" t="s">
        <v>270</v>
      </c>
      <c r="F68" s="316" t="s">
        <v>293</v>
      </c>
      <c r="G68" s="317" t="s">
        <v>367</v>
      </c>
      <c r="H68" s="444" t="str">
        <f t="shared" si="1"/>
        <v>2-Punkt Verriegelung</v>
      </c>
      <c r="I68" s="451"/>
      <c r="J68" s="280" t="str">
        <f>H68</f>
        <v>2-Punkt Verriegelung</v>
      </c>
      <c r="K68" s="305" t="s">
        <v>595</v>
      </c>
      <c r="L68" s="502" t="b">
        <f>IF('Pos. 5'!AN79="",FALSE,TRUE)</f>
        <v>0</v>
      </c>
      <c r="M68" s="300"/>
      <c r="O68" s="281" t="s">
        <v>207</v>
      </c>
      <c r="P68" s="373">
        <f>IF(OR('Pos. 5'!$AP$10='Sprachen &amp; Rückgabewerte(5)'!$B$10,'Pos. 5'!$AP$10='Sprachen &amp; Rückgabewerte(5)'!$B$11),1,0)</f>
        <v>0</v>
      </c>
      <c r="Q68" s="316">
        <f t="shared" si="10"/>
        <v>1</v>
      </c>
      <c r="R68" s="317">
        <f>IF(AND(P68=1,'Pos. 5'!$AP$16=""),1,0)</f>
        <v>0</v>
      </c>
      <c r="T68" s="315" t="s">
        <v>892</v>
      </c>
      <c r="U68" s="311" t="b">
        <f>IF('Pos. 5'!AQ96="",FALSE,TRUE)</f>
        <v>0</v>
      </c>
      <c r="V68" s="491">
        <f>IF(U68=FALSE,1,0)</f>
        <v>1</v>
      </c>
      <c r="W68" s="503">
        <f>SUM(V68:V69)</f>
        <v>1</v>
      </c>
    </row>
    <row r="69" spans="2:23" ht="15" customHeight="1" thickBot="1" x14ac:dyDescent="0.25">
      <c r="B69" s="444" t="str">
        <f>$H$113</f>
        <v>ohne CFK</v>
      </c>
      <c r="C69" s="500"/>
      <c r="D69" s="281" t="s">
        <v>154</v>
      </c>
      <c r="E69" s="316" t="s">
        <v>271</v>
      </c>
      <c r="F69" s="316" t="s">
        <v>292</v>
      </c>
      <c r="G69" s="317" t="s">
        <v>368</v>
      </c>
      <c r="H69" s="444" t="str">
        <f t="shared" si="1"/>
        <v>3-Punkt Verriegelung</v>
      </c>
      <c r="I69" s="451"/>
      <c r="J69" s="280" t="str">
        <f>H69</f>
        <v>3-Punkt Verriegelung</v>
      </c>
      <c r="K69" s="305" t="s">
        <v>596</v>
      </c>
      <c r="L69" s="504" t="b">
        <f>IF('Pos. 5'!$AN$80&lt;&gt;"",TRUE,FALSE)</f>
        <v>0</v>
      </c>
      <c r="M69" s="296"/>
      <c r="O69" s="374"/>
      <c r="P69" s="375"/>
      <c r="Q69" s="376" t="s">
        <v>873</v>
      </c>
      <c r="R69" s="377">
        <f>IF(I20=TRUE,SUM(R59:R68),0)</f>
        <v>0</v>
      </c>
      <c r="T69" s="315" t="s">
        <v>894</v>
      </c>
      <c r="U69" s="311" t="b">
        <f>IF(AND('Pos. 5'!AQ96='Sprachen &amp; Rückgabewerte(5)'!H95,'Pos. 5'!AW96=""),FALSE,TRUE)</f>
        <v>1</v>
      </c>
      <c r="V69" s="491">
        <f>IF(U69=FALSE,1,0)</f>
        <v>0</v>
      </c>
    </row>
    <row r="70" spans="2:23" x14ac:dyDescent="0.2">
      <c r="B70" s="444"/>
      <c r="C70" s="500"/>
      <c r="D70" s="281" t="s">
        <v>266</v>
      </c>
      <c r="E70" s="316" t="s">
        <v>272</v>
      </c>
      <c r="F70" s="316" t="s">
        <v>294</v>
      </c>
      <c r="G70" s="317" t="s">
        <v>306</v>
      </c>
      <c r="H70" s="444" t="str">
        <f t="shared" si="1"/>
        <v>Befestigung:</v>
      </c>
      <c r="I70" s="451"/>
      <c r="K70" s="311" t="s">
        <v>620</v>
      </c>
      <c r="L70" s="505">
        <f>IF(AND(I19=TRUE,O51=1),1,0)</f>
        <v>0</v>
      </c>
      <c r="M70" s="298"/>
      <c r="U70" s="311" t="b">
        <f>IF(AND(I19=TRUE,O51&lt;&gt;1),FALSE,TRUE)</f>
        <v>1</v>
      </c>
      <c r="V70" s="491">
        <f t="shared" si="8"/>
        <v>0</v>
      </c>
    </row>
    <row r="71" spans="2:23" x14ac:dyDescent="0.2">
      <c r="B71" s="444" t="str">
        <f>$H$114</f>
        <v>mit Stahl</v>
      </c>
      <c r="C71" s="500"/>
      <c r="D71" s="281" t="s">
        <v>318</v>
      </c>
      <c r="E71" s="316" t="s">
        <v>319</v>
      </c>
      <c r="F71" s="316" t="s">
        <v>320</v>
      </c>
      <c r="G71" s="317" t="s">
        <v>307</v>
      </c>
      <c r="H71" s="444" t="str">
        <f t="shared" si="1"/>
        <v>Universalschrauben (A2):</v>
      </c>
      <c r="I71" s="451" t="b">
        <v>0</v>
      </c>
      <c r="K71" s="311" t="s">
        <v>698</v>
      </c>
      <c r="L71" s="505">
        <f>IF(OR('Pos. 5'!$F$10='Sprachen &amp; Rückgabewerte(5)'!$B$14,'Pos. 5'!$J$10='Sprachen &amp; Rückgabewerte(5)'!$B$14,'Pos. 5'!$N$10='Sprachen &amp; Rückgabewerte(5)'!B14,'Pos. 5'!$R$10='Sprachen &amp; Rückgabewerte(5)'!$B$14,'Pos. 5'!$V$10='Sprachen &amp; Rückgabewerte(5)'!$B$14,'Pos. 5'!$Z$10='Sprachen &amp; Rückgabewerte(5)'!$B$14,'Pos. 5'!$AD$10='Sprachen &amp; Rückgabewerte(5)'!$B$14,'Pos. 5'!$AH$10='Sprachen &amp; Rückgabewerte(5)'!$B$14,'Pos. 5'!$AL$10='Sprachen &amp; Rückgabewerte(5)'!$B$14,'Pos. 5'!$AP$10='Sprachen &amp; Rückgabewerte(5)'!$B$14),0,1)</f>
        <v>1</v>
      </c>
      <c r="M71" s="298">
        <f>IF(AND(L71=0,'Pos. 5'!AW48=""),0,1)</f>
        <v>1</v>
      </c>
      <c r="U71" s="311" t="b">
        <f>IF(M71=1,TRUE,FALSE)</f>
        <v>1</v>
      </c>
      <c r="V71" s="491">
        <f t="shared" si="8"/>
        <v>0</v>
      </c>
    </row>
    <row r="72" spans="2:23" x14ac:dyDescent="0.2">
      <c r="B72" s="444" t="str">
        <f>$H$115</f>
        <v>ohne Stahl</v>
      </c>
      <c r="C72" s="500"/>
      <c r="D72" s="281" t="s">
        <v>156</v>
      </c>
      <c r="E72" s="316" t="s">
        <v>156</v>
      </c>
      <c r="F72" s="316" t="s">
        <v>156</v>
      </c>
      <c r="G72" s="316" t="s">
        <v>156</v>
      </c>
      <c r="H72" s="444" t="str">
        <f t="shared" ref="H72:H88" si="11">IF($B$3=$A$3,D72,IF($B$3=$A$4,E72,IF($B$3=$A$5,F72,IF($B$3=$A$6,G72,""))))</f>
        <v>L=52mm</v>
      </c>
      <c r="I72" s="451"/>
      <c r="J72" s="280" t="str">
        <f>H72</f>
        <v>L=52mm</v>
      </c>
      <c r="K72" s="305" t="s">
        <v>761</v>
      </c>
      <c r="L72" s="306">
        <f>C95</f>
        <v>6</v>
      </c>
      <c r="M72" s="491"/>
      <c r="U72" s="311" t="b">
        <f>IF(AND(L72&gt;0,I50=TRUE),FALSE,TRUE)</f>
        <v>1</v>
      </c>
      <c r="V72" s="491">
        <f t="shared" si="8"/>
        <v>0</v>
      </c>
    </row>
    <row r="73" spans="2:23" x14ac:dyDescent="0.2">
      <c r="B73" s="444"/>
      <c r="C73" s="500"/>
      <c r="D73" s="281" t="s">
        <v>157</v>
      </c>
      <c r="E73" s="316" t="s">
        <v>157</v>
      </c>
      <c r="F73" s="316" t="s">
        <v>157</v>
      </c>
      <c r="G73" s="316" t="s">
        <v>157</v>
      </c>
      <c r="H73" s="444" t="str">
        <f t="shared" si="11"/>
        <v>L=82mm</v>
      </c>
      <c r="I73" s="451"/>
      <c r="J73" s="280" t="str">
        <f>H73</f>
        <v>L=82mm</v>
      </c>
      <c r="K73" s="305" t="s">
        <v>763</v>
      </c>
      <c r="L73" s="306">
        <f>A50</f>
        <v>0</v>
      </c>
      <c r="M73" s="491"/>
      <c r="U73" s="311" t="b">
        <f>IF(L73=0,TRUE,FALSE)</f>
        <v>1</v>
      </c>
      <c r="V73" s="491">
        <f t="shared" si="8"/>
        <v>0</v>
      </c>
    </row>
    <row r="74" spans="2:23" x14ac:dyDescent="0.2">
      <c r="B74" s="444" t="str">
        <f>$H$120</f>
        <v>mit AL.</v>
      </c>
      <c r="C74" s="500"/>
      <c r="D74" s="281" t="s">
        <v>158</v>
      </c>
      <c r="E74" s="316" t="s">
        <v>158</v>
      </c>
      <c r="F74" s="316" t="s">
        <v>158</v>
      </c>
      <c r="G74" s="316" t="s">
        <v>158</v>
      </c>
      <c r="H74" s="444" t="str">
        <f t="shared" si="11"/>
        <v>L=112mm</v>
      </c>
      <c r="I74" s="451"/>
      <c r="J74" s="280" t="str">
        <f>H74</f>
        <v>L=112mm</v>
      </c>
      <c r="K74" s="305" t="s">
        <v>339</v>
      </c>
      <c r="L74" s="306" t="b">
        <f>IF(AND(I51=TRUE,'Pos. 5'!AP86=""),FALSE,TRUE)</f>
        <v>1</v>
      </c>
      <c r="M74" s="491"/>
      <c r="U74" s="311" t="b">
        <f>L74</f>
        <v>1</v>
      </c>
      <c r="V74" s="491">
        <f t="shared" si="8"/>
        <v>0</v>
      </c>
    </row>
    <row r="75" spans="2:23" x14ac:dyDescent="0.2">
      <c r="B75" s="444" t="str">
        <f>$H$121</f>
        <v>ohne AL.</v>
      </c>
      <c r="C75" s="500"/>
      <c r="D75" s="281" t="s">
        <v>879</v>
      </c>
      <c r="E75" s="316" t="s">
        <v>880</v>
      </c>
      <c r="F75" s="316" t="s">
        <v>881</v>
      </c>
      <c r="G75" s="317" t="s">
        <v>882</v>
      </c>
      <c r="H75" s="444" t="str">
        <f t="shared" si="11"/>
        <v>(VE à 100 Stk.)</v>
      </c>
      <c r="I75" s="451"/>
      <c r="K75" s="305" t="s">
        <v>764</v>
      </c>
      <c r="L75" s="306" t="b">
        <f>IF(AND(I22=TRUE,'Pos. 5'!AL39=""),FALSE,TRUE)</f>
        <v>1</v>
      </c>
      <c r="M75" s="491"/>
      <c r="U75" s="311" t="b">
        <f>L75</f>
        <v>1</v>
      </c>
      <c r="V75" s="491">
        <f t="shared" si="8"/>
        <v>0</v>
      </c>
    </row>
    <row r="76" spans="2:23" x14ac:dyDescent="0.2">
      <c r="B76" s="444"/>
      <c r="D76" s="281" t="s">
        <v>159</v>
      </c>
      <c r="E76" s="316" t="s">
        <v>273</v>
      </c>
      <c r="F76" s="316" t="s">
        <v>295</v>
      </c>
      <c r="G76" s="317" t="s">
        <v>308</v>
      </c>
      <c r="H76" s="444" t="str">
        <f t="shared" si="11"/>
        <v>Sockelbefestigung:</v>
      </c>
      <c r="I76" s="451"/>
      <c r="K76" s="305" t="s">
        <v>765</v>
      </c>
      <c r="L76" s="306" t="b">
        <f>IF(AND(I45=TRUE,'Pos. 5'!AI57=""),FALSE,TRUE)</f>
        <v>1</v>
      </c>
      <c r="M76" s="491"/>
      <c r="U76" s="311" t="b">
        <f t="shared" ref="U76:U77" si="12">L76</f>
        <v>1</v>
      </c>
      <c r="V76" s="491">
        <f t="shared" si="8"/>
        <v>0</v>
      </c>
    </row>
    <row r="77" spans="2:23" ht="13.5" thickBot="1" x14ac:dyDescent="0.25">
      <c r="B77" s="444" t="str">
        <f>$H$122</f>
        <v>mit Stahl (&gt;2.5m)</v>
      </c>
      <c r="D77" s="281" t="s">
        <v>160</v>
      </c>
      <c r="E77" s="316" t="s">
        <v>274</v>
      </c>
      <c r="F77" s="316" t="s">
        <v>296</v>
      </c>
      <c r="G77" s="317" t="s">
        <v>309</v>
      </c>
      <c r="H77" s="444" t="str">
        <f t="shared" si="11"/>
        <v>Verstellschrauben M10 x</v>
      </c>
      <c r="I77" s="451"/>
      <c r="J77" s="280" t="str">
        <f>H80</f>
        <v>ohne</v>
      </c>
      <c r="K77" s="308" t="s">
        <v>766</v>
      </c>
      <c r="L77" s="309" t="b">
        <f>IF(OR('Pos. 5'!AE84='Sprachen &amp; Rückgabewerte(5)'!H88,AND('Pos. 5'!AE84='Sprachen &amp; Rückgabewerte(5)'!H89,'Pos. 5'!AE85&lt;&gt;"")),TRUE,FALSE)</f>
        <v>0</v>
      </c>
      <c r="M77" s="506"/>
      <c r="U77" s="311" t="b">
        <f t="shared" si="12"/>
        <v>0</v>
      </c>
      <c r="V77" s="491">
        <f t="shared" si="8"/>
        <v>1</v>
      </c>
    </row>
    <row r="78" spans="2:23" ht="13.5" thickBot="1" x14ac:dyDescent="0.25">
      <c r="B78" s="494" t="str">
        <f>$H$123</f>
        <v>ohne Stahl (&lt;2.5m)</v>
      </c>
      <c r="D78" s="281" t="s">
        <v>161</v>
      </c>
      <c r="E78" s="316" t="s">
        <v>161</v>
      </c>
      <c r="F78" s="316" t="s">
        <v>161</v>
      </c>
      <c r="G78" s="316" t="s">
        <v>161</v>
      </c>
      <c r="H78" s="444" t="str">
        <f t="shared" si="11"/>
        <v>L=70mm</v>
      </c>
      <c r="I78" s="451"/>
      <c r="J78" s="280" t="str">
        <f>H78</f>
        <v>L=70mm</v>
      </c>
      <c r="K78" s="34" t="s">
        <v>442</v>
      </c>
      <c r="L78" s="365"/>
      <c r="M78" s="365"/>
      <c r="N78" s="365"/>
      <c r="O78" s="366"/>
      <c r="T78" s="315" t="s">
        <v>943</v>
      </c>
      <c r="U78" s="311" t="b">
        <f>IF('Pos. 5'!AZ9="",FALSE,TRUE)</f>
        <v>0</v>
      </c>
      <c r="V78" s="491">
        <f t="shared" si="8"/>
        <v>1</v>
      </c>
      <c r="W78" s="280">
        <f>SUM(V78:V79)</f>
        <v>2</v>
      </c>
    </row>
    <row r="79" spans="2:23" ht="13.5" thickBot="1" x14ac:dyDescent="0.25">
      <c r="D79" s="281" t="s">
        <v>162</v>
      </c>
      <c r="E79" s="316" t="s">
        <v>162</v>
      </c>
      <c r="F79" s="316" t="s">
        <v>162</v>
      </c>
      <c r="G79" s="316" t="s">
        <v>162</v>
      </c>
      <c r="H79" s="444" t="str">
        <f t="shared" si="11"/>
        <v>L=100mm</v>
      </c>
      <c r="I79" s="451"/>
      <c r="J79" s="280" t="str">
        <f>H79</f>
        <v>L=100mm</v>
      </c>
      <c r="K79" s="507" t="str">
        <f>H65</f>
        <v>mit Verschlussraster (Druckknopf)</v>
      </c>
      <c r="L79" s="508"/>
      <c r="M79" s="509"/>
      <c r="N79" s="510" t="str">
        <f>IF(OR(C62=TRUE,C63=TRUE),K81,K79)</f>
        <v>mit Verschlussraster (Druckknopf)</v>
      </c>
      <c r="O79" s="511"/>
      <c r="T79" s="315" t="s">
        <v>944</v>
      </c>
      <c r="U79" s="311" t="b">
        <f>IF('Pos. 5'!AZ10="",FALSE,TRUE)</f>
        <v>0</v>
      </c>
      <c r="V79" s="491">
        <f t="shared" si="8"/>
        <v>1</v>
      </c>
    </row>
    <row r="80" spans="2:23" ht="13.5" thickBot="1" x14ac:dyDescent="0.25">
      <c r="B80" s="57" t="s">
        <v>619</v>
      </c>
      <c r="D80" s="281" t="s">
        <v>163</v>
      </c>
      <c r="E80" s="316" t="s">
        <v>275</v>
      </c>
      <c r="F80" s="316" t="s">
        <v>297</v>
      </c>
      <c r="G80" s="317" t="s">
        <v>310</v>
      </c>
      <c r="H80" s="444" t="str">
        <f t="shared" si="11"/>
        <v>ohne</v>
      </c>
      <c r="I80" s="451"/>
      <c r="J80" s="280" t="str">
        <f>H80</f>
        <v>ohne</v>
      </c>
      <c r="K80" s="512" t="str">
        <f>H67</f>
        <v>ohne Verschlussraster</v>
      </c>
      <c r="L80" s="513"/>
      <c r="M80" s="465"/>
      <c r="N80" s="514" t="str">
        <f>IF(OR(C62=TRUE,C63=TRUE),K82,K80)</f>
        <v>ohne Verschlussraster</v>
      </c>
      <c r="O80" s="455"/>
      <c r="U80" s="311"/>
      <c r="V80" s="491"/>
    </row>
    <row r="81" spans="1:22" x14ac:dyDescent="0.2">
      <c r="A81" s="515">
        <v>280</v>
      </c>
      <c r="B81" s="516" t="str">
        <f>""</f>
        <v/>
      </c>
      <c r="C81" s="517">
        <v>214</v>
      </c>
      <c r="D81" s="281" t="s">
        <v>164</v>
      </c>
      <c r="E81" s="316" t="s">
        <v>276</v>
      </c>
      <c r="F81" s="316" t="s">
        <v>298</v>
      </c>
      <c r="G81" s="317" t="s">
        <v>311</v>
      </c>
      <c r="H81" s="444" t="str">
        <f t="shared" si="11"/>
        <v>inklusive</v>
      </c>
      <c r="I81" s="451"/>
      <c r="J81" s="280" t="str">
        <f>H81</f>
        <v>inklusive</v>
      </c>
      <c r="K81" s="512" t="str">
        <f>H66</f>
        <v>mit Verschlussraster (Zylinder)</v>
      </c>
      <c r="L81" s="513"/>
      <c r="M81" s="465"/>
      <c r="N81" s="518"/>
      <c r="O81" s="455"/>
      <c r="U81" s="311"/>
      <c r="V81" s="491"/>
    </row>
    <row r="82" spans="1:22" ht="13.5" thickBot="1" x14ac:dyDescent="0.25">
      <c r="A82" s="519">
        <v>254</v>
      </c>
      <c r="B82" s="520">
        <v>85</v>
      </c>
      <c r="C82" s="521">
        <f>IF('Pos. 5'!$T$114='Sprachen &amp; Rückgabewerte(5)'!$J$146,130,144)</f>
        <v>144</v>
      </c>
      <c r="D82" s="281" t="s">
        <v>277</v>
      </c>
      <c r="E82" s="316" t="s">
        <v>278</v>
      </c>
      <c r="F82" s="316" t="s">
        <v>299</v>
      </c>
      <c r="G82" s="317" t="s">
        <v>278</v>
      </c>
      <c r="H82" s="444" t="str">
        <f t="shared" si="11"/>
        <v>Sockel 75</v>
      </c>
      <c r="I82" s="451"/>
      <c r="J82" s="280" t="str">
        <f>H82</f>
        <v>Sockel 75</v>
      </c>
      <c r="K82" s="374" t="str">
        <f>H160</f>
        <v>ohne Verschlussraster (Zylinder)</v>
      </c>
      <c r="L82" s="375"/>
      <c r="M82" s="376"/>
      <c r="N82" s="375"/>
      <c r="O82" s="460"/>
      <c r="U82" s="522"/>
      <c r="V82" s="523"/>
    </row>
    <row r="83" spans="1:22" ht="13.5" thickBot="1" x14ac:dyDescent="0.25">
      <c r="A83" s="519">
        <v>254</v>
      </c>
      <c r="B83" s="520">
        <v>105</v>
      </c>
      <c r="C83" s="521">
        <f>IF('Pos. 5'!$T$114='Sprachen &amp; Rückgabewerte(5)'!$J$146,158,172)</f>
        <v>172</v>
      </c>
      <c r="D83" s="281" t="s">
        <v>163</v>
      </c>
      <c r="E83" s="316" t="s">
        <v>275</v>
      </c>
      <c r="F83" s="316" t="s">
        <v>297</v>
      </c>
      <c r="G83" s="317" t="s">
        <v>310</v>
      </c>
      <c r="H83" s="444" t="str">
        <f t="shared" si="11"/>
        <v>ohne</v>
      </c>
      <c r="I83" s="451"/>
      <c r="T83" s="314" t="s">
        <v>767</v>
      </c>
      <c r="U83" s="438" t="b">
        <f>IF(V83&gt;0,FALSE,TRUE)</f>
        <v>0</v>
      </c>
      <c r="V83" s="524">
        <f>SUM(V41:V82)</f>
        <v>20</v>
      </c>
    </row>
    <row r="84" spans="1:22" ht="13.5" thickBot="1" x14ac:dyDescent="0.25">
      <c r="A84" s="525">
        <v>228</v>
      </c>
      <c r="B84" s="526">
        <v>110</v>
      </c>
      <c r="C84" s="527">
        <f>IF('Pos. 5'!$T$114='Sprachen &amp; Rückgabewerte(5)'!$J$146,186,200)</f>
        <v>200</v>
      </c>
      <c r="D84" s="281" t="s">
        <v>165</v>
      </c>
      <c r="E84" s="316" t="s">
        <v>279</v>
      </c>
      <c r="F84" s="316" t="s">
        <v>300</v>
      </c>
      <c r="G84" s="317" t="s">
        <v>312</v>
      </c>
      <c r="H84" s="444" t="str">
        <f t="shared" si="11"/>
        <v>Rahmenzusammenbau:</v>
      </c>
      <c r="I84" s="451"/>
    </row>
    <row r="85" spans="1:22" x14ac:dyDescent="0.2">
      <c r="D85" s="281" t="s">
        <v>166</v>
      </c>
      <c r="E85" s="316" t="s">
        <v>280</v>
      </c>
      <c r="F85" s="316" t="s">
        <v>301</v>
      </c>
      <c r="G85" s="317" t="s">
        <v>313</v>
      </c>
      <c r="H85" s="444" t="str">
        <f t="shared" si="11"/>
        <v>Gehrungsstoss (A)</v>
      </c>
      <c r="I85" s="451"/>
      <c r="J85" s="280" t="str">
        <f>H85</f>
        <v>Gehrungsstoss (A)</v>
      </c>
      <c r="L85" s="544" t="s">
        <v>711</v>
      </c>
      <c r="M85" s="545"/>
    </row>
    <row r="86" spans="1:22" ht="13.5" thickBot="1" x14ac:dyDescent="0.25">
      <c r="D86" s="281" t="s">
        <v>334</v>
      </c>
      <c r="E86" s="316" t="s">
        <v>281</v>
      </c>
      <c r="F86" s="316" t="s">
        <v>302</v>
      </c>
      <c r="G86" s="317" t="s">
        <v>507</v>
      </c>
      <c r="H86" s="444" t="str">
        <f t="shared" si="11"/>
        <v>Montagestoss (B)</v>
      </c>
      <c r="I86" s="451"/>
      <c r="J86" s="280" t="str">
        <f>H86</f>
        <v>Montagestoss (B)</v>
      </c>
      <c r="L86" s="528"/>
      <c r="M86" s="372"/>
    </row>
    <row r="87" spans="1:22" x14ac:dyDescent="0.2">
      <c r="B87" s="542" t="s">
        <v>649</v>
      </c>
      <c r="C87" s="543"/>
      <c r="D87" s="281" t="s">
        <v>167</v>
      </c>
      <c r="E87" s="316" t="s">
        <v>282</v>
      </c>
      <c r="F87" s="316" t="s">
        <v>342</v>
      </c>
      <c r="G87" s="317" t="s">
        <v>314</v>
      </c>
      <c r="H87" s="444" t="str">
        <f t="shared" si="11"/>
        <v>Logistik:</v>
      </c>
      <c r="I87" s="451"/>
      <c r="L87" s="529">
        <v>1</v>
      </c>
      <c r="M87" s="317" t="str">
        <f>CONCATENATE($H$154," ",L87)</f>
        <v>Kalenderwoche 1</v>
      </c>
    </row>
    <row r="88" spans="1:22" x14ac:dyDescent="0.2">
      <c r="B88" s="357" t="s">
        <v>650</v>
      </c>
      <c r="C88" s="358">
        <f>IF(AND(I50=TRUE,'Pos. 5'!T104&lt;&gt;""),0,1)</f>
        <v>1</v>
      </c>
      <c r="D88" s="281" t="s">
        <v>335</v>
      </c>
      <c r="E88" s="316" t="s">
        <v>771</v>
      </c>
      <c r="F88" s="316" t="s">
        <v>336</v>
      </c>
      <c r="G88" s="317" t="s">
        <v>522</v>
      </c>
      <c r="H88" s="444" t="str">
        <f t="shared" si="11"/>
        <v>ohne Glas-Sortierung</v>
      </c>
      <c r="I88" s="451"/>
      <c r="J88" s="280" t="str">
        <f>H88</f>
        <v>ohne Glas-Sortierung</v>
      </c>
      <c r="L88" s="529">
        <v>2</v>
      </c>
      <c r="M88" s="317" t="str">
        <f t="shared" ref="M88:M138" si="13">CONCATENATE($H$154," ",L88)</f>
        <v>Kalenderwoche 2</v>
      </c>
    </row>
    <row r="89" spans="1:22" x14ac:dyDescent="0.2">
      <c r="B89" s="281" t="s">
        <v>651</v>
      </c>
      <c r="C89" s="466">
        <f>IF(AND(I50=TRUE,'Pos. 5'!T106&lt;&gt;""),0,1)</f>
        <v>1</v>
      </c>
      <c r="D89" s="281" t="s">
        <v>168</v>
      </c>
      <c r="E89" s="316" t="s">
        <v>337</v>
      </c>
      <c r="F89" s="316" t="s">
        <v>338</v>
      </c>
      <c r="G89" s="317" t="s">
        <v>523</v>
      </c>
      <c r="H89" s="444" t="str">
        <f>IF($B$3=$A$3,D89,IF($B$3=$A$4,E89,IF($B$3=$A$5,F89,IF($B$3=$A$6,$G$89,""))))</f>
        <v>nach Stockwerk:</v>
      </c>
      <c r="I89" s="451"/>
      <c r="J89" s="280" t="str">
        <f>H89</f>
        <v>nach Stockwerk:</v>
      </c>
      <c r="L89" s="529">
        <v>3</v>
      </c>
      <c r="M89" s="317" t="str">
        <f t="shared" si="13"/>
        <v>Kalenderwoche 3</v>
      </c>
    </row>
    <row r="90" spans="1:22" x14ac:dyDescent="0.2">
      <c r="B90" s="281" t="s">
        <v>652</v>
      </c>
      <c r="C90" s="466">
        <f>IF(AND(I50=TRUE,'Pos. 5'!T108&lt;&gt;""),0,1)</f>
        <v>1</v>
      </c>
      <c r="D90" s="281" t="s">
        <v>284</v>
      </c>
      <c r="E90" s="316" t="s">
        <v>283</v>
      </c>
      <c r="F90" s="316" t="s">
        <v>303</v>
      </c>
      <c r="G90" s="317" t="s">
        <v>369</v>
      </c>
      <c r="H90" s="444" t="str">
        <f>IF($B$3=$A$3,D90,IF($B$3=$A$4,E90,IF($B$3=$A$5,F90,IF($B$3=$A$6,G90,""))))</f>
        <v>Wunschtermin:</v>
      </c>
      <c r="I90" s="451"/>
      <c r="L90" s="529">
        <v>4</v>
      </c>
      <c r="M90" s="317" t="str">
        <f t="shared" si="13"/>
        <v>Kalenderwoche 4</v>
      </c>
    </row>
    <row r="91" spans="1:22" x14ac:dyDescent="0.2">
      <c r="B91" s="281" t="s">
        <v>653</v>
      </c>
      <c r="C91" s="466">
        <f>IF(AND(I50=TRUE,'Pos. 5'!T110&lt;&gt;""),0,1)</f>
        <v>1</v>
      </c>
      <c r="D91" s="281" t="s">
        <v>386</v>
      </c>
      <c r="E91" s="316" t="s">
        <v>285</v>
      </c>
      <c r="F91" s="316" t="s">
        <v>387</v>
      </c>
      <c r="G91" s="317" t="s">
        <v>388</v>
      </c>
      <c r="H91" s="444" t="str">
        <f t="shared" ref="H91:H111" si="14">IF($B$3=$A$3,D91,IF($B$3=$A$4,E91,IF($B$3=$A$5,F91,IF($B$3=$A$6,G91,""))))</f>
        <v>Farbe Laufschiene + Schraubenarretierungen:</v>
      </c>
      <c r="I91" s="451"/>
      <c r="L91" s="529">
        <v>5</v>
      </c>
      <c r="M91" s="317" t="str">
        <f t="shared" si="13"/>
        <v>Kalenderwoche 5</v>
      </c>
    </row>
    <row r="92" spans="1:22" x14ac:dyDescent="0.2">
      <c r="B92" s="281" t="s">
        <v>654</v>
      </c>
      <c r="C92" s="466">
        <f>IF(AND(I50=TRUE,'Pos. 5'!T112&lt;&gt;""),0,1)</f>
        <v>1</v>
      </c>
      <c r="D92" s="281" t="s">
        <v>434</v>
      </c>
      <c r="E92" s="316" t="s">
        <v>435</v>
      </c>
      <c r="F92" s="316" t="s">
        <v>436</v>
      </c>
      <c r="G92" s="317" t="s">
        <v>437</v>
      </c>
      <c r="H92" s="444" t="str">
        <f t="shared" si="14"/>
        <v>Silber</v>
      </c>
      <c r="I92" s="451"/>
      <c r="J92" s="280" t="str">
        <f>H92</f>
        <v>Silber</v>
      </c>
      <c r="L92" s="529">
        <v>6</v>
      </c>
      <c r="M92" s="317" t="str">
        <f t="shared" si="13"/>
        <v>Kalenderwoche 6</v>
      </c>
    </row>
    <row r="93" spans="1:22" x14ac:dyDescent="0.2">
      <c r="B93" s="281" t="s">
        <v>655</v>
      </c>
      <c r="C93" s="466">
        <f>IF(AND(I50=TRUE,'Pos. 5'!T114&lt;&gt;""),0,1)</f>
        <v>1</v>
      </c>
      <c r="D93" s="281" t="s">
        <v>169</v>
      </c>
      <c r="E93" s="316" t="s">
        <v>286</v>
      </c>
      <c r="F93" s="316" t="s">
        <v>304</v>
      </c>
      <c r="G93" s="317" t="s">
        <v>315</v>
      </c>
      <c r="H93" s="444" t="str">
        <f t="shared" si="14"/>
        <v>Schwarz</v>
      </c>
      <c r="I93" s="451"/>
      <c r="J93" s="280" t="str">
        <f>H93</f>
        <v>Schwarz</v>
      </c>
      <c r="L93" s="529">
        <v>7</v>
      </c>
      <c r="M93" s="317" t="str">
        <f t="shared" si="13"/>
        <v>Kalenderwoche 7</v>
      </c>
      <c r="N93" s="530"/>
    </row>
    <row r="94" spans="1:22" x14ac:dyDescent="0.2">
      <c r="B94" s="281"/>
      <c r="C94" s="317"/>
      <c r="D94" s="281" t="s">
        <v>380</v>
      </c>
      <c r="E94" s="316" t="s">
        <v>592</v>
      </c>
      <c r="F94" s="316" t="s">
        <v>378</v>
      </c>
      <c r="G94" s="317" t="s">
        <v>381</v>
      </c>
      <c r="H94" s="444" t="str">
        <f t="shared" si="14"/>
        <v>Druckausgleichsventile :</v>
      </c>
      <c r="I94" s="451"/>
      <c r="L94" s="529">
        <v>8</v>
      </c>
      <c r="M94" s="317" t="str">
        <f t="shared" si="13"/>
        <v>Kalenderwoche 8</v>
      </c>
    </row>
    <row r="95" spans="1:22" ht="13.5" thickBot="1" x14ac:dyDescent="0.25">
      <c r="B95" s="226" t="s">
        <v>656</v>
      </c>
      <c r="C95" s="227">
        <f>SUM(C88:C93)</f>
        <v>6</v>
      </c>
      <c r="D95" s="281" t="s">
        <v>170</v>
      </c>
      <c r="E95" s="316" t="s">
        <v>175</v>
      </c>
      <c r="F95" s="316" t="s">
        <v>325</v>
      </c>
      <c r="G95" s="317" t="s">
        <v>316</v>
      </c>
      <c r="H95" s="444" t="str">
        <f t="shared" si="14"/>
        <v>Ja</v>
      </c>
      <c r="I95" s="451"/>
      <c r="J95" s="280" t="str">
        <f>H95</f>
        <v>Ja</v>
      </c>
      <c r="L95" s="529">
        <v>9</v>
      </c>
      <c r="M95" s="317" t="str">
        <f t="shared" si="13"/>
        <v>Kalenderwoche 9</v>
      </c>
    </row>
    <row r="96" spans="1:22" x14ac:dyDescent="0.2">
      <c r="D96" s="281" t="s">
        <v>171</v>
      </c>
      <c r="E96" s="316" t="s">
        <v>176</v>
      </c>
      <c r="F96" s="316" t="s">
        <v>799</v>
      </c>
      <c r="G96" s="317" t="s">
        <v>176</v>
      </c>
      <c r="H96" s="444" t="str">
        <f t="shared" si="14"/>
        <v>Nein</v>
      </c>
      <c r="I96" s="451"/>
      <c r="J96" s="280" t="str">
        <f>H96</f>
        <v>Nein</v>
      </c>
      <c r="L96" s="529">
        <v>10</v>
      </c>
      <c r="M96" s="317" t="str">
        <f t="shared" si="13"/>
        <v>Kalenderwoche 10</v>
      </c>
    </row>
    <row r="97" spans="4:14" x14ac:dyDescent="0.2">
      <c r="D97" s="281" t="s">
        <v>172</v>
      </c>
      <c r="E97" s="316" t="s">
        <v>177</v>
      </c>
      <c r="F97" s="316" t="s">
        <v>326</v>
      </c>
      <c r="G97" s="317" t="s">
        <v>317</v>
      </c>
      <c r="H97" s="444" t="str">
        <f t="shared" si="14"/>
        <v>Digitale Unterschrift:</v>
      </c>
      <c r="I97" s="451"/>
      <c r="L97" s="529">
        <v>11</v>
      </c>
      <c r="M97" s="317" t="str">
        <f t="shared" si="13"/>
        <v>Kalenderwoche 11</v>
      </c>
    </row>
    <row r="98" spans="4:14" x14ac:dyDescent="0.2">
      <c r="D98" s="281" t="s">
        <v>174</v>
      </c>
      <c r="E98" s="316" t="s">
        <v>287</v>
      </c>
      <c r="F98" s="316" t="s">
        <v>327</v>
      </c>
      <c r="G98" s="317" t="s">
        <v>370</v>
      </c>
      <c r="H98" s="444" t="str">
        <f t="shared" si="14"/>
        <v>Bestellung an:</v>
      </c>
      <c r="I98" s="451"/>
      <c r="L98" s="529">
        <v>12</v>
      </c>
      <c r="M98" s="317" t="str">
        <f t="shared" si="13"/>
        <v>Kalenderwoche 12</v>
      </c>
    </row>
    <row r="99" spans="4:14" x14ac:dyDescent="0.2">
      <c r="D99" s="281" t="s">
        <v>173</v>
      </c>
      <c r="E99" s="316" t="s">
        <v>173</v>
      </c>
      <c r="F99" s="316" t="s">
        <v>173</v>
      </c>
      <c r="G99" s="317" t="s">
        <v>173</v>
      </c>
      <c r="H99" s="444" t="str">
        <f t="shared" si="14"/>
        <v>orders@sky-frame.ch</v>
      </c>
      <c r="I99" s="451"/>
      <c r="L99" s="529">
        <v>13</v>
      </c>
      <c r="M99" s="317" t="str">
        <f t="shared" si="13"/>
        <v>Kalenderwoche 13</v>
      </c>
    </row>
    <row r="100" spans="4:14" x14ac:dyDescent="0.2">
      <c r="D100" s="281"/>
      <c r="E100" s="316"/>
      <c r="F100" s="316"/>
      <c r="G100" s="317"/>
      <c r="H100" s="444">
        <f t="shared" si="14"/>
        <v>0</v>
      </c>
      <c r="I100" s="451"/>
      <c r="L100" s="529">
        <v>14</v>
      </c>
      <c r="M100" s="317" t="str">
        <f t="shared" si="13"/>
        <v>Kalenderwoche 14</v>
      </c>
    </row>
    <row r="101" spans="4:14" x14ac:dyDescent="0.2">
      <c r="D101" s="281"/>
      <c r="E101" s="316"/>
      <c r="F101" s="316"/>
      <c r="G101" s="317"/>
      <c r="H101" s="444">
        <f t="shared" si="14"/>
        <v>0</v>
      </c>
      <c r="I101" s="451"/>
      <c r="L101" s="529">
        <v>15</v>
      </c>
      <c r="M101" s="317" t="str">
        <f t="shared" si="13"/>
        <v>Kalenderwoche 15</v>
      </c>
    </row>
    <row r="102" spans="4:14" ht="51" x14ac:dyDescent="0.2">
      <c r="D102" s="330" t="s">
        <v>510</v>
      </c>
      <c r="E102" s="424" t="s">
        <v>288</v>
      </c>
      <c r="F102" s="424" t="s">
        <v>752</v>
      </c>
      <c r="G102" s="423" t="s">
        <v>430</v>
      </c>
      <c r="H102" s="531" t="str">
        <f t="shared" si="14"/>
        <v>Diese Bestellung ist verbindlich und muss komplett ausgefüllt werden. Änderungen werden als Mehraufwand verrechnet.</v>
      </c>
      <c r="I102" s="451"/>
      <c r="L102" s="529">
        <v>16</v>
      </c>
      <c r="M102" s="317" t="str">
        <f t="shared" si="13"/>
        <v>Kalenderwoche 16</v>
      </c>
    </row>
    <row r="103" spans="4:14" ht="12.75" customHeight="1" x14ac:dyDescent="0.2">
      <c r="D103" s="330"/>
      <c r="E103" s="316"/>
      <c r="F103" s="316"/>
      <c r="G103" s="317"/>
      <c r="H103" s="444"/>
      <c r="I103" s="451"/>
      <c r="L103" s="529">
        <v>17</v>
      </c>
      <c r="M103" s="317" t="str">
        <f t="shared" si="13"/>
        <v>Kalenderwoche 17</v>
      </c>
      <c r="N103" s="530"/>
    </row>
    <row r="104" spans="4:14" ht="12.75" customHeight="1" x14ac:dyDescent="0.2">
      <c r="D104" s="281" t="s">
        <v>212</v>
      </c>
      <c r="E104" s="316" t="s">
        <v>759</v>
      </c>
      <c r="F104" s="316" t="s">
        <v>328</v>
      </c>
      <c r="G104" s="317" t="s">
        <v>371</v>
      </c>
      <c r="H104" s="444" t="str">
        <f t="shared" si="14"/>
        <v>A-Ecke 90°</v>
      </c>
      <c r="I104" s="451"/>
      <c r="L104" s="529">
        <v>18</v>
      </c>
      <c r="M104" s="317" t="str">
        <f t="shared" si="13"/>
        <v>Kalenderwoche 18</v>
      </c>
    </row>
    <row r="105" spans="4:14" ht="12.75" customHeight="1" x14ac:dyDescent="0.2">
      <c r="D105" s="281" t="s">
        <v>213</v>
      </c>
      <c r="E105" s="316" t="s">
        <v>758</v>
      </c>
      <c r="F105" s="316" t="s">
        <v>461</v>
      </c>
      <c r="G105" s="317" t="s">
        <v>372</v>
      </c>
      <c r="H105" s="444" t="str">
        <f t="shared" si="14"/>
        <v>I-Ecke 90°</v>
      </c>
      <c r="I105" s="451"/>
      <c r="L105" s="529">
        <v>19</v>
      </c>
      <c r="M105" s="317" t="str">
        <f t="shared" si="13"/>
        <v>Kalenderwoche 19</v>
      </c>
    </row>
    <row r="106" spans="4:14" ht="12.75" customHeight="1" x14ac:dyDescent="0.2">
      <c r="D106" s="281" t="s">
        <v>215</v>
      </c>
      <c r="E106" s="316" t="s">
        <v>757</v>
      </c>
      <c r="F106" s="316" t="s">
        <v>329</v>
      </c>
      <c r="G106" s="317" t="s">
        <v>373</v>
      </c>
      <c r="H106" s="444" t="str">
        <f t="shared" si="14"/>
        <v>A-Ecke≠90°</v>
      </c>
      <c r="I106" s="451"/>
      <c r="L106" s="529">
        <v>20</v>
      </c>
      <c r="M106" s="317" t="str">
        <f t="shared" si="13"/>
        <v>Kalenderwoche 20</v>
      </c>
    </row>
    <row r="107" spans="4:14" ht="12.75" customHeight="1" x14ac:dyDescent="0.2">
      <c r="D107" s="281" t="s">
        <v>216</v>
      </c>
      <c r="E107" s="316" t="s">
        <v>756</v>
      </c>
      <c r="F107" s="316" t="s">
        <v>462</v>
      </c>
      <c r="G107" s="317" t="s">
        <v>374</v>
      </c>
      <c r="H107" s="444" t="str">
        <f t="shared" si="14"/>
        <v>I-Ecke≠90°</v>
      </c>
      <c r="I107" s="451"/>
      <c r="L107" s="529">
        <v>21</v>
      </c>
      <c r="M107" s="317" t="str">
        <f t="shared" si="13"/>
        <v>Kalenderwoche 21</v>
      </c>
    </row>
    <row r="108" spans="4:14" ht="12.75" customHeight="1" x14ac:dyDescent="0.2">
      <c r="D108" s="281" t="s">
        <v>447</v>
      </c>
      <c r="E108" s="316" t="s">
        <v>448</v>
      </c>
      <c r="F108" s="316" t="s">
        <v>449</v>
      </c>
      <c r="G108" s="317" t="s">
        <v>450</v>
      </c>
      <c r="H108" s="444" t="str">
        <f t="shared" si="14"/>
        <v>Wert:</v>
      </c>
      <c r="I108" s="451"/>
      <c r="L108" s="529">
        <v>22</v>
      </c>
      <c r="M108" s="317" t="str">
        <f t="shared" si="13"/>
        <v>Kalenderwoche 22</v>
      </c>
    </row>
    <row r="109" spans="4:14" ht="12.75" customHeight="1" x14ac:dyDescent="0.2">
      <c r="D109" s="281" t="s">
        <v>290</v>
      </c>
      <c r="E109" s="316" t="s">
        <v>289</v>
      </c>
      <c r="F109" s="316" t="s">
        <v>330</v>
      </c>
      <c r="G109" s="316" t="s">
        <v>375</v>
      </c>
      <c r="H109" s="444" t="str">
        <f t="shared" si="14"/>
        <v>Bitte auswählen:</v>
      </c>
      <c r="I109" s="451"/>
      <c r="L109" s="529">
        <v>23</v>
      </c>
      <c r="M109" s="317" t="str">
        <f t="shared" si="13"/>
        <v>Kalenderwoche 23</v>
      </c>
    </row>
    <row r="110" spans="4:14" ht="12.75" customHeight="1" x14ac:dyDescent="0.2">
      <c r="D110" s="281" t="s">
        <v>350</v>
      </c>
      <c r="E110" s="316" t="s">
        <v>350</v>
      </c>
      <c r="F110" s="316" t="s">
        <v>350</v>
      </c>
      <c r="G110" s="316" t="s">
        <v>350</v>
      </c>
      <c r="H110" s="444" t="str">
        <f t="shared" si="14"/>
        <v>KABA (22)</v>
      </c>
      <c r="I110" s="451" t="b">
        <v>0</v>
      </c>
      <c r="L110" s="529">
        <v>24</v>
      </c>
      <c r="M110" s="317" t="str">
        <f t="shared" si="13"/>
        <v>Kalenderwoche 24</v>
      </c>
    </row>
    <row r="111" spans="4:14" ht="12.75" customHeight="1" x14ac:dyDescent="0.2">
      <c r="D111" s="281" t="s">
        <v>351</v>
      </c>
      <c r="E111" s="316" t="s">
        <v>351</v>
      </c>
      <c r="F111" s="316" t="s">
        <v>351</v>
      </c>
      <c r="G111" s="317" t="s">
        <v>351</v>
      </c>
      <c r="H111" s="444" t="str">
        <f t="shared" si="14"/>
        <v>PZ / Euro (17)</v>
      </c>
      <c r="I111" s="451" t="b">
        <v>0</v>
      </c>
      <c r="L111" s="529">
        <v>25</v>
      </c>
      <c r="M111" s="317" t="str">
        <f t="shared" si="13"/>
        <v>Kalenderwoche 25</v>
      </c>
    </row>
    <row r="112" spans="4:14" x14ac:dyDescent="0.2">
      <c r="D112" s="281" t="s">
        <v>392</v>
      </c>
      <c r="E112" s="316" t="s">
        <v>393</v>
      </c>
      <c r="F112" s="316" t="s">
        <v>394</v>
      </c>
      <c r="G112" s="317" t="s">
        <v>395</v>
      </c>
      <c r="H112" s="444" t="str">
        <f>IF($B$3=$A$3,D112,IF($B$3=$A$4,E112,IF($B$3=$A$5,F112,IF($B$3=$A$6,G112,""))))</f>
        <v>mit CFK</v>
      </c>
      <c r="I112" s="451"/>
      <c r="L112" s="529">
        <v>26</v>
      </c>
      <c r="M112" s="317" t="str">
        <f t="shared" si="13"/>
        <v>Kalenderwoche 26</v>
      </c>
    </row>
    <row r="113" spans="4:14" x14ac:dyDescent="0.2">
      <c r="D113" s="281" t="s">
        <v>396</v>
      </c>
      <c r="E113" s="316" t="s">
        <v>397</v>
      </c>
      <c r="F113" s="316" t="s">
        <v>398</v>
      </c>
      <c r="G113" s="317" t="s">
        <v>399</v>
      </c>
      <c r="H113" s="444" t="str">
        <f>IF($B$3=$A$3,D113,IF($B$3=$A$4,E113,IF($B$3=$A$5,F113,IF($B$3=$A$6,G113,""))))</f>
        <v>ohne CFK</v>
      </c>
      <c r="I113" s="451"/>
      <c r="L113" s="529">
        <v>27</v>
      </c>
      <c r="M113" s="317" t="str">
        <f t="shared" si="13"/>
        <v>Kalenderwoche 27</v>
      </c>
      <c r="N113" s="530"/>
    </row>
    <row r="114" spans="4:14" x14ac:dyDescent="0.2">
      <c r="D114" s="281" t="s">
        <v>400</v>
      </c>
      <c r="E114" s="316" t="s">
        <v>402</v>
      </c>
      <c r="F114" s="316" t="s">
        <v>404</v>
      </c>
      <c r="G114" s="317" t="s">
        <v>438</v>
      </c>
      <c r="H114" s="444" t="str">
        <f>IF($B$3=$A$3,D114,IF($B$3=$A$4,E114,IF($B$3=$A$5,F114,IF($B$3=$A$6,G114,""))))</f>
        <v>mit Stahl</v>
      </c>
      <c r="I114" s="451"/>
      <c r="L114" s="529">
        <v>28</v>
      </c>
      <c r="M114" s="317" t="str">
        <f t="shared" si="13"/>
        <v>Kalenderwoche 28</v>
      </c>
    </row>
    <row r="115" spans="4:14" x14ac:dyDescent="0.2">
      <c r="D115" s="281" t="s">
        <v>401</v>
      </c>
      <c r="E115" s="316" t="s">
        <v>403</v>
      </c>
      <c r="F115" s="316" t="s">
        <v>405</v>
      </c>
      <c r="G115" s="317" t="s">
        <v>439</v>
      </c>
      <c r="H115" s="444" t="str">
        <f>IF($B$3=$A$3,D115,IF($B$3=$A$4,E115,IF($B$3=$A$5,F115,IF($B$3=$A$6,G115,""))))</f>
        <v>ohne Stahl</v>
      </c>
      <c r="I115" s="451"/>
      <c r="L115" s="529">
        <v>29</v>
      </c>
      <c r="M115" s="317" t="str">
        <f t="shared" si="13"/>
        <v>Kalenderwoche 29</v>
      </c>
    </row>
    <row r="116" spans="4:14" x14ac:dyDescent="0.2">
      <c r="D116" s="281" t="s">
        <v>408</v>
      </c>
      <c r="E116" s="316" t="s">
        <v>411</v>
      </c>
      <c r="F116" s="316" t="s">
        <v>413</v>
      </c>
      <c r="G116" s="317" t="s">
        <v>416</v>
      </c>
      <c r="H116" s="444" t="str">
        <f>IF($B$3=$A$3,D116,IF($B$3=$A$4,E116,IF($B$3=$A$5,F116,IF($B$3=$A$6,G116,""))))</f>
        <v>Ganzglas-Ecke</v>
      </c>
      <c r="I116" s="451"/>
      <c r="L116" s="529">
        <v>30</v>
      </c>
      <c r="M116" s="317" t="str">
        <f t="shared" si="13"/>
        <v>Kalenderwoche 30</v>
      </c>
    </row>
    <row r="117" spans="4:14" x14ac:dyDescent="0.2">
      <c r="D117" s="281" t="s">
        <v>409</v>
      </c>
      <c r="E117" s="316" t="s">
        <v>755</v>
      </c>
      <c r="F117" s="316" t="s">
        <v>414</v>
      </c>
      <c r="G117" s="317" t="s">
        <v>417</v>
      </c>
      <c r="H117" s="444" t="str">
        <f t="shared" ref="H117:H180" si="15">IF($B$3=$A$3,D117,IF($B$3=$A$4,E117,IF($B$3=$A$5,F117,IF($B$3=$A$6,G117,""))))</f>
        <v>Ecke RC2 (WK2)</v>
      </c>
      <c r="I117" s="451"/>
      <c r="L117" s="529">
        <v>31</v>
      </c>
      <c r="M117" s="317" t="str">
        <f t="shared" si="13"/>
        <v>Kalenderwoche 31</v>
      </c>
    </row>
    <row r="118" spans="4:14" x14ac:dyDescent="0.2">
      <c r="D118" s="281" t="s">
        <v>410</v>
      </c>
      <c r="E118" s="316" t="s">
        <v>412</v>
      </c>
      <c r="F118" s="316" t="s">
        <v>415</v>
      </c>
      <c r="G118" s="317" t="s">
        <v>418</v>
      </c>
      <c r="H118" s="444" t="str">
        <f t="shared" si="15"/>
        <v>Standard (RC2 in Anlehnung)</v>
      </c>
      <c r="I118" s="451"/>
      <c r="L118" s="529">
        <v>32</v>
      </c>
      <c r="M118" s="317" t="str">
        <f t="shared" si="13"/>
        <v>Kalenderwoche 32</v>
      </c>
    </row>
    <row r="119" spans="4:14" x14ac:dyDescent="0.2">
      <c r="D119" s="281" t="s">
        <v>923</v>
      </c>
      <c r="E119" s="316" t="s">
        <v>924</v>
      </c>
      <c r="F119" s="316" t="s">
        <v>925</v>
      </c>
      <c r="G119" s="317" t="s">
        <v>926</v>
      </c>
      <c r="H119" s="444" t="str">
        <f t="shared" si="15"/>
        <v>RC2 mit Blech</v>
      </c>
      <c r="I119" s="451"/>
      <c r="L119" s="529">
        <v>33</v>
      </c>
      <c r="M119" s="317" t="str">
        <f t="shared" si="13"/>
        <v>Kalenderwoche 33</v>
      </c>
    </row>
    <row r="120" spans="4:14" x14ac:dyDescent="0.2">
      <c r="D120" s="281" t="s">
        <v>421</v>
      </c>
      <c r="E120" s="316" t="s">
        <v>424</v>
      </c>
      <c r="F120" s="316" t="s">
        <v>425</v>
      </c>
      <c r="G120" s="317" t="s">
        <v>427</v>
      </c>
      <c r="H120" s="444" t="str">
        <f t="shared" si="15"/>
        <v>mit AL.</v>
      </c>
      <c r="I120" s="451"/>
      <c r="L120" s="529">
        <v>34</v>
      </c>
      <c r="M120" s="317" t="str">
        <f t="shared" si="13"/>
        <v>Kalenderwoche 34</v>
      </c>
    </row>
    <row r="121" spans="4:14" x14ac:dyDescent="0.2">
      <c r="D121" s="281" t="s">
        <v>422</v>
      </c>
      <c r="E121" s="316" t="s">
        <v>423</v>
      </c>
      <c r="F121" s="316" t="s">
        <v>426</v>
      </c>
      <c r="G121" s="317" t="s">
        <v>428</v>
      </c>
      <c r="H121" s="444" t="str">
        <f t="shared" si="15"/>
        <v>ohne AL.</v>
      </c>
      <c r="I121" s="451"/>
      <c r="L121" s="529">
        <v>35</v>
      </c>
      <c r="M121" s="317" t="str">
        <f t="shared" si="13"/>
        <v>Kalenderwoche 35</v>
      </c>
    </row>
    <row r="122" spans="4:14" x14ac:dyDescent="0.2">
      <c r="D122" s="281" t="s">
        <v>843</v>
      </c>
      <c r="E122" s="316" t="s">
        <v>845</v>
      </c>
      <c r="F122" s="316" t="s">
        <v>847</v>
      </c>
      <c r="G122" s="317" t="s">
        <v>849</v>
      </c>
      <c r="H122" s="444" t="str">
        <f t="shared" si="15"/>
        <v>mit Stahl (&gt;2.5m)</v>
      </c>
      <c r="I122" s="451"/>
      <c r="L122" s="529">
        <v>36</v>
      </c>
      <c r="M122" s="317" t="str">
        <f t="shared" si="13"/>
        <v>Kalenderwoche 36</v>
      </c>
    </row>
    <row r="123" spans="4:14" x14ac:dyDescent="0.2">
      <c r="D123" s="281" t="s">
        <v>844</v>
      </c>
      <c r="E123" s="316" t="s">
        <v>846</v>
      </c>
      <c r="F123" s="316" t="s">
        <v>848</v>
      </c>
      <c r="G123" s="317" t="s">
        <v>850</v>
      </c>
      <c r="H123" s="444" t="str">
        <f t="shared" si="15"/>
        <v>ohne Stahl (&lt;2.5m)</v>
      </c>
      <c r="I123" s="451"/>
      <c r="L123" s="529">
        <v>37</v>
      </c>
      <c r="M123" s="317" t="str">
        <f t="shared" si="13"/>
        <v>Kalenderwoche 37</v>
      </c>
    </row>
    <row r="124" spans="4:14" x14ac:dyDescent="0.2">
      <c r="D124" s="281" t="s">
        <v>431</v>
      </c>
      <c r="E124" s="316" t="s">
        <v>754</v>
      </c>
      <c r="F124" s="316" t="s">
        <v>432</v>
      </c>
      <c r="G124" s="317" t="s">
        <v>433</v>
      </c>
      <c r="H124" s="444" t="str">
        <f t="shared" si="15"/>
        <v>Ecke:</v>
      </c>
      <c r="I124" s="451"/>
      <c r="L124" s="529">
        <v>38</v>
      </c>
      <c r="M124" s="317" t="str">
        <f t="shared" si="13"/>
        <v>Kalenderwoche 38</v>
      </c>
    </row>
    <row r="125" spans="4:14" x14ac:dyDescent="0.2">
      <c r="D125" s="281" t="s">
        <v>455</v>
      </c>
      <c r="E125" s="316" t="s">
        <v>455</v>
      </c>
      <c r="F125" s="316" t="s">
        <v>455</v>
      </c>
      <c r="G125" s="317" t="s">
        <v>455</v>
      </c>
      <c r="H125" s="444" t="str">
        <f t="shared" si="15"/>
        <v>NFRC (USA)</v>
      </c>
      <c r="I125" s="451" t="b">
        <v>0</v>
      </c>
      <c r="L125" s="529">
        <v>39</v>
      </c>
      <c r="M125" s="317" t="str">
        <f t="shared" si="13"/>
        <v>Kalenderwoche 39</v>
      </c>
    </row>
    <row r="126" spans="4:14" x14ac:dyDescent="0.2">
      <c r="D126" s="281" t="s">
        <v>467</v>
      </c>
      <c r="E126" s="316" t="s">
        <v>501</v>
      </c>
      <c r="F126" s="316" t="s">
        <v>504</v>
      </c>
      <c r="G126" s="317" t="s">
        <v>488</v>
      </c>
      <c r="H126" s="444" t="str">
        <f t="shared" si="15"/>
        <v>Bestellung vollständig ausfüllen.</v>
      </c>
      <c r="I126" s="451"/>
      <c r="L126" s="529">
        <v>40</v>
      </c>
      <c r="M126" s="317" t="str">
        <f t="shared" si="13"/>
        <v>Kalenderwoche 40</v>
      </c>
    </row>
    <row r="127" spans="4:14" x14ac:dyDescent="0.2">
      <c r="D127" s="281" t="s">
        <v>482</v>
      </c>
      <c r="E127" s="316" t="s">
        <v>502</v>
      </c>
      <c r="F127" s="316" t="s">
        <v>506</v>
      </c>
      <c r="G127" s="317" t="s">
        <v>489</v>
      </c>
      <c r="H127" s="444" t="str">
        <f t="shared" si="15"/>
        <v>Überprüfen ob keine roten Rahmen aufleuchten.</v>
      </c>
      <c r="I127" s="451"/>
      <c r="L127" s="529">
        <v>41</v>
      </c>
      <c r="M127" s="317" t="str">
        <f t="shared" si="13"/>
        <v>Kalenderwoche 41</v>
      </c>
    </row>
    <row r="128" spans="4:14" x14ac:dyDescent="0.2">
      <c r="D128" s="281" t="s">
        <v>483</v>
      </c>
      <c r="E128" s="316" t="s">
        <v>503</v>
      </c>
      <c r="F128" s="316" t="s">
        <v>505</v>
      </c>
      <c r="G128" s="317" t="s">
        <v>490</v>
      </c>
      <c r="H128" s="444" t="str">
        <f t="shared" si="15"/>
        <v>Bestellung senden an:</v>
      </c>
      <c r="I128" s="451"/>
      <c r="L128" s="529">
        <v>42</v>
      </c>
      <c r="M128" s="317" t="str">
        <f t="shared" si="13"/>
        <v>Kalenderwoche 42</v>
      </c>
    </row>
    <row r="129" spans="4:13" x14ac:dyDescent="0.2">
      <c r="D129" s="281" t="s">
        <v>481</v>
      </c>
      <c r="E129" s="316" t="s">
        <v>500</v>
      </c>
      <c r="F129" s="316" t="s">
        <v>500</v>
      </c>
      <c r="G129" s="317" t="s">
        <v>487</v>
      </c>
      <c r="H129" s="444" t="str">
        <f t="shared" si="15"/>
        <v>Anleitung:</v>
      </c>
      <c r="I129" s="451"/>
      <c r="L129" s="529">
        <v>43</v>
      </c>
      <c r="M129" s="317" t="str">
        <f t="shared" si="13"/>
        <v>Kalenderwoche 43</v>
      </c>
    </row>
    <row r="130" spans="4:13" x14ac:dyDescent="0.2">
      <c r="D130" s="281" t="s">
        <v>512</v>
      </c>
      <c r="E130" s="316" t="s">
        <v>511</v>
      </c>
      <c r="F130" s="316" t="s">
        <v>517</v>
      </c>
      <c r="G130" s="317" t="s">
        <v>700</v>
      </c>
      <c r="H130" s="444" t="str">
        <f t="shared" si="15"/>
        <v>Vertriebspartner:</v>
      </c>
      <c r="I130" s="451"/>
      <c r="L130" s="529">
        <v>44</v>
      </c>
      <c r="M130" s="317" t="str">
        <f t="shared" si="13"/>
        <v>Kalenderwoche 44</v>
      </c>
    </row>
    <row r="131" spans="4:13" x14ac:dyDescent="0.2">
      <c r="D131" s="281" t="s">
        <v>509</v>
      </c>
      <c r="E131" s="316" t="s">
        <v>519</v>
      </c>
      <c r="F131" s="316" t="s">
        <v>518</v>
      </c>
      <c r="G131" s="317" t="s">
        <v>521</v>
      </c>
      <c r="H131" s="444" t="str">
        <f t="shared" si="15"/>
        <v>Bemerkungen:</v>
      </c>
      <c r="I131" s="451"/>
      <c r="L131" s="529">
        <v>45</v>
      </c>
      <c r="M131" s="317" t="str">
        <f t="shared" si="13"/>
        <v>Kalenderwoche 45</v>
      </c>
    </row>
    <row r="132" spans="4:13" x14ac:dyDescent="0.2">
      <c r="D132" s="281" t="s">
        <v>525</v>
      </c>
      <c r="E132" s="316" t="s">
        <v>529</v>
      </c>
      <c r="F132" s="316" t="s">
        <v>530</v>
      </c>
      <c r="G132" s="317" t="s">
        <v>531</v>
      </c>
      <c r="H132" s="444" t="str">
        <f>IF($B$3=$A$3,D132,IF($B$3=$A$4,E132,IF($B$3=$A$5,F132,IF($B$3=$A$6,G132,""))))</f>
        <v>Öffnung angeben →</v>
      </c>
      <c r="I132" s="451"/>
      <c r="L132" s="529">
        <v>46</v>
      </c>
      <c r="M132" s="317" t="str">
        <f t="shared" si="13"/>
        <v>Kalenderwoche 46</v>
      </c>
    </row>
    <row r="133" spans="4:13" x14ac:dyDescent="0.2">
      <c r="D133" s="281" t="s">
        <v>581</v>
      </c>
      <c r="E133" s="316" t="s">
        <v>582</v>
      </c>
      <c r="F133" s="316" t="s">
        <v>584</v>
      </c>
      <c r="G133" s="317" t="s">
        <v>583</v>
      </c>
      <c r="H133" s="444" t="str">
        <f t="shared" si="15"/>
        <v>5-gleisig</v>
      </c>
      <c r="I133" s="451" t="b">
        <f>IF(AND(I12=TRUE,'Pos. 5'!AT5=1),TRUE,FALSE)</f>
        <v>0</v>
      </c>
      <c r="L133" s="529">
        <v>47</v>
      </c>
      <c r="M133" s="317" t="str">
        <f t="shared" si="13"/>
        <v>Kalenderwoche 47</v>
      </c>
    </row>
    <row r="134" spans="4:13" x14ac:dyDescent="0.2">
      <c r="D134" s="512" t="s">
        <v>586</v>
      </c>
      <c r="E134" s="316" t="s">
        <v>586</v>
      </c>
      <c r="F134" s="316" t="s">
        <v>586</v>
      </c>
      <c r="G134" s="317" t="s">
        <v>586</v>
      </c>
      <c r="H134" s="444" t="str">
        <f t="shared" si="15"/>
        <v>Features</v>
      </c>
      <c r="I134" s="451"/>
      <c r="J134" s="280" t="str">
        <f>H159</f>
        <v>Keine</v>
      </c>
      <c r="L134" s="529">
        <v>48</v>
      </c>
      <c r="M134" s="317" t="str">
        <f t="shared" si="13"/>
        <v>Kalenderwoche 48</v>
      </c>
    </row>
    <row r="135" spans="4:13" x14ac:dyDescent="0.2">
      <c r="D135" s="281" t="s">
        <v>600</v>
      </c>
      <c r="E135" s="316" t="s">
        <v>602</v>
      </c>
      <c r="F135" s="316" t="s">
        <v>603</v>
      </c>
      <c r="G135" s="317" t="s">
        <v>604</v>
      </c>
      <c r="H135" s="444" t="str">
        <f t="shared" si="15"/>
        <v>Oben Links</v>
      </c>
      <c r="I135" s="451"/>
      <c r="J135" s="280" t="str">
        <f>H135</f>
        <v>Oben Links</v>
      </c>
      <c r="L135" s="529">
        <v>49</v>
      </c>
      <c r="M135" s="317" t="str">
        <f t="shared" si="13"/>
        <v>Kalenderwoche 49</v>
      </c>
    </row>
    <row r="136" spans="4:13" x14ac:dyDescent="0.2">
      <c r="D136" s="281" t="s">
        <v>601</v>
      </c>
      <c r="E136" s="316" t="s">
        <v>605</v>
      </c>
      <c r="F136" s="316" t="s">
        <v>606</v>
      </c>
      <c r="G136" s="317" t="s">
        <v>607</v>
      </c>
      <c r="H136" s="444" t="str">
        <f t="shared" si="15"/>
        <v>Oben Rechts</v>
      </c>
      <c r="I136" s="451"/>
      <c r="J136" s="280" t="str">
        <f>H136</f>
        <v>Oben Rechts</v>
      </c>
      <c r="L136" s="529">
        <v>50</v>
      </c>
      <c r="M136" s="317" t="str">
        <f t="shared" si="13"/>
        <v>Kalenderwoche 50</v>
      </c>
    </row>
    <row r="137" spans="4:13" x14ac:dyDescent="0.2">
      <c r="D137" s="281" t="s">
        <v>608</v>
      </c>
      <c r="E137" s="316" t="s">
        <v>609</v>
      </c>
      <c r="F137" s="316" t="s">
        <v>610</v>
      </c>
      <c r="G137" s="317" t="s">
        <v>611</v>
      </c>
      <c r="H137" s="444" t="str">
        <f t="shared" si="15"/>
        <v>Lage Glasspinne (Ansicht von Aussen)</v>
      </c>
      <c r="I137" s="451"/>
      <c r="L137" s="529">
        <v>51</v>
      </c>
      <c r="M137" s="317" t="str">
        <f t="shared" si="13"/>
        <v>Kalenderwoche 51</v>
      </c>
    </row>
    <row r="138" spans="4:13" ht="13.5" thickBot="1" x14ac:dyDescent="0.25">
      <c r="D138" s="281" t="s">
        <v>612</v>
      </c>
      <c r="E138" s="316" t="s">
        <v>732</v>
      </c>
      <c r="F138" s="316" t="s">
        <v>703</v>
      </c>
      <c r="G138" s="317" t="s">
        <v>712</v>
      </c>
      <c r="H138" s="444" t="str">
        <f t="shared" si="15"/>
        <v>Rinnenbestellung</v>
      </c>
      <c r="I138" s="451"/>
      <c r="L138" s="532">
        <v>52</v>
      </c>
      <c r="M138" s="377" t="str">
        <f t="shared" si="13"/>
        <v>Kalenderwoche 52</v>
      </c>
    </row>
    <row r="139" spans="4:13" x14ac:dyDescent="0.2">
      <c r="D139" s="281" t="s">
        <v>647</v>
      </c>
      <c r="E139" s="316" t="s">
        <v>733</v>
      </c>
      <c r="F139" s="316" t="s">
        <v>725</v>
      </c>
      <c r="G139" s="317" t="s">
        <v>713</v>
      </c>
      <c r="H139" s="444" t="str">
        <f t="shared" si="15"/>
        <v>Wahl des Rinnensystems:</v>
      </c>
      <c r="I139" s="451"/>
    </row>
    <row r="140" spans="4:13" x14ac:dyDescent="0.2">
      <c r="D140" s="281" t="s">
        <v>646</v>
      </c>
      <c r="E140" s="316" t="s">
        <v>734</v>
      </c>
      <c r="F140" s="316" t="s">
        <v>726</v>
      </c>
      <c r="G140" s="317" t="s">
        <v>838</v>
      </c>
      <c r="H140" s="444" t="str">
        <f t="shared" si="15"/>
        <v>Einzug an der linken Anlagenseite:</v>
      </c>
      <c r="I140" s="451"/>
    </row>
    <row r="141" spans="4:13" x14ac:dyDescent="0.2">
      <c r="D141" s="281" t="s">
        <v>645</v>
      </c>
      <c r="E141" s="316" t="s">
        <v>735</v>
      </c>
      <c r="F141" s="316" t="s">
        <v>727</v>
      </c>
      <c r="G141" s="317" t="s">
        <v>839</v>
      </c>
      <c r="H141" s="444" t="str">
        <f t="shared" si="15"/>
        <v>Einzug an der rechten Anlagenseite:</v>
      </c>
      <c r="I141" s="451"/>
    </row>
    <row r="142" spans="4:13" x14ac:dyDescent="0.2">
      <c r="D142" s="281" t="s">
        <v>644</v>
      </c>
      <c r="E142" s="316" t="s">
        <v>736</v>
      </c>
      <c r="F142" s="316" t="s">
        <v>728</v>
      </c>
      <c r="G142" s="317" t="s">
        <v>714</v>
      </c>
      <c r="H142" s="444" t="str">
        <f t="shared" si="15"/>
        <v>Anschlussstutzen:</v>
      </c>
      <c r="I142" s="451"/>
    </row>
    <row r="143" spans="4:13" x14ac:dyDescent="0.2">
      <c r="D143" s="281" t="s">
        <v>613</v>
      </c>
      <c r="E143" s="316" t="s">
        <v>737</v>
      </c>
      <c r="F143" s="316" t="s">
        <v>704</v>
      </c>
      <c r="G143" s="317" t="s">
        <v>715</v>
      </c>
      <c r="H143" s="444" t="str">
        <f t="shared" si="15"/>
        <v>lose mitliefern</v>
      </c>
      <c r="I143" s="451"/>
      <c r="J143" s="280" t="str">
        <f>H143</f>
        <v>lose mitliefern</v>
      </c>
    </row>
    <row r="144" spans="4:13" x14ac:dyDescent="0.2">
      <c r="D144" s="281" t="s">
        <v>614</v>
      </c>
      <c r="E144" s="316" t="s">
        <v>738</v>
      </c>
      <c r="F144" s="316" t="s">
        <v>705</v>
      </c>
      <c r="G144" s="317" t="s">
        <v>716</v>
      </c>
      <c r="H144" s="444" t="str">
        <f t="shared" si="15"/>
        <v>vordefiniert</v>
      </c>
      <c r="I144" s="451"/>
      <c r="J144" s="280" t="str">
        <f>H144</f>
        <v>vordefiniert</v>
      </c>
    </row>
    <row r="145" spans="4:10" x14ac:dyDescent="0.2">
      <c r="D145" s="281" t="s">
        <v>648</v>
      </c>
      <c r="E145" s="316" t="s">
        <v>739</v>
      </c>
      <c r="F145" s="316" t="s">
        <v>729</v>
      </c>
      <c r="G145" s="317" t="s">
        <v>717</v>
      </c>
      <c r="H145" s="444" t="str">
        <f t="shared" si="15"/>
        <v>Anzahl Anschlussstutzen:</v>
      </c>
      <c r="I145" s="451"/>
    </row>
    <row r="146" spans="4:10" x14ac:dyDescent="0.2">
      <c r="D146" s="281" t="s">
        <v>615</v>
      </c>
      <c r="E146" s="316" t="s">
        <v>706</v>
      </c>
      <c r="F146" s="316" t="s">
        <v>706</v>
      </c>
      <c r="G146" s="317" t="s">
        <v>718</v>
      </c>
      <c r="H146" s="444" t="str">
        <f t="shared" si="15"/>
        <v>Typ A</v>
      </c>
      <c r="I146" s="451"/>
      <c r="J146" s="280" t="str">
        <f>H146</f>
        <v>Typ A</v>
      </c>
    </row>
    <row r="147" spans="4:10" x14ac:dyDescent="0.2">
      <c r="D147" s="281" t="s">
        <v>616</v>
      </c>
      <c r="E147" s="316" t="s">
        <v>707</v>
      </c>
      <c r="F147" s="316" t="s">
        <v>707</v>
      </c>
      <c r="G147" s="317" t="s">
        <v>719</v>
      </c>
      <c r="H147" s="444" t="str">
        <f t="shared" si="15"/>
        <v>Typ B</v>
      </c>
      <c r="I147" s="451"/>
      <c r="J147" s="280" t="str">
        <f>H147</f>
        <v>Typ B</v>
      </c>
    </row>
    <row r="148" spans="4:10" x14ac:dyDescent="0.2">
      <c r="D148" s="281" t="s">
        <v>617</v>
      </c>
      <c r="E148" s="316" t="s">
        <v>740</v>
      </c>
      <c r="F148" s="316" t="s">
        <v>730</v>
      </c>
      <c r="G148" s="317" t="s">
        <v>720</v>
      </c>
      <c r="H148" s="444" t="str">
        <f t="shared" si="15"/>
        <v>Abstände Ablaufstutzen:</v>
      </c>
      <c r="I148" s="451"/>
    </row>
    <row r="149" spans="4:10" x14ac:dyDescent="0.2">
      <c r="D149" s="281" t="s">
        <v>618</v>
      </c>
      <c r="E149" s="316" t="s">
        <v>741</v>
      </c>
      <c r="F149" s="316" t="s">
        <v>753</v>
      </c>
      <c r="G149" s="317" t="s">
        <v>721</v>
      </c>
      <c r="H149" s="444" t="str">
        <f t="shared" si="15"/>
        <v>Rinnenanschluss:</v>
      </c>
      <c r="I149" s="451"/>
    </row>
    <row r="150" spans="4:10" x14ac:dyDescent="0.2">
      <c r="D150" s="281" t="s">
        <v>695</v>
      </c>
      <c r="E150" s="316" t="s">
        <v>742</v>
      </c>
      <c r="F150" s="316" t="s">
        <v>731</v>
      </c>
      <c r="G150" s="317" t="s">
        <v>722</v>
      </c>
      <c r="H150" s="444" t="str">
        <f t="shared" si="15"/>
        <v>Farbe Panele:</v>
      </c>
      <c r="I150" s="451"/>
    </row>
    <row r="151" spans="4:10" x14ac:dyDescent="0.2">
      <c r="D151" s="281" t="s">
        <v>16</v>
      </c>
      <c r="E151" s="316" t="s">
        <v>16</v>
      </c>
      <c r="F151" s="316" t="s">
        <v>16</v>
      </c>
      <c r="G151" s="317" t="s">
        <v>16</v>
      </c>
      <c r="H151" s="444" t="str">
        <f t="shared" si="15"/>
        <v>Standard</v>
      </c>
      <c r="I151" s="451"/>
      <c r="J151" s="280" t="str">
        <f>H151</f>
        <v>Standard</v>
      </c>
    </row>
    <row r="152" spans="4:10" x14ac:dyDescent="0.2">
      <c r="D152" s="281" t="s">
        <v>696</v>
      </c>
      <c r="E152" s="316" t="s">
        <v>743</v>
      </c>
      <c r="F152" s="316" t="s">
        <v>708</v>
      </c>
      <c r="G152" s="317" t="s">
        <v>723</v>
      </c>
      <c r="H152" s="444" t="str">
        <f t="shared" si="15"/>
        <v>Rahmenfarbe</v>
      </c>
      <c r="I152" s="451"/>
      <c r="J152" s="280" t="str">
        <f>H152</f>
        <v>Rahmenfarbe</v>
      </c>
    </row>
    <row r="153" spans="4:10" x14ac:dyDescent="0.2">
      <c r="D153" s="281" t="s">
        <v>697</v>
      </c>
      <c r="E153" s="316" t="s">
        <v>744</v>
      </c>
      <c r="F153" s="316" t="s">
        <v>709</v>
      </c>
      <c r="G153" s="317" t="s">
        <v>724</v>
      </c>
      <c r="H153" s="444" t="str">
        <f t="shared" si="15"/>
        <v>Glas Satinato</v>
      </c>
      <c r="I153" s="451"/>
      <c r="J153" s="280" t="str">
        <f>H153</f>
        <v>Glas Satinato</v>
      </c>
    </row>
    <row r="154" spans="4:10" x14ac:dyDescent="0.2">
      <c r="D154" s="281" t="s">
        <v>710</v>
      </c>
      <c r="E154" s="316" t="s">
        <v>745</v>
      </c>
      <c r="F154" s="316" t="s">
        <v>746</v>
      </c>
      <c r="G154" s="317" t="s">
        <v>747</v>
      </c>
      <c r="H154" s="444" t="str">
        <f t="shared" si="15"/>
        <v>Kalenderwoche</v>
      </c>
      <c r="I154" s="451"/>
    </row>
    <row r="155" spans="4:10" x14ac:dyDescent="0.2">
      <c r="D155" s="281" t="s">
        <v>769</v>
      </c>
      <c r="E155" s="316" t="s">
        <v>777</v>
      </c>
      <c r="F155" s="316" t="s">
        <v>780</v>
      </c>
      <c r="G155" s="317" t="s">
        <v>792</v>
      </c>
      <c r="H155" s="444" t="str">
        <f>IF($B$3=$A$3,D155,IF($B$3=$A$4,E155,IF($B$3=$A$5,F155,IF($B$3=$A$6,G155,""))))</f>
        <v>Bestellformular unvollständig!</v>
      </c>
      <c r="I155" s="451"/>
    </row>
    <row r="156" spans="4:10" x14ac:dyDescent="0.2">
      <c r="D156" s="281" t="s">
        <v>779</v>
      </c>
      <c r="E156" s="316" t="s">
        <v>778</v>
      </c>
      <c r="F156" s="316" t="s">
        <v>781</v>
      </c>
      <c r="G156" s="317" t="s">
        <v>793</v>
      </c>
      <c r="H156" s="444" t="str">
        <f t="shared" si="15"/>
        <v>Bestellformular vollständig.</v>
      </c>
      <c r="I156" s="451"/>
    </row>
    <row r="157" spans="4:10" x14ac:dyDescent="0.2">
      <c r="D157" s="281" t="s">
        <v>774</v>
      </c>
      <c r="E157" s="316" t="s">
        <v>773</v>
      </c>
      <c r="F157" s="316" t="s">
        <v>772</v>
      </c>
      <c r="G157" s="317" t="s">
        <v>775</v>
      </c>
      <c r="H157" s="444" t="str">
        <f t="shared" si="15"/>
        <v>B2B-Login Projektnr:</v>
      </c>
      <c r="I157" s="451"/>
    </row>
    <row r="158" spans="4:10" ht="12.75" customHeight="1" x14ac:dyDescent="0.2">
      <c r="D158" s="323" t="s">
        <v>784</v>
      </c>
      <c r="E158" s="316" t="s">
        <v>785</v>
      </c>
      <c r="F158" s="316" t="s">
        <v>786</v>
      </c>
      <c r="G158" s="317" t="s">
        <v>787</v>
      </c>
      <c r="H158" s="444" t="str">
        <f t="shared" si="15"/>
        <v>OHNE Glas</v>
      </c>
      <c r="I158" s="451"/>
    </row>
    <row r="159" spans="4:10" ht="12.75" customHeight="1" x14ac:dyDescent="0.2">
      <c r="D159" s="281" t="s">
        <v>788</v>
      </c>
      <c r="E159" s="316" t="s">
        <v>789</v>
      </c>
      <c r="F159" s="316" t="s">
        <v>297</v>
      </c>
      <c r="G159" s="317" t="s">
        <v>310</v>
      </c>
      <c r="H159" s="444" t="str">
        <f t="shared" si="15"/>
        <v>Keine</v>
      </c>
      <c r="I159" s="451"/>
    </row>
    <row r="160" spans="4:10" ht="12.75" customHeight="1" x14ac:dyDescent="0.2">
      <c r="D160" s="281" t="s">
        <v>795</v>
      </c>
      <c r="E160" s="316" t="s">
        <v>796</v>
      </c>
      <c r="F160" s="316" t="s">
        <v>797</v>
      </c>
      <c r="G160" s="317" t="s">
        <v>798</v>
      </c>
      <c r="H160" s="444" t="str">
        <f t="shared" si="15"/>
        <v>ohne Verschlussraster (Zylinder)</v>
      </c>
      <c r="I160" s="451"/>
    </row>
    <row r="161" spans="4:10" x14ac:dyDescent="0.2">
      <c r="D161" s="281"/>
      <c r="E161" s="316"/>
      <c r="F161" s="316"/>
      <c r="G161" s="317"/>
      <c r="H161" s="444">
        <f t="shared" si="15"/>
        <v>0</v>
      </c>
      <c r="I161" s="451"/>
    </row>
    <row r="162" spans="4:10" x14ac:dyDescent="0.2">
      <c r="D162" s="281"/>
      <c r="E162" s="316"/>
      <c r="F162" s="316"/>
      <c r="G162" s="317"/>
      <c r="H162" s="444">
        <f t="shared" si="15"/>
        <v>0</v>
      </c>
      <c r="I162" s="451"/>
    </row>
    <row r="163" spans="4:10" x14ac:dyDescent="0.2">
      <c r="D163" s="281"/>
      <c r="E163" s="316"/>
      <c r="F163" s="316"/>
      <c r="G163" s="317"/>
      <c r="H163" s="444">
        <f t="shared" si="15"/>
        <v>0</v>
      </c>
      <c r="I163" s="451"/>
    </row>
    <row r="164" spans="4:10" x14ac:dyDescent="0.2">
      <c r="D164" s="281"/>
      <c r="E164" s="316"/>
      <c r="F164" s="316"/>
      <c r="G164" s="317"/>
      <c r="H164" s="444">
        <f t="shared" si="15"/>
        <v>0</v>
      </c>
      <c r="I164" s="451"/>
    </row>
    <row r="165" spans="4:10" x14ac:dyDescent="0.2">
      <c r="D165" s="281" t="s">
        <v>927</v>
      </c>
      <c r="E165" s="331" t="s">
        <v>928</v>
      </c>
      <c r="F165" s="331" t="s">
        <v>518</v>
      </c>
      <c r="G165" s="331" t="s">
        <v>929</v>
      </c>
      <c r="H165" s="531" t="str">
        <f t="shared" si="15"/>
        <v>Hinweise:</v>
      </c>
      <c r="I165" s="451"/>
    </row>
    <row r="166" spans="4:10" x14ac:dyDescent="0.2">
      <c r="D166" s="281" t="s">
        <v>804</v>
      </c>
      <c r="E166" s="332" t="s">
        <v>812</v>
      </c>
      <c r="F166" s="331" t="s">
        <v>820</v>
      </c>
      <c r="G166" s="332" t="s">
        <v>828</v>
      </c>
      <c r="H166" s="531" t="str">
        <f t="shared" si="15"/>
        <v>Angabe erstöffnender Flügel</v>
      </c>
      <c r="I166" s="451"/>
    </row>
    <row r="167" spans="4:10" ht="102" x14ac:dyDescent="0.2">
      <c r="D167" s="330" t="s">
        <v>805</v>
      </c>
      <c r="E167" s="333" t="s">
        <v>813</v>
      </c>
      <c r="F167" s="333" t="s">
        <v>821</v>
      </c>
      <c r="G167" s="333" t="s">
        <v>829</v>
      </c>
      <c r="H167" s="531" t="str">
        <f t="shared" si="15"/>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1"/>
    </row>
    <row r="168" spans="4:10" x14ac:dyDescent="0.2">
      <c r="D168" s="330" t="s">
        <v>806</v>
      </c>
      <c r="E168" s="332" t="s">
        <v>814</v>
      </c>
      <c r="F168" s="332" t="s">
        <v>822</v>
      </c>
      <c r="G168" s="333" t="s">
        <v>830</v>
      </c>
      <c r="H168" s="531" t="str">
        <f t="shared" si="15"/>
        <v>Eingabe Ecke ≠ 90° (von 60° - 160°)</v>
      </c>
      <c r="I168" s="451"/>
    </row>
    <row r="169" spans="4:10" ht="63.75" x14ac:dyDescent="0.2">
      <c r="D169" s="330" t="s">
        <v>807</v>
      </c>
      <c r="E169" s="333" t="s">
        <v>815</v>
      </c>
      <c r="F169" s="333" t="s">
        <v>823</v>
      </c>
      <c r="G169" s="333" t="s">
        <v>831</v>
      </c>
      <c r="H169" s="531" t="str">
        <f t="shared" si="15"/>
        <v xml:space="preserve">Um eine Ecke auszuwählen, welche grösser oder kleiner wie 90° ist, muss das dementsprechende Feld ausgewählt werden. Danach muss der gewünschte Wert angegeben werden. </v>
      </c>
      <c r="I169" s="451"/>
    </row>
    <row r="170" spans="4:10" ht="25.5" x14ac:dyDescent="0.2">
      <c r="D170" s="330" t="s">
        <v>808</v>
      </c>
      <c r="E170" s="332" t="s">
        <v>816</v>
      </c>
      <c r="F170" s="332" t="s">
        <v>824</v>
      </c>
      <c r="G170" s="333" t="s">
        <v>832</v>
      </c>
      <c r="H170" s="531" t="str">
        <f t="shared" si="15"/>
        <v>Breitenangabe bei Eckanlagen</v>
      </c>
      <c r="I170" s="451"/>
    </row>
    <row r="171" spans="4:10" ht="102" x14ac:dyDescent="0.2">
      <c r="D171" s="330" t="s">
        <v>809</v>
      </c>
      <c r="E171" s="333" t="s">
        <v>817</v>
      </c>
      <c r="F171" s="333" t="s">
        <v>825</v>
      </c>
      <c r="G171" s="333" t="s">
        <v>833</v>
      </c>
      <c r="H171" s="531" t="str">
        <f t="shared" si="15"/>
        <v>Wird eine Eckanlage eingegeben, erscheint bei der Angabe "Breite" automatisch ein neues Eingabefeld. Die Länge der einzelnen Fronten muss hier separat angegeben werden (Rahmenaussenmass). Die verschiedenen Fronten sind von links nach rechts anzugeben:</v>
      </c>
      <c r="I171" s="451"/>
    </row>
    <row r="172" spans="4:10" x14ac:dyDescent="0.2">
      <c r="D172" s="330" t="s">
        <v>810</v>
      </c>
      <c r="E172" s="332" t="s">
        <v>818</v>
      </c>
      <c r="F172" s="332" t="s">
        <v>826</v>
      </c>
      <c r="G172" s="333" t="s">
        <v>834</v>
      </c>
      <c r="H172" s="531" t="str">
        <f t="shared" si="15"/>
        <v>Rinnenlänge angeben</v>
      </c>
      <c r="I172" s="451"/>
    </row>
    <row r="173" spans="4:10" ht="140.25" x14ac:dyDescent="0.2">
      <c r="D173" s="442" t="s">
        <v>811</v>
      </c>
      <c r="E173" s="334" t="s">
        <v>819</v>
      </c>
      <c r="F173" s="333" t="s">
        <v>827</v>
      </c>
      <c r="G173" s="333" t="s">
        <v>835</v>
      </c>
      <c r="H173" s="531" t="str">
        <f t="shared" si="1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1"/>
    </row>
    <row r="174" spans="4:10" x14ac:dyDescent="0.2">
      <c r="D174" s="281" t="s">
        <v>16</v>
      </c>
      <c r="E174" s="316" t="s">
        <v>16</v>
      </c>
      <c r="F174" s="316" t="s">
        <v>16</v>
      </c>
      <c r="G174" s="317" t="s">
        <v>16</v>
      </c>
      <c r="H174" s="531" t="str">
        <f t="shared" si="15"/>
        <v>Standard</v>
      </c>
      <c r="I174" s="451"/>
      <c r="J174" s="280" t="str">
        <f>H174</f>
        <v>Standard</v>
      </c>
    </row>
    <row r="175" spans="4:10" x14ac:dyDescent="0.2">
      <c r="D175" s="281" t="s">
        <v>852</v>
      </c>
      <c r="E175" s="316" t="s">
        <v>853</v>
      </c>
      <c r="F175" s="316" t="s">
        <v>854</v>
      </c>
      <c r="G175" s="317" t="s">
        <v>855</v>
      </c>
      <c r="H175" s="531" t="str">
        <f t="shared" si="15"/>
        <v>Seaside (Pool/Meer)</v>
      </c>
      <c r="I175" s="451"/>
      <c r="J175" s="280" t="str">
        <f>H175</f>
        <v>Seaside (Pool/Meer)</v>
      </c>
    </row>
    <row r="176" spans="4:10" x14ac:dyDescent="0.2">
      <c r="D176" s="281" t="s">
        <v>862</v>
      </c>
      <c r="E176" s="316" t="s">
        <v>896</v>
      </c>
      <c r="F176" s="316" t="s">
        <v>863</v>
      </c>
      <c r="G176" s="317" t="s">
        <v>864</v>
      </c>
      <c r="H176" s="531" t="str">
        <f t="shared" si="15"/>
        <v>Pulverlack Klasse:</v>
      </c>
      <c r="I176" s="451"/>
    </row>
    <row r="177" spans="4:10" x14ac:dyDescent="0.2">
      <c r="D177" s="281" t="s">
        <v>860</v>
      </c>
      <c r="E177" s="316" t="s">
        <v>860</v>
      </c>
      <c r="F177" s="316" t="s">
        <v>860</v>
      </c>
      <c r="G177" s="317" t="s">
        <v>860</v>
      </c>
      <c r="H177" s="531" t="str">
        <f t="shared" si="15"/>
        <v>Qualicoat 1</v>
      </c>
      <c r="I177" s="451"/>
      <c r="J177" s="280" t="str">
        <f t="shared" ref="J177:J178" si="16">H177</f>
        <v>Qualicoat 1</v>
      </c>
    </row>
    <row r="178" spans="4:10" x14ac:dyDescent="0.2">
      <c r="D178" s="281" t="s">
        <v>861</v>
      </c>
      <c r="E178" s="316" t="s">
        <v>861</v>
      </c>
      <c r="F178" s="316" t="s">
        <v>861</v>
      </c>
      <c r="G178" s="317" t="s">
        <v>861</v>
      </c>
      <c r="H178" s="531" t="str">
        <f t="shared" si="15"/>
        <v>Qualicoat 2</v>
      </c>
      <c r="I178" s="451"/>
      <c r="J178" s="280" t="str">
        <f t="shared" si="16"/>
        <v>Qualicoat 2</v>
      </c>
    </row>
    <row r="179" spans="4:10" x14ac:dyDescent="0.2">
      <c r="D179" s="281" t="s">
        <v>888</v>
      </c>
      <c r="E179" s="316" t="s">
        <v>889</v>
      </c>
      <c r="F179" s="316" t="s">
        <v>890</v>
      </c>
      <c r="G179" s="317" t="s">
        <v>891</v>
      </c>
      <c r="H179" s="531" t="str">
        <f t="shared" si="15"/>
        <v>Übersicht:</v>
      </c>
      <c r="I179" s="451"/>
    </row>
    <row r="180" spans="4:10" x14ac:dyDescent="0.2">
      <c r="D180" s="281" t="s">
        <v>875</v>
      </c>
      <c r="E180" s="316" t="s">
        <v>876</v>
      </c>
      <c r="F180" s="316" t="s">
        <v>877</v>
      </c>
      <c r="G180" s="317" t="s">
        <v>878</v>
      </c>
      <c r="H180" s="531" t="str">
        <f t="shared" si="15"/>
        <v>VE</v>
      </c>
      <c r="I180" s="451"/>
    </row>
    <row r="181" spans="4:10" x14ac:dyDescent="0.2">
      <c r="D181" s="281" t="s">
        <v>893</v>
      </c>
      <c r="E181" s="316" t="s">
        <v>947</v>
      </c>
      <c r="F181" s="316" t="s">
        <v>954</v>
      </c>
      <c r="G181" s="317" t="s">
        <v>922</v>
      </c>
      <c r="H181" s="531" t="str">
        <f t="shared" ref="H181:H205" si="17">IF($B$3=$A$3,D181,IF($B$3=$A$4,E181,IF($B$3=$A$5,F181,IF($B$3=$A$6,G181,""))))</f>
        <v>Sky-Frame Beratung vorhanden:</v>
      </c>
      <c r="I181" s="451"/>
    </row>
    <row r="182" spans="4:10" x14ac:dyDescent="0.2">
      <c r="D182" s="281" t="s">
        <v>895</v>
      </c>
      <c r="E182" s="316" t="s">
        <v>948</v>
      </c>
      <c r="F182" s="316" t="s">
        <v>955</v>
      </c>
      <c r="G182" s="317" t="s">
        <v>921</v>
      </c>
      <c r="H182" s="531" t="str">
        <f t="shared" si="17"/>
        <v>Beratungsnummer: (z.B. P123456)</v>
      </c>
      <c r="I182" s="451"/>
    </row>
    <row r="183" spans="4:10" x14ac:dyDescent="0.2">
      <c r="D183" s="281" t="s">
        <v>897</v>
      </c>
      <c r="E183" s="316" t="s">
        <v>900</v>
      </c>
      <c r="F183" s="316" t="s">
        <v>956</v>
      </c>
      <c r="G183" s="317" t="s">
        <v>920</v>
      </c>
      <c r="H183" s="531" t="str">
        <f t="shared" si="17"/>
        <v>Inch-Rechner</v>
      </c>
      <c r="I183" s="451"/>
    </row>
    <row r="184" spans="4:10" x14ac:dyDescent="0.2">
      <c r="D184" s="281" t="s">
        <v>899</v>
      </c>
      <c r="E184" s="316" t="s">
        <v>901</v>
      </c>
      <c r="F184" s="316" t="s">
        <v>957</v>
      </c>
      <c r="G184" s="317" t="s">
        <v>919</v>
      </c>
      <c r="H184" s="531" t="str">
        <f t="shared" si="17"/>
        <v>Fuss:</v>
      </c>
      <c r="I184" s="451"/>
    </row>
    <row r="185" spans="4:10" x14ac:dyDescent="0.2">
      <c r="D185" s="281" t="s">
        <v>898</v>
      </c>
      <c r="E185" s="316" t="s">
        <v>902</v>
      </c>
      <c r="F185" s="316" t="s">
        <v>958</v>
      </c>
      <c r="G185" s="317" t="s">
        <v>918</v>
      </c>
      <c r="H185" s="531" t="str">
        <f t="shared" si="17"/>
        <v>Zoll:</v>
      </c>
      <c r="I185" s="451"/>
    </row>
    <row r="186" spans="4:10" x14ac:dyDescent="0.2">
      <c r="D186" s="281" t="s">
        <v>903</v>
      </c>
      <c r="E186" s="316" t="s">
        <v>949</v>
      </c>
      <c r="F186" s="316" t="s">
        <v>959</v>
      </c>
      <c r="G186" s="317" t="s">
        <v>917</v>
      </c>
      <c r="H186" s="531" t="str">
        <f t="shared" si="17"/>
        <v>Bemassung Bahnhof</v>
      </c>
      <c r="I186" s="451"/>
    </row>
    <row r="187" spans="4:10" ht="102" x14ac:dyDescent="0.2">
      <c r="D187" s="442" t="s">
        <v>904</v>
      </c>
      <c r="E187" s="334" t="s">
        <v>952</v>
      </c>
      <c r="F187" s="334" t="s">
        <v>953</v>
      </c>
      <c r="G187" s="443" t="s">
        <v>914</v>
      </c>
      <c r="H187" s="531"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51"/>
    </row>
    <row r="188" spans="4:10" x14ac:dyDescent="0.2">
      <c r="D188" s="281" t="s">
        <v>905</v>
      </c>
      <c r="E188" s="316" t="s">
        <v>950</v>
      </c>
      <c r="F188" s="316" t="s">
        <v>960</v>
      </c>
      <c r="G188" s="317" t="s">
        <v>916</v>
      </c>
      <c r="H188" s="531" t="str">
        <f t="shared" si="17"/>
        <v>Bahnhof Typ 1:</v>
      </c>
      <c r="I188" s="451"/>
    </row>
    <row r="189" spans="4:10" x14ac:dyDescent="0.2">
      <c r="D189" s="281" t="s">
        <v>906</v>
      </c>
      <c r="E189" s="316" t="s">
        <v>951</v>
      </c>
      <c r="F189" s="316" t="s">
        <v>961</v>
      </c>
      <c r="G189" s="317" t="s">
        <v>915</v>
      </c>
      <c r="H189" s="531" t="str">
        <f t="shared" si="17"/>
        <v>Bahnhof Typ 2:</v>
      </c>
      <c r="I189" s="451"/>
    </row>
    <row r="190" spans="4:10" x14ac:dyDescent="0.2">
      <c r="D190" s="281" t="s">
        <v>908</v>
      </c>
      <c r="E190" s="316" t="s">
        <v>286</v>
      </c>
      <c r="F190" s="316" t="s">
        <v>304</v>
      </c>
      <c r="G190" s="317" t="s">
        <v>315</v>
      </c>
      <c r="H190" s="531" t="str">
        <f t="shared" si="17"/>
        <v>schwarz</v>
      </c>
      <c r="I190" s="451"/>
    </row>
    <row r="191" spans="4:10" x14ac:dyDescent="0.2">
      <c r="D191" s="281" t="s">
        <v>696</v>
      </c>
      <c r="E191" s="316" t="s">
        <v>911</v>
      </c>
      <c r="F191" s="316" t="s">
        <v>910</v>
      </c>
      <c r="G191" s="317" t="s">
        <v>909</v>
      </c>
      <c r="H191" s="531" t="str">
        <f t="shared" si="17"/>
        <v>Rahmenfarbe</v>
      </c>
      <c r="I191" s="451"/>
    </row>
    <row r="192" spans="4:10" x14ac:dyDescent="0.2">
      <c r="D192" s="281" t="s">
        <v>908</v>
      </c>
      <c r="E192" s="316" t="s">
        <v>286</v>
      </c>
      <c r="F192" s="316" t="s">
        <v>304</v>
      </c>
      <c r="G192" s="317" t="s">
        <v>315</v>
      </c>
      <c r="H192" s="531" t="str">
        <f t="shared" si="17"/>
        <v>schwarz</v>
      </c>
      <c r="I192" s="451"/>
    </row>
    <row r="193" spans="4:9" x14ac:dyDescent="0.2">
      <c r="D193" s="281" t="s">
        <v>930</v>
      </c>
      <c r="E193" s="316" t="s">
        <v>931</v>
      </c>
      <c r="F193" s="316" t="s">
        <v>962</v>
      </c>
      <c r="G193" s="317" t="s">
        <v>966</v>
      </c>
      <c r="H193" s="531" t="str">
        <f t="shared" si="17"/>
        <v>Sonstiges:</v>
      </c>
      <c r="I193" s="451"/>
    </row>
    <row r="194" spans="4:9" x14ac:dyDescent="0.2">
      <c r="D194" s="281" t="s">
        <v>946</v>
      </c>
      <c r="E194" s="316" t="s">
        <v>942</v>
      </c>
      <c r="F194" s="316" t="s">
        <v>968</v>
      </c>
      <c r="G194" s="317" t="s">
        <v>967</v>
      </c>
      <c r="H194" s="531" t="str">
        <f t="shared" si="17"/>
        <v>Sichtbare Rahmenprofile (aussen):</v>
      </c>
      <c r="I194" s="451"/>
    </row>
    <row r="195" spans="4:9" x14ac:dyDescent="0.2">
      <c r="D195" s="281" t="s">
        <v>941</v>
      </c>
      <c r="E195" s="316" t="s">
        <v>940</v>
      </c>
      <c r="F195" s="316" t="s">
        <v>969</v>
      </c>
      <c r="G195" s="317" t="s">
        <v>970</v>
      </c>
      <c r="H195" s="531" t="str">
        <f t="shared" si="17"/>
        <v>Lieferung Glas und Rahmen:</v>
      </c>
      <c r="I195" s="451"/>
    </row>
    <row r="196" spans="4:9" x14ac:dyDescent="0.2">
      <c r="D196" s="281" t="s">
        <v>932</v>
      </c>
      <c r="E196" s="316" t="s">
        <v>938</v>
      </c>
      <c r="F196" s="316" t="s">
        <v>963</v>
      </c>
      <c r="G196" s="317" t="s">
        <v>971</v>
      </c>
      <c r="H196" s="531" t="str">
        <f t="shared" si="17"/>
        <v>zusammen</v>
      </c>
      <c r="I196" s="451"/>
    </row>
    <row r="197" spans="4:9" x14ac:dyDescent="0.2">
      <c r="D197" s="281" t="s">
        <v>933</v>
      </c>
      <c r="E197" s="316" t="s">
        <v>939</v>
      </c>
      <c r="F197" s="316" t="s">
        <v>964</v>
      </c>
      <c r="G197" s="317" t="s">
        <v>972</v>
      </c>
      <c r="H197" s="531" t="str">
        <f t="shared" si="17"/>
        <v>getrennt</v>
      </c>
      <c r="I197" s="451"/>
    </row>
    <row r="198" spans="4:9" x14ac:dyDescent="0.2">
      <c r="D198" s="281" t="s">
        <v>934</v>
      </c>
      <c r="E198" s="316" t="s">
        <v>936</v>
      </c>
      <c r="F198" s="316" t="s">
        <v>936</v>
      </c>
      <c r="G198" s="317" t="s">
        <v>973</v>
      </c>
      <c r="H198" s="531" t="str">
        <f t="shared" si="17"/>
        <v>sichtbar</v>
      </c>
      <c r="I198" s="451"/>
    </row>
    <row r="199" spans="4:9" x14ac:dyDescent="0.2">
      <c r="D199" s="281" t="s">
        <v>935</v>
      </c>
      <c r="E199" s="316" t="s">
        <v>937</v>
      </c>
      <c r="F199" s="316" t="s">
        <v>965</v>
      </c>
      <c r="G199" s="317" t="s">
        <v>974</v>
      </c>
      <c r="H199" s="531" t="str">
        <f t="shared" si="17"/>
        <v>nicht sichtbar</v>
      </c>
      <c r="I199" s="451"/>
    </row>
    <row r="200" spans="4:9" x14ac:dyDescent="0.2">
      <c r="D200" s="281"/>
      <c r="E200" s="316"/>
      <c r="F200" s="316"/>
      <c r="G200" s="317"/>
      <c r="H200" s="531">
        <f t="shared" si="17"/>
        <v>0</v>
      </c>
      <c r="I200" s="451"/>
    </row>
    <row r="201" spans="4:9" x14ac:dyDescent="0.2">
      <c r="D201" s="281"/>
      <c r="E201" s="316"/>
      <c r="F201" s="316"/>
      <c r="G201" s="317"/>
      <c r="H201" s="531">
        <f t="shared" si="17"/>
        <v>0</v>
      </c>
      <c r="I201" s="451"/>
    </row>
    <row r="202" spans="4:9" x14ac:dyDescent="0.2">
      <c r="D202" s="281"/>
      <c r="E202" s="316"/>
      <c r="F202" s="316"/>
      <c r="G202" s="317"/>
      <c r="H202" s="531">
        <f t="shared" si="17"/>
        <v>0</v>
      </c>
      <c r="I202" s="451"/>
    </row>
    <row r="203" spans="4:9" x14ac:dyDescent="0.2">
      <c r="D203" s="281"/>
      <c r="E203" s="316"/>
      <c r="F203" s="316"/>
      <c r="G203" s="317"/>
      <c r="H203" s="531">
        <f t="shared" si="17"/>
        <v>0</v>
      </c>
      <c r="I203" s="451"/>
    </row>
    <row r="204" spans="4:9" x14ac:dyDescent="0.2">
      <c r="D204" s="281"/>
      <c r="E204" s="316"/>
      <c r="F204" s="316"/>
      <c r="G204" s="317"/>
      <c r="H204" s="531">
        <f t="shared" si="17"/>
        <v>0</v>
      </c>
      <c r="I204" s="451"/>
    </row>
    <row r="205" spans="4:9" x14ac:dyDescent="0.2">
      <c r="D205" s="281"/>
      <c r="E205" s="316"/>
      <c r="F205" s="316"/>
      <c r="G205" s="317"/>
      <c r="H205" s="531">
        <f t="shared" si="17"/>
        <v>0</v>
      </c>
      <c r="I205" s="451"/>
    </row>
  </sheetData>
  <mergeCells count="5">
    <mergeCell ref="AB4:AB18"/>
    <mergeCell ref="N40:P40"/>
    <mergeCell ref="M60:M61"/>
    <mergeCell ref="L85:M85"/>
    <mergeCell ref="B87:C87"/>
  </mergeCells>
  <dataValidations count="1">
    <dataValidation type="list" allowBlank="1" showInputMessage="1" showErrorMessage="1" sqref="P38" xr:uid="{A3E53D7A-7BD7-4AF4-BC50-6FBBE3A6FB8A}">
      <formula1>$O$45:$O$46</formula1>
    </dataValidation>
  </dataValidation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077A-4F08-45C6-BE42-CF24B00FC7A7}">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6" width="5.5703125" style="141" customWidth="1"/>
    <col min="57" max="57" width="5.140625" style="141" customWidth="1"/>
    <col min="58" max="58" width="1.85546875" style="141" customWidth="1"/>
    <col min="59" max="59" width="5.7109375" style="141" customWidth="1"/>
    <col min="60" max="60" width="6.28515625" style="141" customWidth="1"/>
    <col min="61" max="61" width="5.85546875" style="141" customWidth="1"/>
    <col min="62" max="64" width="11.42578125" style="141" hidden="1" customWidth="1"/>
    <col min="65" max="16384" width="11.42578125" style="141"/>
  </cols>
  <sheetData>
    <row r="1" spans="1:64" ht="13.5" thickBot="1" x14ac:dyDescent="0.25">
      <c r="A1" s="159" t="s">
        <v>533</v>
      </c>
      <c r="C1" s="61"/>
      <c r="AW1" s="160"/>
    </row>
    <row r="2" spans="1:64" ht="13.5" thickTop="1" x14ac:dyDescent="0.2">
      <c r="B2" s="204">
        <v>5</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13"/>
      <c r="AW2" s="422"/>
      <c r="AX2" s="241"/>
      <c r="AY2" s="241"/>
      <c r="AZ2" s="241"/>
      <c r="BA2" s="241"/>
      <c r="BB2" s="359" t="str">
        <f>CONCATENATE(ROUND(SUM(I46:K49)*Z42/1000000,2)*AJ6,"m²")</f>
        <v>0m²</v>
      </c>
      <c r="BD2" s="240"/>
      <c r="BE2" s="241"/>
      <c r="BF2" s="241"/>
      <c r="BG2" s="241"/>
      <c r="BH2" s="241"/>
      <c r="BI2" s="242"/>
    </row>
    <row r="3" spans="1:64" ht="36.75" customHeight="1" x14ac:dyDescent="0.3">
      <c r="B3" s="20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42"/>
      <c r="AR3" s="84"/>
      <c r="AS3" s="84"/>
      <c r="AT3" s="143" t="s">
        <v>456</v>
      </c>
      <c r="AU3" s="115"/>
      <c r="AW3" s="243"/>
      <c r="AX3" s="244" t="str">
        <f>'Sprachen &amp; Rückgabewerte(5)'!$H$2</f>
        <v>Sprache:</v>
      </c>
      <c r="AY3" s="61"/>
      <c r="AZ3" s="61"/>
      <c r="BA3" s="61"/>
      <c r="BB3" s="378" t="str">
        <f>IF(AND(AJ6&gt;1),CONCATENATE(AH6," ",AJ6),"")</f>
        <v/>
      </c>
      <c r="BD3" s="243"/>
      <c r="BE3" s="416" t="str">
        <f>'Sprachen &amp; Rückgabewerte(5)'!H183</f>
        <v>Inch-Rechner</v>
      </c>
      <c r="BF3" s="416"/>
      <c r="BG3" s="61"/>
      <c r="BH3" s="61"/>
      <c r="BI3" s="245"/>
    </row>
    <row r="4" spans="1:64" ht="19.5" customHeight="1" x14ac:dyDescent="0.2">
      <c r="B4" s="111"/>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13"/>
      <c r="AW4" s="243"/>
      <c r="AX4" s="61"/>
      <c r="AY4" s="61"/>
      <c r="AZ4" s="61"/>
      <c r="BA4" s="61"/>
      <c r="BB4" s="245"/>
      <c r="BD4" s="243"/>
      <c r="BE4" s="156" t="str">
        <f>'Sprachen &amp; Rückgabewerte(5)'!H184</f>
        <v>Fuss:</v>
      </c>
      <c r="BF4" s="156"/>
      <c r="BG4" s="156" t="str">
        <f>'Sprachen &amp; Rückgabewerte(5)'!H185</f>
        <v>Zoll:</v>
      </c>
      <c r="BH4" s="61"/>
      <c r="BI4" s="245"/>
    </row>
    <row r="5" spans="1:64" ht="15" customHeight="1" x14ac:dyDescent="0.2">
      <c r="B5" s="60"/>
      <c r="C5" s="126"/>
      <c r="D5" s="127"/>
      <c r="E5" s="128" t="str">
        <f>'Sprachen &amp; Rückgabewerte(5)'!H4</f>
        <v>BESTELLUNG</v>
      </c>
      <c r="F5" s="127"/>
      <c r="G5" s="127"/>
      <c r="H5" s="127"/>
      <c r="I5" s="127"/>
      <c r="J5" s="127"/>
      <c r="K5" s="127"/>
      <c r="L5" s="127"/>
      <c r="M5" s="127"/>
      <c r="N5" s="127"/>
      <c r="O5" s="127"/>
      <c r="P5" s="127"/>
      <c r="Q5" s="127"/>
      <c r="R5" s="129"/>
      <c r="S5" s="680" t="str">
        <f>'Sprachen &amp; Rückgabewerte(5)'!$H$130</f>
        <v>Vertriebspartner:</v>
      </c>
      <c r="T5" s="681"/>
      <c r="U5" s="681"/>
      <c r="V5" s="681"/>
      <c r="W5" s="681"/>
      <c r="X5" s="682"/>
      <c r="Y5" s="689"/>
      <c r="Z5" s="690"/>
      <c r="AA5" s="690"/>
      <c r="AB5" s="690"/>
      <c r="AC5" s="690"/>
      <c r="AD5" s="690"/>
      <c r="AE5" s="690"/>
      <c r="AF5" s="691"/>
      <c r="AG5" s="144"/>
      <c r="AH5" s="130" t="str">
        <f>'Sprachen &amp; Rückgabewerte(5)'!H55</f>
        <v>Pos:</v>
      </c>
      <c r="AI5" s="145"/>
      <c r="AJ5" s="683"/>
      <c r="AK5" s="684"/>
      <c r="AL5" s="685"/>
      <c r="AM5" s="144"/>
      <c r="AN5" s="130" t="str">
        <f>'Sprachen &amp; Rückgabewerte(5)'!$H$10</f>
        <v>2-gleisig</v>
      </c>
      <c r="AO5" s="145"/>
      <c r="AP5" s="145"/>
      <c r="AQ5" s="145"/>
      <c r="AR5" s="145"/>
      <c r="AS5" s="145"/>
      <c r="AT5" s="189"/>
      <c r="AU5" s="114"/>
      <c r="AW5" s="243"/>
      <c r="AY5" s="61"/>
      <c r="AZ5" s="61"/>
      <c r="BA5" s="61"/>
      <c r="BB5" s="245"/>
      <c r="BD5" s="243"/>
      <c r="BE5" s="582"/>
      <c r="BF5" s="586" t="str">
        <f>"'"</f>
        <v>'</v>
      </c>
      <c r="BG5" s="584"/>
      <c r="BH5" s="414"/>
      <c r="BI5" s="245"/>
      <c r="BJ5" s="141">
        <f>BE5*304.8</f>
        <v>0</v>
      </c>
      <c r="BK5" s="141">
        <f>BG5*25.4</f>
        <v>0</v>
      </c>
      <c r="BL5" s="141">
        <f>IF(AND(BH5="",BH6=""),0,25.4*BH5/BH6)</f>
        <v>0</v>
      </c>
    </row>
    <row r="6" spans="1:64" ht="12" customHeight="1" x14ac:dyDescent="0.2">
      <c r="B6" s="60"/>
      <c r="C6" s="131"/>
      <c r="D6" s="132"/>
      <c r="E6" s="67"/>
      <c r="F6" s="132" t="str">
        <f>'Sprachen &amp; Rückgabewerte(5)'!$H$5</f>
        <v>Gemäss Zeichnung Nr.:</v>
      </c>
      <c r="G6" s="132"/>
      <c r="H6" s="132"/>
      <c r="I6" s="132"/>
      <c r="J6" s="132"/>
      <c r="K6" s="132"/>
      <c r="L6" s="146"/>
      <c r="M6" s="546"/>
      <c r="N6" s="547"/>
      <c r="O6" s="547"/>
      <c r="P6" s="547"/>
      <c r="Q6" s="548"/>
      <c r="R6" s="133"/>
      <c r="S6" s="134" t="str">
        <f>'Sprachen &amp; Rückgabewerte(5)'!$H$7</f>
        <v xml:space="preserve">Objekt: </v>
      </c>
      <c r="T6" s="132"/>
      <c r="U6" s="132"/>
      <c r="V6" s="132"/>
      <c r="W6" s="132"/>
      <c r="X6" s="91"/>
      <c r="Y6" s="686"/>
      <c r="Z6" s="687"/>
      <c r="AA6" s="687"/>
      <c r="AB6" s="687"/>
      <c r="AC6" s="687"/>
      <c r="AD6" s="687"/>
      <c r="AE6" s="687"/>
      <c r="AF6" s="688"/>
      <c r="AG6" s="133"/>
      <c r="AH6" s="134" t="str">
        <f>'Sprachen &amp; Rückgabewerte(5)'!H56</f>
        <v>Stück:</v>
      </c>
      <c r="AI6" s="132"/>
      <c r="AJ6" s="692"/>
      <c r="AK6" s="693"/>
      <c r="AL6" s="694"/>
      <c r="AM6" s="116"/>
      <c r="AN6" s="134" t="str">
        <f>'Sprachen &amp; Rückgabewerte(5)'!$H$11</f>
        <v>3-gleisig</v>
      </c>
      <c r="AO6" s="132"/>
      <c r="AP6" s="132"/>
      <c r="AQ6" s="132"/>
      <c r="AR6" s="132"/>
      <c r="AS6" s="132"/>
      <c r="AT6" s="133"/>
      <c r="AU6" s="114"/>
      <c r="AW6" s="243"/>
      <c r="AY6" s="61"/>
      <c r="AZ6" s="61"/>
      <c r="BA6" s="61"/>
      <c r="BB6" s="245"/>
      <c r="BD6" s="243"/>
      <c r="BE6" s="583"/>
      <c r="BF6" s="586"/>
      <c r="BG6" s="585"/>
      <c r="BH6" s="415"/>
      <c r="BI6" s="245"/>
    </row>
    <row r="7" spans="1:64" ht="12" customHeight="1" x14ac:dyDescent="0.2">
      <c r="B7" s="60"/>
      <c r="C7" s="131"/>
      <c r="D7" s="132"/>
      <c r="E7" s="67"/>
      <c r="F7" s="132" t="str">
        <f>'Sprachen &amp; Rückgabewerte(5)'!$H$6</f>
        <v>Gemäss Skizze: (Ansicht von Aussen)</v>
      </c>
      <c r="G7" s="132"/>
      <c r="H7" s="132"/>
      <c r="I7" s="132"/>
      <c r="J7" s="132"/>
      <c r="K7" s="132"/>
      <c r="L7" s="132"/>
      <c r="M7" s="132"/>
      <c r="N7" s="132"/>
      <c r="O7" s="132"/>
      <c r="P7" s="132"/>
      <c r="Q7" s="132"/>
      <c r="R7" s="133"/>
      <c r="S7" s="134" t="str">
        <f>'Sprachen &amp; Rückgabewerte(5)'!$H$8</f>
        <v>Bestelldatum:</v>
      </c>
      <c r="T7" s="132"/>
      <c r="U7" s="132"/>
      <c r="V7" s="132"/>
      <c r="W7" s="132"/>
      <c r="X7" s="91"/>
      <c r="Y7" s="673"/>
      <c r="Z7" s="674"/>
      <c r="AA7" s="674"/>
      <c r="AB7" s="674"/>
      <c r="AC7" s="674"/>
      <c r="AD7" s="674"/>
      <c r="AE7" s="674"/>
      <c r="AF7" s="675"/>
      <c r="AG7" s="147"/>
      <c r="AH7" s="134" t="str">
        <f>'Sprachen &amp; Rückgabewerte(5)'!H57</f>
        <v>Seite:</v>
      </c>
      <c r="AI7" s="148"/>
      <c r="AJ7" s="683"/>
      <c r="AK7" s="684"/>
      <c r="AL7" s="685"/>
      <c r="AM7" s="116"/>
      <c r="AN7" s="134" t="str">
        <f>IF($AT$5="",'Sprachen &amp; Rückgabewerte(5)'!$H$12,'Sprachen &amp; Rückgabewerte(5)'!$H$133)</f>
        <v>4-gleisig</v>
      </c>
      <c r="AO7" s="91"/>
      <c r="AP7" s="146"/>
      <c r="AQ7" s="146"/>
      <c r="AR7" s="146"/>
      <c r="AS7" s="146"/>
      <c r="AT7" s="133"/>
      <c r="AU7" s="114"/>
      <c r="AW7" s="243"/>
      <c r="AX7" s="155" t="str">
        <f>'Sprachen &amp; Rückgabewerte(5)'!H193</f>
        <v>Sonstiges:</v>
      </c>
      <c r="AY7" s="61"/>
      <c r="AZ7" s="61"/>
      <c r="BA7" s="61"/>
      <c r="BB7" s="245"/>
      <c r="BD7" s="243"/>
      <c r="BE7" s="61"/>
      <c r="BF7" s="61"/>
      <c r="BG7" s="61"/>
      <c r="BH7" s="61"/>
      <c r="BI7" s="245"/>
    </row>
    <row r="8" spans="1:64" ht="7.5" customHeight="1" thickBot="1" x14ac:dyDescent="0.25">
      <c r="B8" s="60"/>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3"/>
      <c r="AX8" s="61"/>
      <c r="AY8" s="61"/>
      <c r="AZ8" s="61"/>
      <c r="BA8" s="61"/>
      <c r="BB8" s="245"/>
      <c r="BD8" s="243"/>
      <c r="BE8" s="61"/>
      <c r="BF8" s="61"/>
      <c r="BG8" s="61"/>
      <c r="BH8" s="61"/>
      <c r="BI8" s="245"/>
    </row>
    <row r="9" spans="1:64" ht="15" customHeight="1" thickTop="1" x14ac:dyDescent="0.2">
      <c r="A9" s="653" t="str">
        <f>IF('Sprachen &amp; Rückgabewerte(5)'!L62=1,'Sprachen &amp; Rückgabewerte(5)'!$H$132,"")</f>
        <v/>
      </c>
      <c r="B9" s="228"/>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4"/>
      <c r="AU9" s="114"/>
      <c r="AW9" s="243"/>
      <c r="AX9" s="426" t="str">
        <f>'Sprachen &amp; Rückgabewerte(5)'!H194</f>
        <v>Sichtbare Rahmenprofile (aussen):</v>
      </c>
      <c r="AY9" s="426"/>
      <c r="AZ9" s="617"/>
      <c r="BA9" s="619"/>
      <c r="BB9" s="245"/>
      <c r="BD9" s="243"/>
      <c r="BE9" s="587">
        <f>ROUND(SUM(BJ5,BK5,BL5),1)</f>
        <v>0</v>
      </c>
      <c r="BF9" s="588"/>
      <c r="BG9" s="589"/>
      <c r="BH9" s="156" t="s">
        <v>179</v>
      </c>
      <c r="BI9" s="245"/>
    </row>
    <row r="10" spans="1:64" ht="15" customHeight="1" thickBot="1" x14ac:dyDescent="0.25">
      <c r="A10" s="654"/>
      <c r="B10" s="228"/>
      <c r="C10" s="60"/>
      <c r="D10" s="61"/>
      <c r="E10" s="61"/>
      <c r="F10" s="676"/>
      <c r="G10" s="677"/>
      <c r="H10" s="61"/>
      <c r="I10" s="61"/>
      <c r="J10" s="676"/>
      <c r="K10" s="677"/>
      <c r="L10" s="61"/>
      <c r="M10" s="61"/>
      <c r="N10" s="676"/>
      <c r="O10" s="677"/>
      <c r="P10" s="61"/>
      <c r="Q10" s="61"/>
      <c r="R10" s="676"/>
      <c r="S10" s="677"/>
      <c r="T10" s="61"/>
      <c r="U10" s="61"/>
      <c r="V10" s="676"/>
      <c r="W10" s="677"/>
      <c r="X10" s="61"/>
      <c r="Y10" s="61"/>
      <c r="Z10" s="676"/>
      <c r="AA10" s="677"/>
      <c r="AB10" s="61"/>
      <c r="AC10" s="61"/>
      <c r="AD10" s="676"/>
      <c r="AE10" s="677"/>
      <c r="AF10" s="61"/>
      <c r="AG10" s="61"/>
      <c r="AH10" s="676"/>
      <c r="AI10" s="677"/>
      <c r="AJ10" s="61"/>
      <c r="AK10" s="61"/>
      <c r="AL10" s="676"/>
      <c r="AM10" s="677"/>
      <c r="AN10" s="61"/>
      <c r="AO10" s="61"/>
      <c r="AP10" s="676"/>
      <c r="AQ10" s="677"/>
      <c r="AR10" s="61"/>
      <c r="AS10" s="61"/>
      <c r="AT10" s="114"/>
      <c r="AU10" s="114"/>
      <c r="AW10" s="243"/>
      <c r="AX10" s="426" t="str">
        <f>'Sprachen &amp; Rückgabewerte(5)'!H195</f>
        <v>Lieferung Glas und Rahmen:</v>
      </c>
      <c r="AY10" s="426"/>
      <c r="AZ10" s="617"/>
      <c r="BA10" s="619"/>
      <c r="BB10" s="245"/>
      <c r="BD10" s="259"/>
      <c r="BE10" s="249"/>
      <c r="BF10" s="249"/>
      <c r="BG10" s="249"/>
      <c r="BH10" s="249"/>
      <c r="BI10" s="251"/>
    </row>
    <row r="11" spans="1:64" ht="15" customHeight="1" thickTop="1" thickBot="1" x14ac:dyDescent="0.25">
      <c r="A11" s="655"/>
      <c r="B11" s="228"/>
      <c r="C11" s="239">
        <f>COUNTBLANK(E11:AO11)</f>
        <v>37</v>
      </c>
      <c r="D11" s="61"/>
      <c r="E11" s="67"/>
      <c r="F11" s="67"/>
      <c r="G11" s="67"/>
      <c r="H11" s="162"/>
      <c r="I11" s="162"/>
      <c r="J11" s="67"/>
      <c r="K11" s="67"/>
      <c r="L11" s="162"/>
      <c r="M11" s="162"/>
      <c r="N11" s="67"/>
      <c r="O11" s="67"/>
      <c r="P11" s="162"/>
      <c r="Q11" s="162"/>
      <c r="R11" s="67"/>
      <c r="S11" s="67"/>
      <c r="T11" s="162"/>
      <c r="U11" s="162"/>
      <c r="V11" s="67"/>
      <c r="W11" s="67"/>
      <c r="X11" s="162"/>
      <c r="Y11" s="162"/>
      <c r="Z11" s="67"/>
      <c r="AA11" s="67"/>
      <c r="AB11" s="162"/>
      <c r="AC11" s="162"/>
      <c r="AD11" s="67"/>
      <c r="AE11" s="67"/>
      <c r="AF11" s="162"/>
      <c r="AG11" s="162"/>
      <c r="AH11" s="67"/>
      <c r="AI11" s="67"/>
      <c r="AJ11" s="162"/>
      <c r="AK11" s="162"/>
      <c r="AL11" s="67"/>
      <c r="AM11" s="67"/>
      <c r="AN11" s="162"/>
      <c r="AO11" s="162"/>
      <c r="AP11" s="67"/>
      <c r="AQ11" s="67"/>
      <c r="AR11" s="67"/>
      <c r="AS11" s="61"/>
      <c r="AT11" s="114"/>
      <c r="AU11" s="114"/>
      <c r="AW11" s="243"/>
      <c r="AY11" s="61"/>
      <c r="AZ11" s="61"/>
      <c r="BA11" s="61"/>
      <c r="BB11" s="245"/>
    </row>
    <row r="12" spans="1:64" ht="13.5" customHeight="1" thickTop="1" x14ac:dyDescent="0.2">
      <c r="B12" s="60"/>
      <c r="C12" s="60"/>
      <c r="D12" s="61"/>
      <c r="E12" s="95"/>
      <c r="F12" s="82"/>
      <c r="G12" s="82"/>
      <c r="H12" s="83" t="str">
        <f>IF(F10&lt;&gt;"",IF(AND(F10&gt;0,F10&lt;&gt;"F"),CONCATENATE('Sprachen &amp; Rückgabewerte(5)'!$C$28," ",'Sprachen &amp; Rückgabewerte(5)'!$C$29," ",'Sprachen &amp; Rückgabewerte(5)'!$C$30),'Sprachen &amp; Rückgabewerte(5)'!$C$30),"")</f>
        <v/>
      </c>
      <c r="I12" s="95"/>
      <c r="J12" s="82"/>
      <c r="K12" s="82"/>
      <c r="L12" s="83" t="str">
        <f>IF(J10&lt;&gt;"",IF(AND(J10&gt;0,J10&lt;&gt;"F"),CONCATENATE('Sprachen &amp; Rückgabewerte(5)'!$C$28," ",'Sprachen &amp; Rückgabewerte(5)'!$C$29," ",'Sprachen &amp; Rückgabewerte(5)'!$C$30),'Sprachen &amp; Rückgabewerte(5)'!$C$30),"")</f>
        <v/>
      </c>
      <c r="M12" s="95"/>
      <c r="N12" s="82"/>
      <c r="O12" s="82"/>
      <c r="P12" s="83" t="str">
        <f>IF(N10&lt;&gt;"",IF(AND(N10&gt;0,N10&lt;&gt;"F"),CONCATENATE('Sprachen &amp; Rückgabewerte(5)'!$C$28," ",'Sprachen &amp; Rückgabewerte(5)'!$C$29," ",'Sprachen &amp; Rückgabewerte(5)'!$C$30),'Sprachen &amp; Rückgabewerte(5)'!$C$30),"")</f>
        <v/>
      </c>
      <c r="Q12" s="95"/>
      <c r="R12" s="82"/>
      <c r="S12" s="82"/>
      <c r="T12" s="83" t="str">
        <f>IF(R10&lt;&gt;"",IF(AND(R10&gt;0,R10&lt;&gt;"F"),CONCATENATE('Sprachen &amp; Rückgabewerte(5)'!$C$28," ",'Sprachen &amp; Rückgabewerte(5)'!$C$29," ",'Sprachen &amp; Rückgabewerte(5)'!$C$30),'Sprachen &amp; Rückgabewerte(5)'!$C$30),"")</f>
        <v/>
      </c>
      <c r="U12" s="95"/>
      <c r="V12" s="82"/>
      <c r="W12" s="82"/>
      <c r="X12" s="83" t="str">
        <f>IF(V10&lt;&gt;"",IF(AND(V10&gt;0,V10&lt;&gt;"F"),CONCATENATE('Sprachen &amp; Rückgabewerte(5)'!$C$28," ",'Sprachen &amp; Rückgabewerte(5)'!$C$29," ",'Sprachen &amp; Rückgabewerte(5)'!$C$30),'Sprachen &amp; Rückgabewerte(5)'!$C$30),"")</f>
        <v/>
      </c>
      <c r="Y12" s="95"/>
      <c r="Z12" s="82"/>
      <c r="AA12" s="82"/>
      <c r="AB12" s="83" t="str">
        <f>IF(Z10&lt;&gt;"",IF(AND(Z10&gt;0,Z10&lt;&gt;"F"),CONCATENATE('Sprachen &amp; Rückgabewerte(5)'!$C$28," ",'Sprachen &amp; Rückgabewerte(5)'!$C$29," ",'Sprachen &amp; Rückgabewerte(5)'!$C$30),'Sprachen &amp; Rückgabewerte(5)'!$C$30),"")</f>
        <v/>
      </c>
      <c r="AC12" s="95"/>
      <c r="AD12" s="82"/>
      <c r="AE12" s="82"/>
      <c r="AF12" s="83" t="str">
        <f>IF(AD10&lt;&gt;"",IF(AND(AD10&gt;0,AD10&lt;&gt;"F"),CONCATENATE('Sprachen &amp; Rückgabewerte(5)'!$C$28," ",'Sprachen &amp; Rückgabewerte(5)'!$C$29," ",'Sprachen &amp; Rückgabewerte(5)'!$C$30),'Sprachen &amp; Rückgabewerte(5)'!$C$30),"")</f>
        <v/>
      </c>
      <c r="AG12" s="95"/>
      <c r="AH12" s="82"/>
      <c r="AI12" s="82"/>
      <c r="AJ12" s="83" t="str">
        <f>IF(AH10&lt;&gt;"",IF(AND(AH10&gt;0,AH10&lt;&gt;"F"),CONCATENATE('Sprachen &amp; Rückgabewerte(5)'!$C$28," ",'Sprachen &amp; Rückgabewerte(5)'!$C$29," ",'Sprachen &amp; Rückgabewerte(5)'!$C$30),'Sprachen &amp; Rückgabewerte(5)'!$C$30),"")</f>
        <v/>
      </c>
      <c r="AK12" s="95"/>
      <c r="AL12" s="82"/>
      <c r="AM12" s="82"/>
      <c r="AN12" s="83" t="str">
        <f>IF(AL10&lt;&gt;"",IF(AND(AL10&gt;0,AL10&lt;&gt;"F"),CONCATENATE('Sprachen &amp; Rückgabewerte(5)'!$C$28," ",'Sprachen &amp; Rückgabewerte(5)'!$C$29," ",'Sprachen &amp; Rückgabewerte(5)'!$C$30),'Sprachen &amp; Rückgabewerte(5)'!$C$30),"")</f>
        <v/>
      </c>
      <c r="AO12" s="95"/>
      <c r="AP12" s="82"/>
      <c r="AQ12" s="82"/>
      <c r="AR12" s="83" t="str">
        <f>IF(AP10&lt;&gt;"",IF(AND(AP10&gt;0,AP10&lt;&gt;"F"),CONCATENATE('Sprachen &amp; Rückgabewerte(5)'!$C$28," ",'Sprachen &amp; Rückgabewerte(5)'!$C$29," ",'Sprachen &amp; Rückgabewerte(5)'!$C$30),'Sprachen &amp; Rückgabewerte(5)'!$C$30),"")</f>
        <v/>
      </c>
      <c r="AS12" s="149"/>
      <c r="AT12" s="114"/>
      <c r="AU12" s="114"/>
      <c r="AW12" s="243"/>
      <c r="AX12" s="246"/>
      <c r="AY12" s="61"/>
      <c r="AZ12" s="61"/>
      <c r="BA12" s="61"/>
      <c r="BB12" s="245"/>
    </row>
    <row r="13" spans="1:64" ht="13.5" customHeight="1" x14ac:dyDescent="0.2">
      <c r="B13" s="60"/>
      <c r="C13" s="60"/>
      <c r="D13" s="61"/>
      <c r="E13" s="656" t="str">
        <f>IF(AND('Sprachen &amp; Rückgabewerte(5)'!$I$30=TRUE,$F$10="R"),'Sprachen &amp; Rückgabewerte(5)'!H60,"")</f>
        <v/>
      </c>
      <c r="F13" s="61"/>
      <c r="G13" s="61"/>
      <c r="H13" s="647" t="str">
        <f>IF(AND('Sprachen &amp; Rückgabewerte(5)'!$I$31=TRUE,$F$10="L",$J$10=""),'Sprachen &amp; Rückgabewerte(5)'!$H$60,"")</f>
        <v/>
      </c>
      <c r="I13" s="60"/>
      <c r="J13" s="61"/>
      <c r="K13" s="61"/>
      <c r="L13" s="647" t="str">
        <f>IF(AND('Sprachen &amp; Rückgabewerte(5)'!$I$31=TRUE,$J$10="L",$N$10=""),'Sprachen &amp; Rückgabewerte(5)'!$H$60,"")</f>
        <v/>
      </c>
      <c r="M13" s="60"/>
      <c r="N13" s="61"/>
      <c r="O13" s="61"/>
      <c r="P13" s="647" t="str">
        <f>IF(AND('Sprachen &amp; Rückgabewerte(5)'!$I$31=TRUE,$N$10="L",$R$10=""),'Sprachen &amp; Rückgabewerte(5)'!$H$60,"")</f>
        <v/>
      </c>
      <c r="Q13" s="60"/>
      <c r="R13" s="61"/>
      <c r="S13" s="61"/>
      <c r="T13" s="647" t="str">
        <f>IF(AND('Sprachen &amp; Rückgabewerte(5)'!$I$31=TRUE,$R$10="L",$V$10=""),'Sprachen &amp; Rückgabewerte(5)'!$H$60,"")</f>
        <v/>
      </c>
      <c r="U13" s="60"/>
      <c r="V13" s="61"/>
      <c r="W13" s="61"/>
      <c r="X13" s="647" t="str">
        <f>IF(AND('Sprachen &amp; Rückgabewerte(5)'!$I$31=TRUE,$V$10="L",$Z$10=""),'Sprachen &amp; Rückgabewerte(5)'!$H$60,"")</f>
        <v/>
      </c>
      <c r="Y13" s="60"/>
      <c r="Z13" s="61"/>
      <c r="AA13" s="61"/>
      <c r="AB13" s="647" t="str">
        <f>IF(AND('Sprachen &amp; Rückgabewerte(5)'!$I$31=TRUE,$Z$10="L",$AD$10=""),'Sprachen &amp; Rückgabewerte(5)'!$H$60,"")</f>
        <v/>
      </c>
      <c r="AC13" s="60"/>
      <c r="AD13" s="61"/>
      <c r="AE13" s="61"/>
      <c r="AF13" s="647" t="str">
        <f>IF(AND('Sprachen &amp; Rückgabewerte(5)'!$I$31=TRUE,$AD$10="L",$AH$10=""),'Sprachen &amp; Rückgabewerte(5)'!$H$60,"")</f>
        <v/>
      </c>
      <c r="AG13" s="60"/>
      <c r="AH13" s="61"/>
      <c r="AI13" s="61"/>
      <c r="AJ13" s="647" t="str">
        <f>IF(AND('Sprachen &amp; Rückgabewerte(5)'!$I$31=TRUE,$AH$10="L",$AL$10=""),'Sprachen &amp; Rückgabewerte(5)'!$H$60,"")</f>
        <v/>
      </c>
      <c r="AK13" s="60"/>
      <c r="AL13" s="61"/>
      <c r="AM13" s="61"/>
      <c r="AN13" s="647" t="str">
        <f>IF(AND('Sprachen &amp; Rückgabewerte(5)'!$I$31=TRUE,$AL$10="L",$AP$10=""),'Sprachen &amp; Rückgabewerte(5)'!$H$60,"")</f>
        <v/>
      </c>
      <c r="AO13" s="60"/>
      <c r="AP13" s="61"/>
      <c r="AQ13" s="61"/>
      <c r="AR13" s="647" t="str">
        <f>IF(AND('Sprachen &amp; Rückgabewerte(5)'!$I$31=TRUE,$AP$10="L"),'Sprachen &amp; Rückgabewerte(5)'!$H$60,"")</f>
        <v/>
      </c>
      <c r="AS13" s="150"/>
      <c r="AT13" s="114"/>
      <c r="AU13" s="114"/>
      <c r="AW13" s="243"/>
      <c r="AX13" s="61"/>
      <c r="AY13" s="61"/>
      <c r="AZ13" s="61"/>
      <c r="BA13" s="61"/>
      <c r="BB13" s="245"/>
    </row>
    <row r="14" spans="1:64" ht="13.5" customHeight="1" x14ac:dyDescent="0.2">
      <c r="B14" s="60"/>
      <c r="C14" s="60"/>
      <c r="D14" s="61"/>
      <c r="E14" s="656"/>
      <c r="F14" s="635" t="str">
        <f>IF(F10='Sprachen &amp; Rückgabewerte(5)'!$B$9,'Sprachen &amp; Rückgabewerte(5)'!$C$9,IF(F10='Sprachen &amp; Rückgabewerte(5)'!$B$10,'Sprachen &amp; Rückgabewerte(5)'!$C$10,IF(F10='Sprachen &amp; Rückgabewerte(5)'!$B$11,'Sprachen &amp; Rückgabewerte(5)'!$C$11,IF(F10='Sprachen &amp; Rückgabewerte(5)'!$B$12,'Sprachen &amp; Rückgabewerte(5)'!$C$12,IF(F10='Sprachen &amp; Rückgabewerte(5)'!$B$13,'Sprachen &amp; Rückgabewerte(5)'!$C$13,IF(F10='Sprachen &amp; Rückgabewerte(5)'!$B$14,'Sprachen &amp; Rückgabewerte(5)'!$C$14,""))))))</f>
        <v/>
      </c>
      <c r="G14" s="635"/>
      <c r="H14" s="647"/>
      <c r="I14" s="60"/>
      <c r="J14" s="635" t="str">
        <f>IF(J10='Sprachen &amp; Rückgabewerte(5)'!$B$9,'Sprachen &amp; Rückgabewerte(5)'!$C$9,IF(J10='Sprachen &amp; Rückgabewerte(5)'!$B$10,'Sprachen &amp; Rückgabewerte(5)'!$C$10,IF(J10='Sprachen &amp; Rückgabewerte(5)'!$B$11,'Sprachen &amp; Rückgabewerte(5)'!$C$11,IF(J10='Sprachen &amp; Rückgabewerte(5)'!$B$12,'Sprachen &amp; Rückgabewerte(5)'!$C$12,IF(J10='Sprachen &amp; Rückgabewerte(5)'!$B$13,'Sprachen &amp; Rückgabewerte(5)'!$C$13,IF(J10='Sprachen &amp; Rückgabewerte(5)'!$B$14,'Sprachen &amp; Rückgabewerte(5)'!$C$14,""))))))</f>
        <v/>
      </c>
      <c r="K14" s="635"/>
      <c r="L14" s="647"/>
      <c r="M14" s="60"/>
      <c r="N14" s="635" t="str">
        <f>IF(N10='Sprachen &amp; Rückgabewerte(5)'!$B$9,'Sprachen &amp; Rückgabewerte(5)'!$C$9,IF(N10='Sprachen &amp; Rückgabewerte(5)'!$B$10,'Sprachen &amp; Rückgabewerte(5)'!$C$10,IF(N10='Sprachen &amp; Rückgabewerte(5)'!$B$11,'Sprachen &amp; Rückgabewerte(5)'!$C$11,IF(N10='Sprachen &amp; Rückgabewerte(5)'!$B$12,'Sprachen &amp; Rückgabewerte(5)'!$C$12,IF(N10='Sprachen &amp; Rückgabewerte(5)'!$B$13,'Sprachen &amp; Rückgabewerte(5)'!$C$13,IF(N10='Sprachen &amp; Rückgabewerte(5)'!$B$14,'Sprachen &amp; Rückgabewerte(5)'!$C$14,""))))))</f>
        <v/>
      </c>
      <c r="O14" s="635"/>
      <c r="P14" s="647"/>
      <c r="Q14" s="60"/>
      <c r="R14" s="635" t="str">
        <f>IF(R10='Sprachen &amp; Rückgabewerte(5)'!$B$9,'Sprachen &amp; Rückgabewerte(5)'!$C$9,IF(R10='Sprachen &amp; Rückgabewerte(5)'!$B$10,'Sprachen &amp; Rückgabewerte(5)'!$C$10,IF(R10='Sprachen &amp; Rückgabewerte(5)'!$B$11,'Sprachen &amp; Rückgabewerte(5)'!$C$11,IF(R10='Sprachen &amp; Rückgabewerte(5)'!$B$12,'Sprachen &amp; Rückgabewerte(5)'!$C$12,IF(R10='Sprachen &amp; Rückgabewerte(5)'!$B$13,'Sprachen &amp; Rückgabewerte(5)'!$C$13,IF(R10='Sprachen &amp; Rückgabewerte(5)'!$B$14,'Sprachen &amp; Rückgabewerte(5)'!$C$14,""))))))</f>
        <v/>
      </c>
      <c r="S14" s="635"/>
      <c r="T14" s="647"/>
      <c r="U14" s="60"/>
      <c r="V14" s="635" t="str">
        <f>IF(V10='Sprachen &amp; Rückgabewerte(5)'!$B$9,'Sprachen &amp; Rückgabewerte(5)'!$C$9,IF(V10='Sprachen &amp; Rückgabewerte(5)'!$B$10,'Sprachen &amp; Rückgabewerte(5)'!$C$10,IF(V10='Sprachen &amp; Rückgabewerte(5)'!$B$11,'Sprachen &amp; Rückgabewerte(5)'!$C$11,IF(V10='Sprachen &amp; Rückgabewerte(5)'!$B$12,'Sprachen &amp; Rückgabewerte(5)'!$C$12,IF(V10='Sprachen &amp; Rückgabewerte(5)'!$B$13,'Sprachen &amp; Rückgabewerte(5)'!$C$13,IF(V10='Sprachen &amp; Rückgabewerte(5)'!$B$14,'Sprachen &amp; Rückgabewerte(5)'!$C$14,""))))))</f>
        <v/>
      </c>
      <c r="W14" s="635"/>
      <c r="X14" s="647"/>
      <c r="Y14" s="60"/>
      <c r="Z14" s="635" t="str">
        <f>IF(Z10='Sprachen &amp; Rückgabewerte(5)'!$B$9,'Sprachen &amp; Rückgabewerte(5)'!$C$9,IF(Z10='Sprachen &amp; Rückgabewerte(5)'!$B$10,'Sprachen &amp; Rückgabewerte(5)'!$C$10,IF(Z10='Sprachen &amp; Rückgabewerte(5)'!$B$11,'Sprachen &amp; Rückgabewerte(5)'!$C$11,IF(Z10='Sprachen &amp; Rückgabewerte(5)'!$B$12,'Sprachen &amp; Rückgabewerte(5)'!$C$12,IF(Z10='Sprachen &amp; Rückgabewerte(5)'!$B$13,'Sprachen &amp; Rückgabewerte(5)'!$C$13,IF(Z10='Sprachen &amp; Rückgabewerte(5)'!$B$14,'Sprachen &amp; Rückgabewerte(5)'!$C$14,""))))))</f>
        <v/>
      </c>
      <c r="AA14" s="635"/>
      <c r="AB14" s="647"/>
      <c r="AC14" s="60"/>
      <c r="AD14" s="635" t="str">
        <f>IF(AD10='Sprachen &amp; Rückgabewerte(5)'!$B$9,'Sprachen &amp; Rückgabewerte(5)'!$C$9,IF(AD10='Sprachen &amp; Rückgabewerte(5)'!$B$10,'Sprachen &amp; Rückgabewerte(5)'!$C$10,IF(AD10='Sprachen &amp; Rückgabewerte(5)'!$B$11,'Sprachen &amp; Rückgabewerte(5)'!$C$11,IF(AD10='Sprachen &amp; Rückgabewerte(5)'!$B$12,'Sprachen &amp; Rückgabewerte(5)'!$C$12,IF(AD10='Sprachen &amp; Rückgabewerte(5)'!$B$13,'Sprachen &amp; Rückgabewerte(5)'!$C$13,IF(AD10='Sprachen &amp; Rückgabewerte(5)'!$B$14,'Sprachen &amp; Rückgabewerte(5)'!$C$14,""))))))</f>
        <v/>
      </c>
      <c r="AE14" s="635"/>
      <c r="AF14" s="647"/>
      <c r="AG14" s="60"/>
      <c r="AH14" s="635" t="str">
        <f>IF(AH10='Sprachen &amp; Rückgabewerte(5)'!$B$9,'Sprachen &amp; Rückgabewerte(5)'!$C$9,IF(AH10='Sprachen &amp; Rückgabewerte(5)'!$B$10,'Sprachen &amp; Rückgabewerte(5)'!$C$10,IF(AH10='Sprachen &amp; Rückgabewerte(5)'!$B$11,'Sprachen &amp; Rückgabewerte(5)'!$C$11,IF(AH10='Sprachen &amp; Rückgabewerte(5)'!$B$12,'Sprachen &amp; Rückgabewerte(5)'!$C$12,IF(AH10='Sprachen &amp; Rückgabewerte(5)'!$B$13,'Sprachen &amp; Rückgabewerte(5)'!$C$13,IF(AH10='Sprachen &amp; Rückgabewerte(5)'!$B$14,'Sprachen &amp; Rückgabewerte(5)'!$C$14,""))))))</f>
        <v/>
      </c>
      <c r="AI14" s="635"/>
      <c r="AJ14" s="647"/>
      <c r="AK14" s="60"/>
      <c r="AL14" s="635" t="str">
        <f>IF(AL10='Sprachen &amp; Rückgabewerte(5)'!$B$9,'Sprachen &amp; Rückgabewerte(5)'!$C$9,IF(AL10='Sprachen &amp; Rückgabewerte(5)'!$B$10,'Sprachen &amp; Rückgabewerte(5)'!$C$10,IF(AL10='Sprachen &amp; Rückgabewerte(5)'!$B$11,'Sprachen &amp; Rückgabewerte(5)'!$C$11,IF(AL10='Sprachen &amp; Rückgabewerte(5)'!$B$12,'Sprachen &amp; Rückgabewerte(5)'!$C$12,IF(AL10='Sprachen &amp; Rückgabewerte(5)'!$B$13,'Sprachen &amp; Rückgabewerte(5)'!$C$13,IF(AL10='Sprachen &amp; Rückgabewerte(5)'!$B$14,'Sprachen &amp; Rückgabewerte(5)'!$C$14,""))))))</f>
        <v/>
      </c>
      <c r="AM14" s="635"/>
      <c r="AN14" s="647"/>
      <c r="AO14" s="60"/>
      <c r="AP14" s="635" t="str">
        <f>IF(AP10='Sprachen &amp; Rückgabewerte(5)'!$B$9,'Sprachen &amp; Rückgabewerte(5)'!$C$9,IF(AP10='Sprachen &amp; Rückgabewerte(5)'!$B$10,'Sprachen &amp; Rückgabewerte(5)'!$C$10,IF(AP10='Sprachen &amp; Rückgabewerte(5)'!$B$11,'Sprachen &amp; Rückgabewerte(5)'!$C$11,IF(AP10='Sprachen &amp; Rückgabewerte(5)'!$B$12,'Sprachen &amp; Rückgabewerte(5)'!$C$12,IF(AP10='Sprachen &amp; Rückgabewerte(5)'!$B$13,'Sprachen &amp; Rückgabewerte(5)'!$C$13,IF(AP10='Sprachen &amp; Rückgabewerte(5)'!$B$14,'Sprachen &amp; Rückgabewerte(5)'!$C$14,""))))))</f>
        <v/>
      </c>
      <c r="AQ14" s="635"/>
      <c r="AR14" s="647"/>
      <c r="AS14" s="149"/>
      <c r="AT14" s="114"/>
      <c r="AU14" s="114"/>
      <c r="AW14" s="243"/>
      <c r="AX14" s="155" t="str">
        <f>'Sprachen &amp; Rückgabewerte(5)'!H131</f>
        <v>Bemerkungen:</v>
      </c>
      <c r="AY14" s="61"/>
      <c r="AZ14" s="61"/>
      <c r="BA14" s="61"/>
      <c r="BB14" s="245"/>
    </row>
    <row r="15" spans="1:64" ht="13.5" customHeight="1" x14ac:dyDescent="0.2">
      <c r="B15" s="60"/>
      <c r="C15" s="60"/>
      <c r="D15" s="61"/>
      <c r="E15" s="656"/>
      <c r="F15" s="635"/>
      <c r="G15" s="635"/>
      <c r="H15" s="647"/>
      <c r="I15" s="60"/>
      <c r="J15" s="635"/>
      <c r="K15" s="635"/>
      <c r="L15" s="647"/>
      <c r="M15" s="60"/>
      <c r="N15" s="635"/>
      <c r="O15" s="635"/>
      <c r="P15" s="647"/>
      <c r="Q15" s="60"/>
      <c r="R15" s="635"/>
      <c r="S15" s="635"/>
      <c r="T15" s="647"/>
      <c r="U15" s="60"/>
      <c r="V15" s="635"/>
      <c r="W15" s="635"/>
      <c r="X15" s="647"/>
      <c r="Y15" s="60"/>
      <c r="Z15" s="635"/>
      <c r="AA15" s="635"/>
      <c r="AB15" s="647"/>
      <c r="AC15" s="60"/>
      <c r="AD15" s="635"/>
      <c r="AE15" s="635"/>
      <c r="AF15" s="647"/>
      <c r="AG15" s="60"/>
      <c r="AH15" s="635"/>
      <c r="AI15" s="635"/>
      <c r="AJ15" s="647"/>
      <c r="AK15" s="60"/>
      <c r="AL15" s="635"/>
      <c r="AM15" s="635"/>
      <c r="AN15" s="647"/>
      <c r="AO15" s="60"/>
      <c r="AP15" s="635"/>
      <c r="AQ15" s="635"/>
      <c r="AR15" s="647"/>
      <c r="AS15" s="61"/>
      <c r="AT15" s="114"/>
      <c r="AU15" s="114"/>
      <c r="AW15" s="243"/>
      <c r="AX15" s="637" t="s">
        <v>520</v>
      </c>
      <c r="AY15" s="638"/>
      <c r="AZ15" s="638"/>
      <c r="BA15" s="639"/>
      <c r="BB15" s="245"/>
    </row>
    <row r="16" spans="1:64" ht="13.5" customHeight="1" x14ac:dyDescent="0.2">
      <c r="B16" s="60"/>
      <c r="C16" s="60"/>
      <c r="D16" s="61"/>
      <c r="E16" s="656"/>
      <c r="F16" s="634"/>
      <c r="G16" s="634"/>
      <c r="H16" s="647"/>
      <c r="I16" s="60"/>
      <c r="J16" s="634"/>
      <c r="K16" s="634"/>
      <c r="L16" s="647"/>
      <c r="M16" s="60"/>
      <c r="N16" s="634"/>
      <c r="O16" s="634"/>
      <c r="P16" s="647"/>
      <c r="Q16" s="60"/>
      <c r="R16" s="634"/>
      <c r="S16" s="634"/>
      <c r="T16" s="647"/>
      <c r="U16" s="60"/>
      <c r="V16" s="634"/>
      <c r="W16" s="634"/>
      <c r="X16" s="647"/>
      <c r="Y16" s="60"/>
      <c r="Z16" s="634"/>
      <c r="AA16" s="634"/>
      <c r="AB16" s="647"/>
      <c r="AC16" s="60"/>
      <c r="AD16" s="634"/>
      <c r="AE16" s="634"/>
      <c r="AF16" s="647"/>
      <c r="AG16" s="60"/>
      <c r="AH16" s="634"/>
      <c r="AI16" s="634"/>
      <c r="AJ16" s="647"/>
      <c r="AK16" s="60"/>
      <c r="AL16" s="634"/>
      <c r="AM16" s="634"/>
      <c r="AN16" s="647"/>
      <c r="AO16" s="60"/>
      <c r="AP16" s="634"/>
      <c r="AQ16" s="634"/>
      <c r="AR16" s="647"/>
      <c r="AS16" s="61"/>
      <c r="AT16" s="114"/>
      <c r="AU16" s="114"/>
      <c r="AW16" s="247"/>
      <c r="AX16" s="640"/>
      <c r="AY16" s="641"/>
      <c r="AZ16" s="641"/>
      <c r="BA16" s="642"/>
      <c r="BB16" s="245"/>
    </row>
    <row r="17" spans="1:57" ht="13.5" customHeight="1" x14ac:dyDescent="0.2">
      <c r="B17" s="60"/>
      <c r="C17" s="60"/>
      <c r="D17" s="61"/>
      <c r="E17" s="656"/>
      <c r="F17" s="634"/>
      <c r="G17" s="634"/>
      <c r="H17" s="647"/>
      <c r="I17" s="60"/>
      <c r="J17" s="634"/>
      <c r="K17" s="634"/>
      <c r="L17" s="647"/>
      <c r="M17" s="60"/>
      <c r="N17" s="634"/>
      <c r="O17" s="634"/>
      <c r="P17" s="647"/>
      <c r="Q17" s="60"/>
      <c r="R17" s="634"/>
      <c r="S17" s="634"/>
      <c r="T17" s="647"/>
      <c r="U17" s="60"/>
      <c r="V17" s="634"/>
      <c r="W17" s="634"/>
      <c r="X17" s="647"/>
      <c r="Y17" s="60"/>
      <c r="Z17" s="634"/>
      <c r="AA17" s="634"/>
      <c r="AB17" s="647"/>
      <c r="AC17" s="60"/>
      <c r="AD17" s="634"/>
      <c r="AE17" s="634"/>
      <c r="AF17" s="647"/>
      <c r="AG17" s="60"/>
      <c r="AH17" s="634"/>
      <c r="AI17" s="634"/>
      <c r="AJ17" s="647"/>
      <c r="AK17" s="60"/>
      <c r="AL17" s="634"/>
      <c r="AM17" s="634"/>
      <c r="AN17" s="647"/>
      <c r="AO17" s="60"/>
      <c r="AP17" s="634"/>
      <c r="AQ17" s="634"/>
      <c r="AR17" s="647"/>
      <c r="AS17" s="61"/>
      <c r="AT17" s="114"/>
      <c r="AU17" s="114"/>
      <c r="AW17" s="247"/>
      <c r="AX17" s="640"/>
      <c r="AY17" s="641"/>
      <c r="AZ17" s="641"/>
      <c r="BA17" s="642"/>
      <c r="BB17" s="245"/>
    </row>
    <row r="18" spans="1:57" ht="13.5" customHeight="1" x14ac:dyDescent="0.2">
      <c r="B18" s="60"/>
      <c r="C18" s="60"/>
      <c r="D18" s="61"/>
      <c r="E18" s="656"/>
      <c r="F18" s="427"/>
      <c r="G18" s="427"/>
      <c r="H18" s="647"/>
      <c r="I18" s="60"/>
      <c r="J18" s="427"/>
      <c r="K18" s="427"/>
      <c r="L18" s="647"/>
      <c r="M18" s="60"/>
      <c r="N18" s="427"/>
      <c r="O18" s="427"/>
      <c r="P18" s="647"/>
      <c r="Q18" s="60"/>
      <c r="R18" s="427"/>
      <c r="S18" s="427"/>
      <c r="T18" s="647"/>
      <c r="U18" s="60"/>
      <c r="V18" s="427"/>
      <c r="W18" s="427"/>
      <c r="X18" s="647"/>
      <c r="Y18" s="60"/>
      <c r="Z18" s="427"/>
      <c r="AA18" s="427"/>
      <c r="AB18" s="647"/>
      <c r="AC18" s="60"/>
      <c r="AD18" s="427"/>
      <c r="AE18" s="427"/>
      <c r="AF18" s="647"/>
      <c r="AG18" s="60"/>
      <c r="AH18" s="427"/>
      <c r="AI18" s="427"/>
      <c r="AJ18" s="647"/>
      <c r="AK18" s="60"/>
      <c r="AL18" s="427"/>
      <c r="AM18" s="427"/>
      <c r="AN18" s="647"/>
      <c r="AO18" s="60"/>
      <c r="AP18" s="427"/>
      <c r="AQ18" s="427"/>
      <c r="AR18" s="647"/>
      <c r="AS18" s="61"/>
      <c r="AT18" s="114"/>
      <c r="AU18" s="114"/>
      <c r="AW18" s="247"/>
      <c r="AX18" s="643"/>
      <c r="AY18" s="644"/>
      <c r="AZ18" s="644"/>
      <c r="BA18" s="645"/>
      <c r="BB18" s="245"/>
    </row>
    <row r="19" spans="1:57" ht="13.5" customHeight="1" x14ac:dyDescent="0.2">
      <c r="B19" s="60"/>
      <c r="C19" s="60"/>
      <c r="D19" s="61"/>
      <c r="E19" s="657"/>
      <c r="F19" s="84"/>
      <c r="G19" s="84"/>
      <c r="H19" s="648"/>
      <c r="I19" s="68"/>
      <c r="J19" s="84"/>
      <c r="K19" s="84"/>
      <c r="L19" s="648"/>
      <c r="M19" s="68"/>
      <c r="N19" s="84"/>
      <c r="O19" s="84"/>
      <c r="P19" s="648"/>
      <c r="Q19" s="68"/>
      <c r="R19" s="84"/>
      <c r="S19" s="84"/>
      <c r="T19" s="648"/>
      <c r="U19" s="68"/>
      <c r="V19" s="84"/>
      <c r="W19" s="84"/>
      <c r="X19" s="648"/>
      <c r="Y19" s="68"/>
      <c r="Z19" s="84"/>
      <c r="AA19" s="84"/>
      <c r="AB19" s="648"/>
      <c r="AC19" s="68"/>
      <c r="AD19" s="84"/>
      <c r="AE19" s="84"/>
      <c r="AF19" s="648"/>
      <c r="AG19" s="68"/>
      <c r="AH19" s="84"/>
      <c r="AI19" s="84"/>
      <c r="AJ19" s="648"/>
      <c r="AK19" s="68"/>
      <c r="AL19" s="84"/>
      <c r="AM19" s="84"/>
      <c r="AN19" s="648"/>
      <c r="AO19" s="68"/>
      <c r="AP19" s="84"/>
      <c r="AQ19" s="84"/>
      <c r="AR19" s="648"/>
      <c r="AS19" s="61"/>
      <c r="AT19" s="114"/>
      <c r="AU19" s="114"/>
      <c r="AW19" s="247"/>
      <c r="AX19" s="561" t="str">
        <f>IF('Sprachen &amp; Rückgabewerte(5)'!U83=FALSE,'Sprachen &amp; Rückgabewerte(5)'!H155,'Sprachen &amp; Rückgabewerte(5)'!H156)</f>
        <v>Bestellformular unvollständig!</v>
      </c>
      <c r="AY19" s="561"/>
      <c r="AZ19" s="561"/>
      <c r="BA19" s="561"/>
      <c r="BB19" s="245"/>
    </row>
    <row r="20" spans="1:57" ht="13.5" customHeight="1" thickBot="1" x14ac:dyDescent="0.25">
      <c r="B20" s="60"/>
      <c r="C20" s="60"/>
      <c r="D20" s="61"/>
      <c r="E20" s="61"/>
      <c r="F20" s="91" t="str">
        <f>'Sprachen &amp; Rückgabewerte(5)'!$H$124</f>
        <v>Ecke:</v>
      </c>
      <c r="G20" s="679"/>
      <c r="H20" s="679"/>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79"/>
      <c r="AP20" s="679"/>
      <c r="AQ20" s="61"/>
      <c r="AR20" s="62"/>
      <c r="AS20" s="61"/>
      <c r="AT20" s="114"/>
      <c r="AU20" s="114"/>
      <c r="AW20" s="248"/>
      <c r="AX20" s="562"/>
      <c r="AY20" s="562"/>
      <c r="AZ20" s="562"/>
      <c r="BA20" s="562"/>
      <c r="BB20" s="251"/>
    </row>
    <row r="21" spans="1:57" ht="13.5" customHeight="1" thickTop="1" thickBot="1" x14ac:dyDescent="0.25">
      <c r="B21" s="60"/>
      <c r="C21" s="60"/>
      <c r="D21" s="61"/>
      <c r="E21" s="64"/>
      <c r="F21" s="91" t="str">
        <f>IF(OR(G20='Sprachen &amp; Rückgabewerte(5)'!$H$106,G20='Sprachen &amp; Rückgabewerte(5)'!$H$107,K20='Sprachen &amp; Rückgabewerte(5)'!$H$106,K20='Sprachen &amp; Rückgabewerte(5)'!$H$107,O20='Sprachen &amp; Rückgabewerte(5)'!$H$106,O20='Sprachen &amp; Rückgabewerte(5)'!$H$107,S20='Sprachen &amp; Rückgabewerte(5)'!$H$106,S20='Sprachen &amp; Rückgabewerte(5)'!$H$107,W20='Sprachen &amp; Rückgabewerte(5)'!$H$106,W20='Sprachen &amp; Rückgabewerte(5)'!$H$107,AA20='Sprachen &amp; Rückgabewerte(5)'!$H$106,AA20='Sprachen &amp; Rückgabewerte(5)'!$H$107,AE20='Sprachen &amp; Rückgabewerte(5)'!$H$106,AE20='Sprachen &amp; Rückgabewerte(5)'!$H$107,AI20='Sprachen &amp; Rückgabewerte(5)'!$H$106,AI20='Sprachen &amp; Rückgabewerte(5)'!$H$107,AM20='Sprachen &amp; Rückgabewerte(5)'!$H$106,AM20='Sprachen &amp; Rückgabewerte(5)'!$H$107),'Sprachen &amp; Rückgabewerte(5)'!$H$108,"")</f>
        <v/>
      </c>
      <c r="G21" s="65"/>
      <c r="H21" s="646"/>
      <c r="I21" s="646"/>
      <c r="J21" s="66"/>
      <c r="K21" s="66"/>
      <c r="L21" s="646"/>
      <c r="M21" s="646"/>
      <c r="N21" s="649"/>
      <c r="O21" s="649"/>
      <c r="P21" s="646"/>
      <c r="Q21" s="646"/>
      <c r="R21" s="678"/>
      <c r="S21" s="678"/>
      <c r="T21" s="646"/>
      <c r="U21" s="646"/>
      <c r="V21" s="649"/>
      <c r="W21" s="649"/>
      <c r="X21" s="646"/>
      <c r="Y21" s="646"/>
      <c r="Z21" s="649"/>
      <c r="AA21" s="649"/>
      <c r="AB21" s="646"/>
      <c r="AC21" s="646"/>
      <c r="AD21" s="649"/>
      <c r="AE21" s="649"/>
      <c r="AF21" s="646"/>
      <c r="AG21" s="646"/>
      <c r="AH21" s="649"/>
      <c r="AI21" s="649"/>
      <c r="AJ21" s="646"/>
      <c r="AK21" s="646"/>
      <c r="AL21" s="649"/>
      <c r="AM21" s="649"/>
      <c r="AN21" s="646"/>
      <c r="AO21" s="646"/>
      <c r="AP21" s="61"/>
      <c r="AQ21" s="61"/>
      <c r="AR21" s="62"/>
      <c r="AS21" s="61"/>
      <c r="AT21" s="114"/>
      <c r="AU21" s="114"/>
      <c r="AW21" s="151"/>
      <c r="AY21" s="190"/>
      <c r="AZ21" s="190"/>
      <c r="BA21" s="190"/>
    </row>
    <row r="22" spans="1:57" ht="9.75" customHeight="1" thickTop="1" x14ac:dyDescent="0.2">
      <c r="B22" s="60"/>
      <c r="C22" s="60"/>
      <c r="D22" s="61"/>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61"/>
      <c r="AT22" s="114"/>
      <c r="AU22" s="114"/>
      <c r="AW22" s="240"/>
      <c r="AX22" s="569" t="str">
        <f>'Sprachen &amp; Rückgabewerte(5)'!H157</f>
        <v>B2B-Login Projektnr:</v>
      </c>
      <c r="AY22" s="569"/>
      <c r="AZ22" s="569"/>
      <c r="BA22" s="569"/>
      <c r="BB22" s="242"/>
    </row>
    <row r="23" spans="1:57" ht="9.9499999999999993" customHeight="1" x14ac:dyDescent="0.2">
      <c r="B23" s="60"/>
      <c r="C23" s="60"/>
      <c r="D23" s="61"/>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6"/>
      <c r="AD23" s="576"/>
      <c r="AE23" s="576"/>
      <c r="AF23" s="576"/>
      <c r="AG23" s="576"/>
      <c r="AH23" s="576"/>
      <c r="AI23" s="576"/>
      <c r="AJ23" s="576"/>
      <c r="AK23" s="576"/>
      <c r="AL23" s="576"/>
      <c r="AM23" s="576"/>
      <c r="AN23" s="576"/>
      <c r="AO23" s="576"/>
      <c r="AP23" s="576"/>
      <c r="AQ23" s="576"/>
      <c r="AR23" s="576"/>
      <c r="AS23" s="67"/>
      <c r="AT23" s="114"/>
      <c r="AU23" s="114"/>
      <c r="AW23" s="243"/>
      <c r="AX23" s="570"/>
      <c r="AY23" s="570"/>
      <c r="AZ23" s="570"/>
      <c r="BA23" s="570"/>
      <c r="BB23" s="245"/>
    </row>
    <row r="24" spans="1:57" ht="9.9499999999999993" customHeight="1" x14ac:dyDescent="0.2">
      <c r="B24" s="60"/>
      <c r="C24" s="60"/>
      <c r="D24" s="61"/>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6"/>
      <c r="AD24" s="576"/>
      <c r="AE24" s="576"/>
      <c r="AF24" s="576"/>
      <c r="AG24" s="576"/>
      <c r="AH24" s="576"/>
      <c r="AI24" s="576"/>
      <c r="AJ24" s="576"/>
      <c r="AK24" s="576"/>
      <c r="AL24" s="576"/>
      <c r="AM24" s="576"/>
      <c r="AN24" s="576"/>
      <c r="AO24" s="576"/>
      <c r="AP24" s="576"/>
      <c r="AQ24" s="576"/>
      <c r="AR24" s="576"/>
      <c r="AS24" s="67"/>
      <c r="AT24" s="114"/>
      <c r="AU24" s="114"/>
      <c r="AW24" s="243"/>
      <c r="AX24" s="570"/>
      <c r="AY24" s="570"/>
      <c r="AZ24" s="570"/>
      <c r="BA24" s="570"/>
      <c r="BB24" s="245"/>
    </row>
    <row r="25" spans="1:57" ht="9.9499999999999993" customHeight="1" x14ac:dyDescent="0.2">
      <c r="B25" s="60"/>
      <c r="C25" s="60"/>
      <c r="D25" s="61"/>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67"/>
      <c r="AT25" s="114"/>
      <c r="AU25" s="114"/>
      <c r="AW25" s="243"/>
      <c r="AX25" s="563"/>
      <c r="AY25" s="564"/>
      <c r="AZ25" s="565"/>
      <c r="BA25" s="190"/>
      <c r="BB25" s="245"/>
    </row>
    <row r="26" spans="1:57" ht="9.9499999999999993" customHeight="1" x14ac:dyDescent="0.2">
      <c r="B26" s="60"/>
      <c r="C26" s="60"/>
      <c r="D26" s="61"/>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6"/>
      <c r="AD26" s="576"/>
      <c r="AE26" s="576"/>
      <c r="AF26" s="576"/>
      <c r="AG26" s="576"/>
      <c r="AH26" s="576"/>
      <c r="AI26" s="576"/>
      <c r="AJ26" s="576"/>
      <c r="AK26" s="576"/>
      <c r="AL26" s="576"/>
      <c r="AM26" s="576"/>
      <c r="AN26" s="576"/>
      <c r="AO26" s="576"/>
      <c r="AP26" s="576"/>
      <c r="AQ26" s="576"/>
      <c r="AR26" s="576"/>
      <c r="AS26" s="67"/>
      <c r="AT26" s="114"/>
      <c r="AU26" s="114"/>
      <c r="AW26" s="243"/>
      <c r="AX26" s="566"/>
      <c r="AY26" s="567"/>
      <c r="AZ26" s="568"/>
      <c r="BA26" s="190"/>
      <c r="BB26" s="245"/>
    </row>
    <row r="27" spans="1:57" ht="15.75" customHeight="1" thickBot="1" x14ac:dyDescent="0.25">
      <c r="B27" s="60"/>
      <c r="C27" s="60"/>
      <c r="D27" s="61"/>
      <c r="E27" s="92"/>
      <c r="F27" s="93"/>
      <c r="G27" s="93"/>
      <c r="H27" s="94"/>
      <c r="I27" s="92"/>
      <c r="J27" s="93"/>
      <c r="K27" s="93"/>
      <c r="L27" s="94"/>
      <c r="M27" s="92"/>
      <c r="N27" s="93"/>
      <c r="O27" s="93"/>
      <c r="P27" s="94"/>
      <c r="Q27" s="92"/>
      <c r="R27" s="93"/>
      <c r="S27" s="93"/>
      <c r="T27" s="94"/>
      <c r="U27" s="92"/>
      <c r="V27" s="93"/>
      <c r="W27" s="93"/>
      <c r="X27" s="94"/>
      <c r="Y27" s="92"/>
      <c r="Z27" s="93"/>
      <c r="AA27" s="93"/>
      <c r="AB27" s="94"/>
      <c r="AC27" s="92"/>
      <c r="AD27" s="93"/>
      <c r="AE27" s="93"/>
      <c r="AF27" s="94"/>
      <c r="AG27" s="92"/>
      <c r="AH27" s="93"/>
      <c r="AI27" s="93"/>
      <c r="AJ27" s="94"/>
      <c r="AK27" s="92"/>
      <c r="AL27" s="93"/>
      <c r="AM27" s="93"/>
      <c r="AN27" s="94"/>
      <c r="AO27" s="92"/>
      <c r="AP27" s="93"/>
      <c r="AQ27" s="93"/>
      <c r="AR27" s="94"/>
      <c r="AS27" s="67"/>
      <c r="AT27" s="114"/>
      <c r="AU27" s="114"/>
      <c r="AW27" s="243"/>
      <c r="AX27" s="318"/>
      <c r="AY27" s="190"/>
      <c r="AZ27" s="190"/>
      <c r="BA27" s="190"/>
      <c r="BB27" s="245"/>
    </row>
    <row r="28" spans="1:57" ht="18" customHeight="1" thickBot="1" x14ac:dyDescent="0.25">
      <c r="A28" s="157" t="str">
        <f>IF('Sprachen &amp; Rückgabewerte(5)'!$I$13=TRUE,'Sprachen &amp; Rückgabewerte(5)'!$H$58,"")</f>
        <v/>
      </c>
      <c r="B28" s="228"/>
      <c r="C28" s="60"/>
      <c r="D28" s="84"/>
      <c r="E28" s="573"/>
      <c r="F28" s="574"/>
      <c r="G28" s="574"/>
      <c r="H28" s="575"/>
      <c r="I28" s="573"/>
      <c r="J28" s="574"/>
      <c r="K28" s="574"/>
      <c r="L28" s="575"/>
      <c r="M28" s="573"/>
      <c r="N28" s="574"/>
      <c r="O28" s="574"/>
      <c r="P28" s="575"/>
      <c r="Q28" s="573"/>
      <c r="R28" s="574"/>
      <c r="S28" s="574"/>
      <c r="T28" s="575"/>
      <c r="U28" s="573"/>
      <c r="V28" s="574"/>
      <c r="W28" s="574"/>
      <c r="X28" s="575"/>
      <c r="Y28" s="573"/>
      <c r="Z28" s="574"/>
      <c r="AA28" s="574"/>
      <c r="AB28" s="575"/>
      <c r="AC28" s="573"/>
      <c r="AD28" s="574"/>
      <c r="AE28" s="574"/>
      <c r="AF28" s="575"/>
      <c r="AG28" s="573"/>
      <c r="AH28" s="574"/>
      <c r="AI28" s="574"/>
      <c r="AJ28" s="575"/>
      <c r="AK28" s="573"/>
      <c r="AL28" s="574"/>
      <c r="AM28" s="574"/>
      <c r="AN28" s="575"/>
      <c r="AO28" s="573"/>
      <c r="AP28" s="574"/>
      <c r="AQ28" s="574"/>
      <c r="AR28" s="575"/>
      <c r="AS28" s="68"/>
      <c r="AT28" s="114"/>
      <c r="AU28" s="114"/>
      <c r="AW28" s="259"/>
      <c r="AX28" s="249"/>
      <c r="AY28" s="250"/>
      <c r="AZ28" s="250"/>
      <c r="BA28" s="250"/>
      <c r="BB28" s="251"/>
    </row>
    <row r="29" spans="1:57"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4"/>
      <c r="AU29" s="114"/>
      <c r="AY29" s="190"/>
      <c r="AZ29" s="190"/>
      <c r="BA29" s="190"/>
      <c r="BE29" s="141" t="s">
        <v>945</v>
      </c>
    </row>
    <row r="30" spans="1:57" ht="10.5" customHeight="1" x14ac:dyDescent="0.2">
      <c r="B30" s="60"/>
      <c r="C30" s="68"/>
      <c r="D30" s="84"/>
      <c r="E30" s="429"/>
      <c r="F30" s="429"/>
      <c r="G30" s="429"/>
      <c r="H30" s="429"/>
      <c r="I30" s="429"/>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c r="AH30" s="429"/>
      <c r="AI30" s="429"/>
      <c r="AJ30" s="429"/>
      <c r="AK30" s="429"/>
      <c r="AL30" s="429"/>
      <c r="AM30" s="429"/>
      <c r="AN30" s="429"/>
      <c r="AO30" s="429"/>
      <c r="AP30" s="429"/>
      <c r="AQ30" s="429"/>
      <c r="AR30" s="429"/>
      <c r="AS30" s="84"/>
      <c r="AT30" s="115"/>
      <c r="AU30" s="114"/>
      <c r="AW30" s="628" t="str">
        <f>IF('Sprachen &amp; Rückgabewerte(5)'!$I$19=TRUE,'Sprachen &amp; Rückgabewerte(5)'!$H$137,"")</f>
        <v/>
      </c>
      <c r="AX30" s="629"/>
      <c r="AY30" s="629"/>
      <c r="AZ30" s="629"/>
      <c r="BA30" s="630"/>
    </row>
    <row r="31" spans="1:57"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4"/>
      <c r="AW31" s="631"/>
      <c r="AX31" s="632"/>
      <c r="AY31" s="632"/>
      <c r="AZ31" s="632"/>
      <c r="BA31" s="633"/>
    </row>
    <row r="32" spans="1:57" ht="12.75" customHeight="1" x14ac:dyDescent="0.2">
      <c r="B32" s="60"/>
      <c r="C32" s="111"/>
      <c r="D32" s="82"/>
      <c r="E32" s="82"/>
      <c r="F32" s="82"/>
      <c r="G32" s="82"/>
      <c r="H32" s="82"/>
      <c r="I32" s="82"/>
      <c r="J32" s="82"/>
      <c r="K32" s="82"/>
      <c r="L32" s="82"/>
      <c r="M32" s="82"/>
      <c r="N32" s="82"/>
      <c r="O32" s="82"/>
      <c r="P32" s="82"/>
      <c r="Q32" s="82"/>
      <c r="R32" s="82"/>
      <c r="S32" s="82"/>
      <c r="T32" s="82"/>
      <c r="U32" s="82"/>
      <c r="V32" s="82"/>
      <c r="W32" s="82"/>
      <c r="X32" s="82"/>
      <c r="Y32" s="82"/>
      <c r="Z32" s="82"/>
      <c r="AA32" s="82"/>
      <c r="AB32" s="113"/>
      <c r="AC32" s="61"/>
      <c r="AD32" s="111"/>
      <c r="AE32" s="120" t="str">
        <f>'Sprachen &amp; Rückgabewerte(5)'!$H$134</f>
        <v>Features</v>
      </c>
      <c r="AF32" s="120"/>
      <c r="AG32" s="82"/>
      <c r="AH32" s="82"/>
      <c r="AI32" s="82"/>
      <c r="AJ32" s="82"/>
      <c r="AK32" s="82"/>
      <c r="AL32" s="82"/>
      <c r="AM32" s="138"/>
      <c r="AN32" s="82"/>
      <c r="AO32" s="82"/>
      <c r="AP32" s="82"/>
      <c r="AQ32" s="82"/>
      <c r="AR32" s="82"/>
      <c r="AS32" s="82"/>
      <c r="AT32" s="113"/>
      <c r="AU32" s="205"/>
      <c r="AV32" s="113"/>
      <c r="AW32" s="631"/>
      <c r="AX32" s="632"/>
      <c r="AY32" s="632"/>
      <c r="AZ32" s="632"/>
      <c r="BA32" s="633"/>
    </row>
    <row r="33" spans="2:53" ht="12.75" customHeight="1" x14ac:dyDescent="0.2">
      <c r="B33" s="60"/>
      <c r="C33" s="60"/>
      <c r="D33" s="72"/>
      <c r="E33" s="428"/>
      <c r="F33" s="426" t="str">
        <f>'Sprachen &amp; Rückgabewerte(5)'!$H$13</f>
        <v>Teilung Achsmasse</v>
      </c>
      <c r="G33" s="72"/>
      <c r="H33" s="72"/>
      <c r="I33" s="72"/>
      <c r="J33" s="72"/>
      <c r="K33" s="72"/>
      <c r="L33" s="72"/>
      <c r="M33" s="72"/>
      <c r="N33" s="72"/>
      <c r="O33" s="72"/>
      <c r="P33" s="72"/>
      <c r="Q33" s="72"/>
      <c r="R33" s="72"/>
      <c r="S33" s="72"/>
      <c r="T33" s="72"/>
      <c r="U33" s="72"/>
      <c r="V33" s="72"/>
      <c r="W33" s="72"/>
      <c r="X33" s="72"/>
      <c r="Y33" s="72"/>
      <c r="Z33" s="72"/>
      <c r="AA33" s="72"/>
      <c r="AB33" s="122"/>
      <c r="AC33" s="72"/>
      <c r="AD33" s="121"/>
      <c r="AE33" s="72"/>
      <c r="AF33" s="72" t="str">
        <f>'Sprachen &amp; Rückgabewerte(5)'!$H$15</f>
        <v>Standard</v>
      </c>
      <c r="AH33" s="72"/>
      <c r="AI33" s="72"/>
      <c r="AJ33" s="72"/>
      <c r="AK33" s="72"/>
      <c r="AL33" s="72"/>
      <c r="AM33" s="72"/>
      <c r="AN33" s="428"/>
      <c r="AO33" s="61"/>
      <c r="AP33" s="72" t="str">
        <f>'Sprachen &amp; Rückgabewerte(5)'!$H$25</f>
        <v>Pool</v>
      </c>
      <c r="AQ33" s="72"/>
      <c r="AR33" s="72"/>
      <c r="AS33" s="426"/>
      <c r="AT33" s="114"/>
      <c r="AU33" s="114"/>
      <c r="AW33" s="191" t="str">
        <f>IF(AND(F$10&gt;0,'Sprachen &amp; Rückgabewerte(5)'!$I$19=TRUE),CONCATENATE("Pos. ",'Pos. 5'!$B$2,".1"),"")</f>
        <v/>
      </c>
      <c r="AX33" s="729" t="s">
        <v>600</v>
      </c>
      <c r="AY33" s="730"/>
      <c r="AZ33" s="190"/>
      <c r="BA33" s="192"/>
    </row>
    <row r="34" spans="2:53" ht="12.75" customHeight="1" x14ac:dyDescent="0.2">
      <c r="B34" s="60"/>
      <c r="C34" s="60"/>
      <c r="D34" s="72"/>
      <c r="E34" s="428"/>
      <c r="F34" s="73" t="str">
        <f>'Sprachen &amp; Rückgabewerte(5)'!$H$14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22"/>
      <c r="AC34" s="72"/>
      <c r="AD34" s="121"/>
      <c r="AE34" s="72"/>
      <c r="AF34" s="72" t="str">
        <f>'Sprachen &amp; Rückgabewerte(5)'!$H$16</f>
        <v>Einbruchschutz RC2</v>
      </c>
      <c r="AH34" s="72"/>
      <c r="AI34" s="72"/>
      <c r="AJ34" s="72"/>
      <c r="AK34" s="72"/>
      <c r="AL34" s="72"/>
      <c r="AM34" s="72"/>
      <c r="AN34" s="428"/>
      <c r="AO34" s="72"/>
      <c r="AP34" s="72" t="str">
        <f>'Sprachen &amp; Rückgabewerte(5)'!H125</f>
        <v>NFRC (USA)</v>
      </c>
      <c r="AQ34" s="72"/>
      <c r="AR34" s="72"/>
      <c r="AS34" s="426"/>
      <c r="AT34" s="114"/>
      <c r="AU34" s="114"/>
      <c r="AW34" s="191" t="str">
        <f>IF(AND(J10&gt;0,'Sprachen &amp; Rückgabewerte(5)'!$I$19=TRUE),CONCATENATE("Pos. ",'Pos. 5'!$B$2,".2"),"")</f>
        <v/>
      </c>
      <c r="AX34" s="729"/>
      <c r="AY34" s="730"/>
      <c r="AZ34" s="190"/>
      <c r="BA34" s="192"/>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22"/>
      <c r="AC35" s="72"/>
      <c r="AD35" s="121"/>
      <c r="AE35" s="72"/>
      <c r="AF35" s="72" t="str">
        <f>'Sprachen &amp; Rückgabewerte(5)'!$H$17</f>
        <v>Positionsüberwachung (P)</v>
      </c>
      <c r="AH35" s="72"/>
      <c r="AI35" s="72"/>
      <c r="AJ35" s="72"/>
      <c r="AK35" s="72"/>
      <c r="AL35" s="72"/>
      <c r="AM35" s="72"/>
      <c r="AN35" s="428"/>
      <c r="AO35" s="72"/>
      <c r="AP35" s="72"/>
      <c r="AQ35" s="72"/>
      <c r="AR35" s="72"/>
      <c r="AS35" s="74"/>
      <c r="AT35" s="114"/>
      <c r="AU35" s="114"/>
      <c r="AW35" s="191" t="str">
        <f>IF(AND(N10&gt;0,'Sprachen &amp; Rückgabewerte(5)'!$I$19=TRUE),CONCATENATE("Pos. ",'Pos. 5'!$B$2,".3"),"")</f>
        <v/>
      </c>
      <c r="AX35" s="729"/>
      <c r="AY35" s="730"/>
      <c r="AZ35" s="190"/>
      <c r="BA35" s="192"/>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22"/>
      <c r="AC36" s="72"/>
      <c r="AD36" s="121"/>
      <c r="AE36" s="72"/>
      <c r="AF36" s="72" t="str">
        <f>'Sprachen &amp; Rückgabewerte(5)'!$H$18</f>
        <v xml:space="preserve">Riegelüberwachung (R) </v>
      </c>
      <c r="AH36" s="72"/>
      <c r="AI36" s="72"/>
      <c r="AJ36" s="72"/>
      <c r="AK36" s="72"/>
      <c r="AL36" s="72"/>
      <c r="AM36" s="72"/>
      <c r="AN36" s="428"/>
      <c r="AO36" s="72"/>
      <c r="AP36" s="72"/>
      <c r="AQ36" s="72"/>
      <c r="AR36" s="72"/>
      <c r="AS36" s="74"/>
      <c r="AT36" s="114"/>
      <c r="AU36" s="114"/>
      <c r="AW36" s="191" t="str">
        <f>IF(AND(R10&gt;0,'Sprachen &amp; Rückgabewerte(5)'!$I$19=TRUE),CONCATENATE("Pos. ",'Pos. 5'!$B$2,".4"),"")</f>
        <v/>
      </c>
      <c r="AX36" s="729"/>
      <c r="AY36" s="730"/>
      <c r="AZ36" s="190"/>
      <c r="BA36" s="192"/>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22"/>
      <c r="AC37" s="72"/>
      <c r="AD37" s="121"/>
      <c r="AE37" s="72"/>
      <c r="AF37" s="72" t="str">
        <f>'Sprachen &amp; Rückgabewerte(5)'!$H$19</f>
        <v>Glasbruchüberwachung (G)</v>
      </c>
      <c r="AH37" s="72"/>
      <c r="AI37" s="72"/>
      <c r="AJ37" s="72"/>
      <c r="AK37" s="72"/>
      <c r="AL37" s="72"/>
      <c r="AM37" s="72"/>
      <c r="AN37" s="428"/>
      <c r="AO37" s="72"/>
      <c r="AP37" s="72"/>
      <c r="AQ37" s="72"/>
      <c r="AR37" s="72"/>
      <c r="AS37" s="74"/>
      <c r="AT37" s="114"/>
      <c r="AU37" s="114"/>
      <c r="AW37" s="191" t="str">
        <f>IF(AND(V10&gt;0,'Sprachen &amp; Rückgabewerte(5)'!$I$19=TRUE),CONCATENATE("Pos. ",'Pos. 5'!$B$2,".5"),"")</f>
        <v/>
      </c>
      <c r="AX37" s="729"/>
      <c r="AY37" s="730"/>
      <c r="AZ37" s="190"/>
      <c r="BA37" s="192"/>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22"/>
      <c r="AC38" s="72"/>
      <c r="AD38" s="121"/>
      <c r="AE38" s="72"/>
      <c r="AF38" s="607" t="str">
        <f>'Sprachen &amp; Rückgabewerte(5)'!$H$20</f>
        <v>Elektrischer Antrieb, Anzahl</v>
      </c>
      <c r="AG38" s="607"/>
      <c r="AH38" s="607"/>
      <c r="AI38" s="607"/>
      <c r="AJ38" s="607"/>
      <c r="AK38" s="607"/>
      <c r="AL38" s="607"/>
      <c r="AM38" s="636">
        <f>IF('Sprachen &amp; Rückgabewerte(5)'!I20=FALSE,0,COUNTIF(F13:AQ19,"E"))</f>
        <v>0</v>
      </c>
      <c r="AN38" s="636"/>
      <c r="AO38" s="72" t="str">
        <f>'Sprachen &amp; Rückgabewerte(5)'!$H$21</f>
        <v>Stk.</v>
      </c>
      <c r="AQ38" s="72"/>
      <c r="AR38" s="72"/>
      <c r="AS38" s="426"/>
      <c r="AT38" s="114"/>
      <c r="AU38" s="114"/>
      <c r="AW38" s="191" t="str">
        <f>IF(AND(Z10&gt;0,'Sprachen &amp; Rückgabewerte(5)'!$I$19=TRUE),CONCATENATE("Pos. ",'Pos. 5'!$B$2,".6"),"")</f>
        <v/>
      </c>
      <c r="AX38" s="729"/>
      <c r="AY38" s="730"/>
      <c r="AZ38" s="61"/>
      <c r="BA38" s="114"/>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22"/>
      <c r="AC39" s="72"/>
      <c r="AD39" s="121"/>
      <c r="AE39" s="72"/>
      <c r="AF39" s="72" t="str">
        <f>'Sprachen &amp; Rückgabewerte(5)'!$H$22</f>
        <v>geforderte Klassen:</v>
      </c>
      <c r="AH39" s="72"/>
      <c r="AI39" s="72"/>
      <c r="AJ39" s="72"/>
      <c r="AK39" s="72"/>
      <c r="AL39" s="667"/>
      <c r="AM39" s="668"/>
      <c r="AN39" s="668"/>
      <c r="AO39" s="668"/>
      <c r="AP39" s="668"/>
      <c r="AQ39" s="668"/>
      <c r="AR39" s="668"/>
      <c r="AS39" s="669"/>
      <c r="AT39" s="114"/>
      <c r="AU39" s="114"/>
      <c r="AW39" s="191" t="str">
        <f>IF(AND(AD10&gt;0,'Sprachen &amp; Rückgabewerte(5)'!$I$19=TRUE),CONCATENATE("Pos. ",'Pos. 5'!$B$2,".7"),"")</f>
        <v/>
      </c>
      <c r="AX39" s="729"/>
      <c r="AY39" s="730"/>
      <c r="AZ39" s="61"/>
      <c r="BA39" s="114"/>
    </row>
    <row r="40" spans="2:53" ht="12.75" customHeight="1" x14ac:dyDescent="0.2">
      <c r="B40" s="60"/>
      <c r="C40" s="60"/>
      <c r="D40" s="72"/>
      <c r="E40" s="427"/>
      <c r="F40" s="73" t="str">
        <f>'Sprachen &amp; Rückgabewerte(5)'!H30</f>
        <v>nach rechts</v>
      </c>
      <c r="G40" s="72"/>
      <c r="H40" s="72"/>
      <c r="I40" s="72"/>
      <c r="J40" s="72"/>
      <c r="K40" s="72"/>
      <c r="L40" s="72"/>
      <c r="M40" s="72"/>
      <c r="N40" s="75" t="str">
        <f>'Sprachen &amp; Rückgabewerte(5)'!H31</f>
        <v>nach links</v>
      </c>
      <c r="O40" s="427"/>
      <c r="P40" s="75"/>
      <c r="Q40" s="428"/>
      <c r="R40" s="72"/>
      <c r="S40" s="72"/>
      <c r="T40" s="72"/>
      <c r="U40" s="72"/>
      <c r="V40" s="72"/>
      <c r="W40" s="72"/>
      <c r="X40" s="72"/>
      <c r="Y40" s="72"/>
      <c r="Z40" s="578" t="s">
        <v>179</v>
      </c>
      <c r="AA40" s="72"/>
      <c r="AB40" s="122"/>
      <c r="AC40" s="72"/>
      <c r="AD40" s="123"/>
      <c r="AE40" s="124"/>
      <c r="AF40" s="124"/>
      <c r="AG40" s="666"/>
      <c r="AH40" s="666"/>
      <c r="AI40" s="666"/>
      <c r="AJ40" s="666"/>
      <c r="AK40" s="666"/>
      <c r="AL40" s="666"/>
      <c r="AM40" s="666"/>
      <c r="AN40" s="666"/>
      <c r="AO40" s="666"/>
      <c r="AP40" s="666"/>
      <c r="AQ40" s="666"/>
      <c r="AR40" s="666"/>
      <c r="AS40" s="124"/>
      <c r="AT40" s="115"/>
      <c r="AU40" s="114"/>
      <c r="AW40" s="191" t="str">
        <f>IF(AND(AH10&gt;0,'Sprachen &amp; Rückgabewerte(5)'!$I$19=TRUE),CONCATENATE("Pos. ",'Pos. 5'!$B$2,".8"),"")</f>
        <v/>
      </c>
      <c r="AX40" s="729"/>
      <c r="AY40" s="730"/>
      <c r="AZ40" s="61"/>
      <c r="BA40" s="114"/>
    </row>
    <row r="41" spans="2:53" ht="12.75" customHeight="1" x14ac:dyDescent="0.2">
      <c r="B41" s="60"/>
      <c r="C41" s="60"/>
      <c r="D41" s="72"/>
      <c r="E41" s="427"/>
      <c r="F41" s="73"/>
      <c r="G41" s="72"/>
      <c r="H41" s="72"/>
      <c r="I41" s="72"/>
      <c r="J41" s="72"/>
      <c r="K41" s="72"/>
      <c r="L41" s="72"/>
      <c r="M41" s="72"/>
      <c r="N41" s="75"/>
      <c r="O41" s="427"/>
      <c r="P41" s="75"/>
      <c r="Q41" s="428"/>
      <c r="R41" s="72"/>
      <c r="S41" s="72"/>
      <c r="T41" s="72"/>
      <c r="U41" s="72"/>
      <c r="V41" s="72"/>
      <c r="W41" s="72"/>
      <c r="X41" s="72"/>
      <c r="Y41" s="72"/>
      <c r="Z41" s="579"/>
      <c r="AA41" s="72"/>
      <c r="AB41" s="122"/>
      <c r="AC41" s="72"/>
      <c r="AD41" s="72"/>
      <c r="AE41" s="72"/>
      <c r="AF41" s="72"/>
      <c r="AG41" s="76"/>
      <c r="AH41" s="76"/>
      <c r="AI41" s="76"/>
      <c r="AJ41" s="76"/>
      <c r="AK41" s="76"/>
      <c r="AL41" s="76"/>
      <c r="AM41" s="76"/>
      <c r="AN41" s="76"/>
      <c r="AO41" s="76"/>
      <c r="AP41" s="76"/>
      <c r="AQ41" s="76"/>
      <c r="AR41" s="76"/>
      <c r="AS41" s="72"/>
      <c r="AT41" s="61"/>
      <c r="AU41" s="114"/>
      <c r="AW41" s="191" t="str">
        <f>IF(AND(AL10&gt;0,'Sprachen &amp; Rückgabewerte(5)'!$I$19=TRUE),CONCATENATE("Pos. ",'Pos. 5'!$B$2,".9"),"")</f>
        <v/>
      </c>
      <c r="AX41" s="729"/>
      <c r="AY41" s="730"/>
      <c r="AZ41" s="61"/>
      <c r="BA41" s="114"/>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63"/>
      <c r="AA42" s="72"/>
      <c r="AB42" s="122"/>
      <c r="AC42" s="77"/>
      <c r="AD42" s="118"/>
      <c r="AE42" s="120" t="str">
        <f>'Sprachen &amp; Rückgabewerte(5)'!$H$35</f>
        <v>Oberfläche:</v>
      </c>
      <c r="AF42" s="120"/>
      <c r="AG42" s="119"/>
      <c r="AH42" s="119"/>
      <c r="AI42" s="119"/>
      <c r="AJ42" s="119"/>
      <c r="AK42" s="119"/>
      <c r="AL42" s="119"/>
      <c r="AM42" s="139"/>
      <c r="AN42" s="119"/>
      <c r="AO42" s="119"/>
      <c r="AP42" s="119"/>
      <c r="AQ42" s="119"/>
      <c r="AR42" s="119"/>
      <c r="AS42" s="119"/>
      <c r="AT42" s="113"/>
      <c r="AU42" s="114"/>
      <c r="AW42" s="191" t="str">
        <f>IF(AND(AP10&gt;0,'Sprachen &amp; Rückgabewerte(5)'!$I$19=TRUE),CONCATENATE("Pos. ",'Pos. 5'!$B$2,".10"),"")</f>
        <v/>
      </c>
      <c r="AX42" s="729"/>
      <c r="AY42" s="730"/>
      <c r="AZ42" s="61"/>
      <c r="BA42" s="114"/>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64"/>
      <c r="AA43" s="72"/>
      <c r="AB43" s="122"/>
      <c r="AC43" s="77"/>
      <c r="AD43" s="121"/>
      <c r="AE43" s="72"/>
      <c r="AF43" s="180" t="str">
        <f>'Sprachen &amp; Rückgabewerte(5)'!H36</f>
        <v>eloxiert (Qualanod):</v>
      </c>
      <c r="AG43" s="72"/>
      <c r="AH43" s="72"/>
      <c r="AI43" s="72"/>
      <c r="AJ43" s="72"/>
      <c r="AK43" s="72"/>
      <c r="AL43" s="72"/>
      <c r="AM43" s="627"/>
      <c r="AN43" s="627"/>
      <c r="AO43" s="627"/>
      <c r="AP43" s="627"/>
      <c r="AQ43" s="627"/>
      <c r="AR43" s="627"/>
      <c r="AS43" s="627"/>
      <c r="AT43" s="114"/>
      <c r="AU43" s="114"/>
      <c r="AW43" s="206">
        <f>COUNTBLANK(AW33:AW42)</f>
        <v>10</v>
      </c>
      <c r="AX43" s="207">
        <f>COUNTBLANK(AX33:AX42)</f>
        <v>9</v>
      </c>
      <c r="AY43" s="207">
        <f>AW43-AX43</f>
        <v>1</v>
      </c>
      <c r="AZ43" s="84"/>
      <c r="BA43" s="115"/>
    </row>
    <row r="44" spans="2:53" ht="12.75" customHeight="1" x14ac:dyDescent="0.2">
      <c r="B44" s="60"/>
      <c r="C44" s="60"/>
      <c r="D44" s="72"/>
      <c r="E44" s="72"/>
      <c r="F44" s="72"/>
      <c r="G44" s="72"/>
      <c r="H44" s="72"/>
      <c r="I44" s="72"/>
      <c r="J44" s="72"/>
      <c r="K44" s="72"/>
      <c r="L44" s="72"/>
      <c r="M44" s="72"/>
      <c r="N44" s="72"/>
      <c r="O44" s="72"/>
      <c r="P44" s="670" t="str">
        <f>'Sprachen &amp; Rückgabewerte(5)'!$H$33</f>
        <v>Griffhöhe:</v>
      </c>
      <c r="Q44" s="670"/>
      <c r="R44" s="670"/>
      <c r="S44" s="670"/>
      <c r="T44" s="72"/>
      <c r="U44" s="72"/>
      <c r="V44" s="72"/>
      <c r="W44" s="72"/>
      <c r="X44" s="72"/>
      <c r="Y44" s="72"/>
      <c r="Z44" s="664"/>
      <c r="AA44" s="72"/>
      <c r="AB44" s="122"/>
      <c r="AC44" s="77"/>
      <c r="AD44" s="121"/>
      <c r="AE44" s="72"/>
      <c r="AF44" s="428"/>
      <c r="AG44" s="73"/>
      <c r="AH44" s="72"/>
      <c r="AI44" s="72"/>
      <c r="AJ44" s="72"/>
      <c r="AK44" s="72"/>
      <c r="AL44" s="72"/>
      <c r="AM44" s="426"/>
      <c r="AN44" s="428"/>
      <c r="AO44" s="616"/>
      <c r="AP44" s="616"/>
      <c r="AQ44" s="616"/>
      <c r="AR44" s="616"/>
      <c r="AS44" s="616"/>
      <c r="AT44" s="114"/>
      <c r="AU44" s="114"/>
    </row>
    <row r="45" spans="2:53" ht="12.75" customHeight="1" x14ac:dyDescent="0.2">
      <c r="B45" s="60"/>
      <c r="C45" s="60"/>
      <c r="D45" s="72"/>
      <c r="E45" s="72"/>
      <c r="F45" s="72"/>
      <c r="G45" s="72"/>
      <c r="H45" s="72"/>
      <c r="I45" s="72"/>
      <c r="J45" s="72"/>
      <c r="K45" s="72"/>
      <c r="L45" s="72"/>
      <c r="M45" s="72"/>
      <c r="N45" s="72"/>
      <c r="O45" s="72"/>
      <c r="P45" s="670"/>
      <c r="Q45" s="670"/>
      <c r="R45" s="670"/>
      <c r="S45" s="670"/>
      <c r="T45" s="671"/>
      <c r="U45" s="672"/>
      <c r="V45" s="73" t="s">
        <v>179</v>
      </c>
      <c r="W45" s="72"/>
      <c r="X45" s="72"/>
      <c r="Y45" s="72"/>
      <c r="Z45" s="665"/>
      <c r="AA45" s="72"/>
      <c r="AB45" s="122"/>
      <c r="AC45" s="77"/>
      <c r="AD45" s="121"/>
      <c r="AE45" s="72"/>
      <c r="AF45" s="426" t="str">
        <f>'Sprachen &amp; Rückgabewerte(5)'!$H$39</f>
        <v>pulverbeschichtet:</v>
      </c>
      <c r="AG45" s="152"/>
      <c r="AH45" s="152"/>
      <c r="AI45" s="152"/>
      <c r="AJ45" s="152"/>
      <c r="AK45" s="152"/>
      <c r="AL45" s="152"/>
      <c r="AM45" s="601"/>
      <c r="AN45" s="602"/>
      <c r="AO45" s="602"/>
      <c r="AP45" s="602"/>
      <c r="AQ45" s="602"/>
      <c r="AR45" s="602"/>
      <c r="AS45" s="603"/>
      <c r="AT45" s="114"/>
      <c r="AU45" s="205"/>
      <c r="AV45" s="113"/>
      <c r="AW45" s="111"/>
      <c r="AX45" s="113"/>
    </row>
    <row r="46" spans="2:53" ht="12.75" customHeight="1" x14ac:dyDescent="0.2">
      <c r="B46" s="60"/>
      <c r="C46" s="60"/>
      <c r="D46" s="72"/>
      <c r="E46" s="72"/>
      <c r="F46" s="72"/>
      <c r="G46" s="72"/>
      <c r="H46" s="72"/>
      <c r="I46" s="609"/>
      <c r="J46" s="609"/>
      <c r="K46" s="609"/>
      <c r="L46" s="163" t="s">
        <v>193</v>
      </c>
      <c r="M46" s="72"/>
      <c r="N46" s="72"/>
      <c r="O46" s="72"/>
      <c r="P46" s="72"/>
      <c r="Q46" s="72"/>
      <c r="R46" s="72"/>
      <c r="S46" s="72"/>
      <c r="T46" s="72"/>
      <c r="U46" s="72"/>
      <c r="V46" s="72"/>
      <c r="W46" s="72"/>
      <c r="X46" s="72"/>
      <c r="Y46" s="72"/>
      <c r="Z46" s="592" t="str">
        <f>'Sprachen &amp; Rückgabewerte(5)'!$H$34</f>
        <v xml:space="preserve">Höhe = </v>
      </c>
      <c r="AA46" s="72"/>
      <c r="AB46" s="122"/>
      <c r="AC46" s="77"/>
      <c r="AD46" s="121"/>
      <c r="AE46" s="72"/>
      <c r="AF46" s="426" t="str">
        <f>'Sprachen &amp; Rückgabewerte(5)'!$H$40</f>
        <v>Vorbehandlung:</v>
      </c>
      <c r="AG46" s="72"/>
      <c r="AH46" s="72"/>
      <c r="AI46" s="72"/>
      <c r="AJ46" s="72"/>
      <c r="AK46" s="72"/>
      <c r="AL46" s="72"/>
      <c r="AM46" s="658"/>
      <c r="AN46" s="659"/>
      <c r="AO46" s="659"/>
      <c r="AP46" s="659"/>
      <c r="AQ46" s="659"/>
      <c r="AR46" s="659"/>
      <c r="AS46" s="660"/>
      <c r="AT46" s="114"/>
      <c r="AU46" s="114"/>
      <c r="AW46" s="237" t="str">
        <f>'Sprachen &amp; Rückgabewerte(5)'!$H$150</f>
        <v>Farbe Panele:</v>
      </c>
      <c r="AX46" s="114"/>
    </row>
    <row r="47" spans="2:53" ht="12.75" customHeight="1" x14ac:dyDescent="0.2">
      <c r="B47" s="60"/>
      <c r="C47" s="60"/>
      <c r="D47" s="72"/>
      <c r="E47" s="72"/>
      <c r="F47" s="72"/>
      <c r="G47" s="72"/>
      <c r="H47" s="72"/>
      <c r="I47" s="609"/>
      <c r="J47" s="609"/>
      <c r="K47" s="609"/>
      <c r="L47" s="163" t="s">
        <v>193</v>
      </c>
      <c r="M47" s="72"/>
      <c r="N47" s="72"/>
      <c r="O47" s="427"/>
      <c r="P47" s="72"/>
      <c r="Q47" s="72"/>
      <c r="R47" s="72"/>
      <c r="S47" s="72"/>
      <c r="T47" s="72"/>
      <c r="U47" s="72"/>
      <c r="V47" s="72"/>
      <c r="W47" s="72"/>
      <c r="X47" s="72"/>
      <c r="Y47" s="72"/>
      <c r="Z47" s="593"/>
      <c r="AA47" s="427"/>
      <c r="AB47" s="122"/>
      <c r="AC47" s="78"/>
      <c r="AD47" s="121"/>
      <c r="AE47" s="72"/>
      <c r="AF47" s="426" t="str">
        <f>'Sprachen &amp; Rückgabewerte(5)'!H176</f>
        <v>Pulverlack Klasse:</v>
      </c>
      <c r="AG47" s="72"/>
      <c r="AH47" s="72"/>
      <c r="AI47" s="72"/>
      <c r="AJ47" s="72"/>
      <c r="AK47" s="72"/>
      <c r="AL47" s="72"/>
      <c r="AM47" s="624"/>
      <c r="AN47" s="625"/>
      <c r="AO47" s="625"/>
      <c r="AP47" s="625"/>
      <c r="AQ47" s="625"/>
      <c r="AR47" s="625"/>
      <c r="AS47" s="626"/>
      <c r="AT47" s="114"/>
      <c r="AU47" s="114"/>
      <c r="AW47" s="60"/>
      <c r="AX47" s="114"/>
    </row>
    <row r="48" spans="2:53" ht="12.75" customHeight="1" x14ac:dyDescent="0.2">
      <c r="B48" s="60"/>
      <c r="C48" s="60"/>
      <c r="D48" s="72"/>
      <c r="E48" s="72"/>
      <c r="F48" s="72"/>
      <c r="G48" s="72"/>
      <c r="H48" s="72"/>
      <c r="I48" s="597"/>
      <c r="J48" s="597"/>
      <c r="K48" s="597"/>
      <c r="L48" s="163" t="s">
        <v>193</v>
      </c>
      <c r="M48" s="72"/>
      <c r="N48" s="72"/>
      <c r="O48" s="427"/>
      <c r="P48" s="72"/>
      <c r="Q48" s="72"/>
      <c r="R48" s="72"/>
      <c r="S48" s="72"/>
      <c r="T48" s="72"/>
      <c r="U48" s="72"/>
      <c r="V48" s="72"/>
      <c r="W48" s="72"/>
      <c r="X48" s="72"/>
      <c r="Y48" s="72"/>
      <c r="Z48" s="593"/>
      <c r="AA48" s="427"/>
      <c r="AB48" s="122"/>
      <c r="AC48" s="78"/>
      <c r="AD48" s="121"/>
      <c r="AE48" s="72"/>
      <c r="AF48" s="661" t="str">
        <f>'Sprachen &amp; Rückgabewerte(5)'!$H$91</f>
        <v>Farbe Laufschiene + Schraubenarretierungen:</v>
      </c>
      <c r="AG48" s="661"/>
      <c r="AH48" s="661"/>
      <c r="AI48" s="661"/>
      <c r="AJ48" s="661"/>
      <c r="AK48" s="661"/>
      <c r="AL48" s="661"/>
      <c r="AM48" s="61"/>
      <c r="AN48" s="61"/>
      <c r="AO48" s="426"/>
      <c r="AP48" s="72"/>
      <c r="AQ48" s="72"/>
      <c r="AR48" s="72"/>
      <c r="AS48" s="72"/>
      <c r="AT48" s="114"/>
      <c r="AU48" s="114"/>
      <c r="AW48" s="650"/>
      <c r="AX48" s="651"/>
    </row>
    <row r="49" spans="2:50" ht="12.75" customHeight="1" x14ac:dyDescent="0.2">
      <c r="B49" s="60"/>
      <c r="C49" s="60"/>
      <c r="D49" s="72"/>
      <c r="E49" s="72"/>
      <c r="F49" s="72"/>
      <c r="G49" s="72"/>
      <c r="H49" s="75" t="str">
        <f>'Sprachen &amp; Rückgabewerte(5)'!$H$32</f>
        <v>Breite =</v>
      </c>
      <c r="I49" s="594"/>
      <c r="J49" s="595"/>
      <c r="K49" s="596"/>
      <c r="L49" s="73" t="s">
        <v>179</v>
      </c>
      <c r="M49" s="72"/>
      <c r="N49" s="72"/>
      <c r="O49" s="427"/>
      <c r="P49" s="72"/>
      <c r="Q49" s="72"/>
      <c r="R49" s="72"/>
      <c r="S49" s="72"/>
      <c r="T49" s="72"/>
      <c r="U49" s="72"/>
      <c r="V49" s="72"/>
      <c r="W49" s="72"/>
      <c r="X49" s="72"/>
      <c r="Y49" s="72"/>
      <c r="Z49" s="593"/>
      <c r="AA49" s="427"/>
      <c r="AB49" s="122"/>
      <c r="AC49" s="78"/>
      <c r="AD49" s="121"/>
      <c r="AE49" s="72"/>
      <c r="AF49" s="661"/>
      <c r="AG49" s="661"/>
      <c r="AH49" s="661"/>
      <c r="AI49" s="661"/>
      <c r="AJ49" s="661"/>
      <c r="AK49" s="661"/>
      <c r="AL49" s="661"/>
      <c r="AM49" s="604"/>
      <c r="AN49" s="605"/>
      <c r="AO49" s="605"/>
      <c r="AP49" s="606"/>
      <c r="AQ49" s="72"/>
      <c r="AR49" s="72"/>
      <c r="AS49" s="72"/>
      <c r="AT49" s="114"/>
      <c r="AU49" s="114"/>
      <c r="AW49" s="68"/>
      <c r="AX49" s="115"/>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593"/>
      <c r="AA50" s="72"/>
      <c r="AB50" s="122"/>
      <c r="AC50" s="78"/>
      <c r="AD50" s="123"/>
      <c r="AE50" s="124"/>
      <c r="AF50" s="662"/>
      <c r="AG50" s="662"/>
      <c r="AH50" s="662"/>
      <c r="AI50" s="662"/>
      <c r="AJ50" s="662"/>
      <c r="AK50" s="662"/>
      <c r="AL50" s="662"/>
      <c r="AM50" s="140"/>
      <c r="AN50" s="124"/>
      <c r="AO50" s="124"/>
      <c r="AP50" s="124"/>
      <c r="AQ50" s="124"/>
      <c r="AR50" s="124"/>
      <c r="AS50" s="124"/>
      <c r="AT50" s="115"/>
      <c r="AU50" s="114"/>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593"/>
      <c r="AA51" s="72"/>
      <c r="AB51" s="122"/>
      <c r="AC51" s="78"/>
      <c r="AD51" s="72"/>
      <c r="AE51" s="72"/>
      <c r="AF51" s="72"/>
      <c r="AG51" s="72"/>
      <c r="AH51" s="72"/>
      <c r="AI51" s="72"/>
      <c r="AJ51" s="72"/>
      <c r="AK51" s="72"/>
      <c r="AL51" s="72"/>
      <c r="AM51" s="426"/>
      <c r="AN51" s="72"/>
      <c r="AO51" s="72"/>
      <c r="AP51" s="72"/>
      <c r="AQ51" s="72"/>
      <c r="AR51" s="72"/>
      <c r="AS51" s="72"/>
      <c r="AT51" s="61"/>
      <c r="AU51" s="114"/>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593"/>
      <c r="AA52" s="72"/>
      <c r="AB52" s="122"/>
      <c r="AC52" s="78"/>
      <c r="AD52" s="118"/>
      <c r="AE52" s="120" t="str">
        <f>'Sprachen &amp; Rückgabewerte(5)'!$H$42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593"/>
      <c r="AA53" s="72"/>
      <c r="AB53" s="122"/>
      <c r="AC53" s="78"/>
      <c r="AD53" s="121"/>
      <c r="AE53" s="613"/>
      <c r="AF53" s="614"/>
      <c r="AG53" s="615"/>
      <c r="AH53" s="72" t="str">
        <f>'Sprachen &amp; Rückgabewerte(5)'!$W$1</f>
        <v>Ug=</v>
      </c>
      <c r="AI53" s="611">
        <f>LOOKUP($AE$53,'Sprachen &amp; Rückgabewerte(5)'!$V$3:$V$35,'Sprachen &amp; Rückgabewerte(5)'!W3:W35)</f>
        <v>0</v>
      </c>
      <c r="AJ53" s="611"/>
      <c r="AK53" s="612" t="str">
        <f>'Sprachen &amp; Rückgabewerte(5)'!$X$1</f>
        <v>Lt=</v>
      </c>
      <c r="AL53" s="612"/>
      <c r="AM53" s="610">
        <f>LOOKUP(AE53,'Sprachen &amp; Rückgabewerte(5)'!V3:V35,'Sprachen &amp; Rückgabewerte(5)'!X3:X35)</f>
        <v>0</v>
      </c>
      <c r="AN53" s="610"/>
      <c r="AO53" s="211" t="str">
        <f>'Sprachen &amp; Rückgabewerte(5)'!$Y$1</f>
        <v>g=</v>
      </c>
      <c r="AP53" s="610">
        <f>LOOKUP(AE53,'Sprachen &amp; Rückgabewerte(5)'!V3:V35,'Sprachen &amp; Rückgabewerte(5)'!Y3:Y35)</f>
        <v>0</v>
      </c>
      <c r="AQ53" s="610"/>
      <c r="AR53" s="72"/>
      <c r="AS53" s="72"/>
      <c r="AT53" s="114"/>
      <c r="AU53" s="114"/>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593"/>
      <c r="AA54" s="72"/>
      <c r="AB54" s="122"/>
      <c r="AC54" s="72"/>
      <c r="AD54" s="121"/>
      <c r="AE54" s="72"/>
      <c r="AF54" s="72"/>
      <c r="AG54" s="72"/>
      <c r="AH54" s="73" t="str">
        <f>IF(AT52=1,'Sprachen &amp; Rückgabewerte(5)'!H158,LOOKUP(AE53,'Sprachen &amp; Rückgabewerte(5)'!V3:V35,'Sprachen &amp; Rückgabewerte(5)'!Z3:Z35))</f>
        <v>Glastyp wählen</v>
      </c>
      <c r="AI54" s="72"/>
      <c r="AJ54" s="72"/>
      <c r="AK54" s="72"/>
      <c r="AL54" s="72"/>
      <c r="AM54" s="426"/>
      <c r="AN54" s="79"/>
      <c r="AO54" s="79"/>
      <c r="AP54" s="72"/>
      <c r="AQ54" s="72"/>
      <c r="AR54" s="72"/>
      <c r="AS54" s="72"/>
      <c r="AT54" s="114"/>
      <c r="AU54" s="114"/>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22"/>
      <c r="AC55" s="72"/>
      <c r="AD55" s="121"/>
      <c r="AE55" s="607" t="str">
        <f>'Sprachen &amp; Rückgabewerte(5)'!$H$94</f>
        <v>Druckausgleichsventile :</v>
      </c>
      <c r="AF55" s="607"/>
      <c r="AG55" s="607"/>
      <c r="AH55" s="607"/>
      <c r="AI55" s="607"/>
      <c r="AJ55" s="607"/>
      <c r="AK55" s="607"/>
      <c r="AL55" s="607"/>
      <c r="AM55" s="607"/>
      <c r="AN55" s="608"/>
      <c r="AO55" s="549"/>
      <c r="AP55" s="550"/>
      <c r="AQ55" s="72"/>
      <c r="AR55" s="80" t="s">
        <v>379</v>
      </c>
      <c r="AS55" s="72"/>
      <c r="AT55" s="114"/>
      <c r="AU55" s="114"/>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22"/>
      <c r="AC56" s="72"/>
      <c r="AD56" s="121"/>
      <c r="AE56" s="72"/>
      <c r="AF56" s="132" t="str">
        <f>'Sprachen &amp; Rückgabewerte(5)'!$H$43</f>
        <v>Swisspacer-U schwarz</v>
      </c>
      <c r="AG56" s="72"/>
      <c r="AH56" s="72"/>
      <c r="AI56" s="72"/>
      <c r="AJ56" s="72"/>
      <c r="AK56" s="72"/>
      <c r="AL56" s="72"/>
      <c r="AM56" s="72"/>
      <c r="AN56" s="132" t="str">
        <f>'Sprachen &amp; Rückgabewerte(5)'!$H$44</f>
        <v>Swisspacer-U grau</v>
      </c>
      <c r="AQ56" s="72"/>
      <c r="AS56" s="80"/>
      <c r="AT56" s="114"/>
      <c r="AU56" s="114"/>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22"/>
      <c r="AC57" s="72"/>
      <c r="AD57" s="121"/>
      <c r="AE57" s="72"/>
      <c r="AF57" s="132" t="str">
        <f>'Sprachen &amp; Rückgabewerte(5)'!$H$45</f>
        <v>Speziell:</v>
      </c>
      <c r="AG57" s="72"/>
      <c r="AH57" s="72"/>
      <c r="AI57" s="621"/>
      <c r="AJ57" s="622"/>
      <c r="AK57" s="622"/>
      <c r="AL57" s="622"/>
      <c r="AM57" s="622"/>
      <c r="AN57" s="622"/>
      <c r="AO57" s="622"/>
      <c r="AP57" s="622"/>
      <c r="AQ57" s="622"/>
      <c r="AR57" s="622"/>
      <c r="AS57" s="623"/>
      <c r="AT57" s="114"/>
      <c r="AU57" s="114"/>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22"/>
      <c r="AC58" s="72"/>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60"/>
      <c r="C59" s="60"/>
      <c r="D59" s="72"/>
      <c r="E59" s="72"/>
      <c r="F59" s="72"/>
      <c r="G59" s="72"/>
      <c r="H59" s="72"/>
      <c r="I59" s="75"/>
      <c r="J59" s="73"/>
      <c r="K59" s="73"/>
      <c r="L59" s="73"/>
      <c r="M59" s="73"/>
      <c r="N59" s="73"/>
      <c r="O59" s="72"/>
      <c r="P59" s="72"/>
      <c r="Q59" s="72"/>
      <c r="R59" s="72"/>
      <c r="S59" s="72"/>
      <c r="T59" s="72"/>
      <c r="U59" s="72"/>
      <c r="V59" s="72"/>
      <c r="W59" s="72"/>
      <c r="X59" s="72"/>
      <c r="Y59" s="72"/>
      <c r="Z59" s="72"/>
      <c r="AA59" s="72"/>
      <c r="AB59" s="122"/>
      <c r="AC59" s="72"/>
      <c r="AD59" s="72"/>
      <c r="AE59" s="72"/>
      <c r="AF59" s="72"/>
      <c r="AG59" s="72"/>
      <c r="AH59" s="72"/>
      <c r="AI59" s="79"/>
      <c r="AJ59" s="79"/>
      <c r="AK59" s="79"/>
      <c r="AL59" s="79"/>
      <c r="AM59" s="79"/>
      <c r="AN59" s="79"/>
      <c r="AO59" s="79"/>
      <c r="AP59" s="79"/>
      <c r="AQ59" s="79"/>
      <c r="AR59" s="79"/>
      <c r="AS59" s="79"/>
      <c r="AT59" s="61"/>
      <c r="AU59" s="114"/>
    </row>
    <row r="60" spans="2:50" ht="12.75" customHeight="1" x14ac:dyDescent="0.2">
      <c r="B60" s="60"/>
      <c r="C60" s="68"/>
      <c r="D60" s="124"/>
      <c r="E60" s="124"/>
      <c r="F60" s="183" t="str">
        <f>'Sprachen &amp; Rückgabewerte(5)'!$H$110</f>
        <v>KABA (22)</v>
      </c>
      <c r="G60" s="124"/>
      <c r="H60" s="124"/>
      <c r="I60" s="124"/>
      <c r="J60" s="124"/>
      <c r="K60" s="124"/>
      <c r="L60" s="183" t="str">
        <f>'Sprachen &amp; Rückgabewerte(5)'!$H$111</f>
        <v>PZ / Euro (17)</v>
      </c>
      <c r="M60" s="124"/>
      <c r="N60" s="124"/>
      <c r="O60" s="124"/>
      <c r="P60" s="124"/>
      <c r="Q60" s="124"/>
      <c r="R60" s="124"/>
      <c r="S60" s="124"/>
      <c r="T60" s="124"/>
      <c r="U60" s="124"/>
      <c r="V60" s="124"/>
      <c r="W60" s="124"/>
      <c r="X60" s="124"/>
      <c r="Y60" s="124"/>
      <c r="Z60" s="124"/>
      <c r="AA60" s="154"/>
      <c r="AB60" s="125"/>
      <c r="AC60" s="72"/>
      <c r="AD60" s="118"/>
      <c r="AE60" s="120" t="str">
        <f>'Sprachen &amp; Rückgabewerte(5)'!$H$64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21"/>
      <c r="AE61" s="72"/>
      <c r="AF61" s="81"/>
      <c r="AG61" s="72"/>
      <c r="AH61" s="72"/>
      <c r="AI61" s="72"/>
      <c r="AJ61" s="72"/>
      <c r="AK61" s="72"/>
      <c r="AL61" s="72"/>
      <c r="AM61" s="426"/>
      <c r="AN61" s="72"/>
      <c r="AO61" s="72"/>
      <c r="AP61" s="72"/>
      <c r="AQ61" s="72"/>
      <c r="AR61" s="72"/>
      <c r="AS61" s="72"/>
      <c r="AT61" s="114"/>
      <c r="AU61" s="114"/>
    </row>
    <row r="62" spans="2:50" ht="12.75" customHeight="1" x14ac:dyDescent="0.2">
      <c r="B62" s="60"/>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28"/>
      <c r="AC62" s="72"/>
      <c r="AD62" s="121"/>
      <c r="AE62" s="72"/>
      <c r="AF62" s="81"/>
      <c r="AG62" s="72"/>
      <c r="AH62" s="72"/>
      <c r="AI62" s="72"/>
      <c r="AJ62" s="72"/>
      <c r="AK62" s="72"/>
      <c r="AL62" s="72"/>
      <c r="AM62" s="426"/>
      <c r="AN62" s="72"/>
      <c r="AO62" s="72"/>
      <c r="AP62" s="72"/>
      <c r="AQ62" s="72"/>
      <c r="AR62" s="72"/>
      <c r="AS62" s="72"/>
      <c r="AT62" s="114"/>
      <c r="AU62" s="114"/>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22"/>
      <c r="AC63" s="72"/>
      <c r="AD63" s="121"/>
      <c r="AE63" s="72"/>
      <c r="AF63" s="72"/>
      <c r="AG63" s="72"/>
      <c r="AH63" s="72"/>
      <c r="AI63" s="72"/>
      <c r="AJ63" s="72"/>
      <c r="AK63" s="72"/>
      <c r="AL63" s="72"/>
      <c r="AM63" s="426"/>
      <c r="AN63" s="72"/>
      <c r="AO63" s="72"/>
      <c r="AP63" s="72"/>
      <c r="AQ63" s="72"/>
      <c r="AR63" s="72"/>
      <c r="AS63" s="72"/>
      <c r="AT63" s="114"/>
      <c r="AU63" s="114"/>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22"/>
      <c r="AC64" s="72"/>
      <c r="AD64" s="121"/>
      <c r="AE64" s="72"/>
      <c r="AF64" s="72"/>
      <c r="AG64" s="72"/>
      <c r="AH64" s="72"/>
      <c r="AI64" s="72"/>
      <c r="AJ64" s="72"/>
      <c r="AK64" s="72"/>
      <c r="AL64" s="72"/>
      <c r="AM64" s="426"/>
      <c r="AN64" s="72"/>
      <c r="AO64" s="72"/>
      <c r="AP64" s="72"/>
      <c r="AQ64" s="72"/>
      <c r="AR64" s="72"/>
      <c r="AS64" s="72"/>
      <c r="AT64" s="114"/>
      <c r="AU64" s="114"/>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22"/>
      <c r="AC65" s="72"/>
      <c r="AD65" s="121"/>
      <c r="AE65" s="72"/>
      <c r="AF65" s="72"/>
      <c r="AG65" s="72"/>
      <c r="AH65" s="72"/>
      <c r="AI65" s="72"/>
      <c r="AJ65" s="72"/>
      <c r="AK65" s="72"/>
      <c r="AL65" s="72"/>
      <c r="AM65" s="72"/>
      <c r="AN65" s="72"/>
      <c r="AO65" s="72"/>
      <c r="AP65" s="72"/>
      <c r="AQ65" s="72"/>
      <c r="AR65" s="72"/>
      <c r="AS65" s="72"/>
      <c r="AT65" s="114"/>
      <c r="AU65" s="114"/>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22"/>
      <c r="AC66" s="72"/>
      <c r="AD66" s="121"/>
      <c r="AE66" s="72"/>
      <c r="AF66" s="72"/>
      <c r="AG66" s="72"/>
      <c r="AH66" s="72"/>
      <c r="AI66" s="72"/>
      <c r="AJ66" s="72"/>
      <c r="AK66" s="72"/>
      <c r="AL66" s="72"/>
      <c r="AM66" s="72"/>
      <c r="AN66" s="72"/>
      <c r="AO66" s="72"/>
      <c r="AP66" s="72"/>
      <c r="AQ66" s="72"/>
      <c r="AR66" s="72"/>
      <c r="AS66" s="72"/>
      <c r="AT66" s="114"/>
      <c r="AU66" s="114"/>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22"/>
      <c r="AC67" s="72"/>
      <c r="AD67" s="121"/>
      <c r="AE67" s="72"/>
      <c r="AF67" s="72"/>
      <c r="AG67" s="72"/>
      <c r="AH67" s="72"/>
      <c r="AI67" s="72"/>
      <c r="AJ67" s="72"/>
      <c r="AK67" s="72"/>
      <c r="AL67" s="72"/>
      <c r="AM67" s="72"/>
      <c r="AN67" s="72"/>
      <c r="AO67" s="72"/>
      <c r="AP67" s="72"/>
      <c r="AQ67" s="72"/>
      <c r="AR67" s="72"/>
      <c r="AS67" s="72"/>
      <c r="AT67" s="114"/>
      <c r="AU67" s="114"/>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22"/>
      <c r="AC68" s="72"/>
      <c r="AD68" s="121"/>
      <c r="AE68" s="72"/>
      <c r="AF68" s="72"/>
      <c r="AG68" s="72"/>
      <c r="AH68" s="72"/>
      <c r="AI68" s="72"/>
      <c r="AJ68" s="72"/>
      <c r="AK68" s="72"/>
      <c r="AL68" s="72"/>
      <c r="AM68" s="72"/>
      <c r="AN68" s="72"/>
      <c r="AO68" s="72"/>
      <c r="AP68" s="72"/>
      <c r="AQ68" s="72"/>
      <c r="AR68" s="72"/>
      <c r="AS68" s="72"/>
      <c r="AT68" s="114"/>
      <c r="AU68" s="114"/>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22"/>
      <c r="AC69" s="72"/>
      <c r="AD69" s="121"/>
      <c r="AE69" s="72"/>
      <c r="AF69" s="72"/>
      <c r="AG69" s="72"/>
      <c r="AH69" s="72"/>
      <c r="AI69" s="72"/>
      <c r="AJ69" s="72"/>
      <c r="AK69" s="72"/>
      <c r="AL69" s="72"/>
      <c r="AM69" s="72"/>
      <c r="AN69" s="72"/>
      <c r="AO69" s="72"/>
      <c r="AP69" s="72"/>
      <c r="AQ69" s="72"/>
      <c r="AR69" s="72"/>
      <c r="AS69" s="72"/>
      <c r="AT69" s="114"/>
      <c r="AU69" s="114"/>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22"/>
      <c r="AC70" s="72"/>
      <c r="AD70" s="121"/>
      <c r="AE70" s="598"/>
      <c r="AF70" s="599"/>
      <c r="AG70" s="599"/>
      <c r="AH70" s="599"/>
      <c r="AI70" s="599"/>
      <c r="AJ70" s="599"/>
      <c r="AK70" s="599"/>
      <c r="AL70" s="600"/>
      <c r="AM70" s="72"/>
      <c r="AN70" s="551"/>
      <c r="AO70" s="552"/>
      <c r="AP70" s="552"/>
      <c r="AQ70" s="552"/>
      <c r="AR70" s="552"/>
      <c r="AS70" s="553"/>
      <c r="AT70" s="114"/>
      <c r="AU70" s="114"/>
    </row>
    <row r="71" spans="2:50" ht="12.75" customHeight="1" x14ac:dyDescent="0.2">
      <c r="B71" s="60"/>
      <c r="C71" s="60"/>
      <c r="D71" s="72"/>
      <c r="E71" s="72"/>
      <c r="F71" s="73" t="str">
        <f>'Sprachen &amp; Rückgabewerte(5)'!$B$41</f>
        <v>120101/120101</v>
      </c>
      <c r="G71" s="72"/>
      <c r="H71" s="72"/>
      <c r="I71" s="72"/>
      <c r="J71" s="72"/>
      <c r="K71" s="72"/>
      <c r="L71" s="73" t="str">
        <f>'Sprachen &amp; Rückgabewerte(5)'!$B$42</f>
        <v>120101/120401</v>
      </c>
      <c r="M71" s="61"/>
      <c r="N71" s="72"/>
      <c r="O71" s="72"/>
      <c r="P71" s="72"/>
      <c r="Q71" s="72"/>
      <c r="R71" s="73" t="str">
        <f>'Sprachen &amp; Rückgabewerte(5)'!$B$43</f>
        <v>120401/120401</v>
      </c>
      <c r="S71" s="72"/>
      <c r="T71" s="72"/>
      <c r="U71" s="72"/>
      <c r="V71" s="72"/>
      <c r="W71" s="72"/>
      <c r="X71" s="73" t="str">
        <f>'Sprachen &amp; Rückgabewerte(5)'!$B$44</f>
        <v>121101/121101</v>
      </c>
      <c r="Y71" s="61"/>
      <c r="Z71" s="72"/>
      <c r="AA71" s="72"/>
      <c r="AB71" s="122"/>
      <c r="AC71" s="72"/>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60"/>
      <c r="C72" s="60"/>
      <c r="D72" s="72"/>
      <c r="E72" s="72"/>
      <c r="F72" s="695"/>
      <c r="G72" s="696"/>
      <c r="H72" s="696"/>
      <c r="I72" s="697"/>
      <c r="J72" s="72"/>
      <c r="K72" s="72"/>
      <c r="L72" s="695"/>
      <c r="M72" s="696"/>
      <c r="N72" s="696"/>
      <c r="O72" s="697"/>
      <c r="P72" s="72"/>
      <c r="Q72" s="72"/>
      <c r="R72" s="695"/>
      <c r="S72" s="696"/>
      <c r="T72" s="696"/>
      <c r="U72" s="697"/>
      <c r="V72" s="72"/>
      <c r="W72" s="72"/>
      <c r="X72" s="695"/>
      <c r="Y72" s="696"/>
      <c r="Z72" s="696"/>
      <c r="AA72" s="697"/>
      <c r="AB72" s="122"/>
      <c r="AC72" s="72"/>
      <c r="AD72" s="72"/>
      <c r="AE72" s="72"/>
      <c r="AF72" s="72"/>
      <c r="AG72" s="72"/>
      <c r="AH72" s="72"/>
      <c r="AI72" s="72"/>
      <c r="AJ72" s="72"/>
      <c r="AK72" s="72"/>
      <c r="AL72" s="72"/>
      <c r="AM72" s="72"/>
      <c r="AN72" s="72"/>
      <c r="AO72" s="72"/>
      <c r="AP72" s="72"/>
      <c r="AQ72" s="72"/>
      <c r="AR72" s="72"/>
      <c r="AS72" s="72"/>
      <c r="AT72" s="61"/>
      <c r="AU72" s="114"/>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329"/>
      <c r="AC73" s="72"/>
      <c r="AD73" s="118"/>
      <c r="AE73" s="120" t="str">
        <f>'Sprachen &amp; Rückgabewerte(5)'!$H$70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22"/>
      <c r="AC74" s="72"/>
      <c r="AD74" s="121"/>
      <c r="AE74" s="72"/>
      <c r="AF74" s="72" t="str">
        <f>'Sprachen &amp; Rückgabewerte(5)'!$H$71</f>
        <v>Universalschrauben (A2):</v>
      </c>
      <c r="AG74" s="72"/>
      <c r="AH74" s="72"/>
      <c r="AI74" s="72"/>
      <c r="AJ74" s="72"/>
      <c r="AK74" s="72"/>
      <c r="AL74" s="72"/>
      <c r="AM74" s="72" t="str">
        <f>'Sprachen &amp; Rückgabewerte(5)'!H72</f>
        <v>L=52mm</v>
      </c>
      <c r="AN74" s="379"/>
      <c r="AO74" s="381"/>
      <c r="AP74" s="382"/>
      <c r="AQ74" s="72" t="str">
        <f>'Sprachen &amp; Rückgabewerte(5)'!$H$180</f>
        <v>VE</v>
      </c>
      <c r="AR74" s="72"/>
      <c r="AS74" s="72"/>
      <c r="AT74" s="114"/>
      <c r="AU74" s="114"/>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22"/>
      <c r="AC75" s="72"/>
      <c r="AD75" s="121"/>
      <c r="AE75" s="72"/>
      <c r="AF75" s="72"/>
      <c r="AG75" s="79" t="str">
        <f>'Sprachen &amp; Rückgabewerte(5)'!H75</f>
        <v>(VE à 100 Stk.)</v>
      </c>
      <c r="AH75" s="72"/>
      <c r="AI75" s="72"/>
      <c r="AJ75" s="72"/>
      <c r="AK75" s="72"/>
      <c r="AL75" s="72"/>
      <c r="AM75" s="72" t="str">
        <f>'Sprachen &amp; Rückgabewerte(5)'!H73</f>
        <v>L=82mm</v>
      </c>
      <c r="AN75" s="380"/>
      <c r="AO75" s="381"/>
      <c r="AP75" s="382"/>
      <c r="AQ75" s="72" t="str">
        <f>'Sprachen &amp; Rückgabewerte(5)'!$H$180</f>
        <v>VE</v>
      </c>
      <c r="AR75" s="72"/>
      <c r="AS75" s="72"/>
      <c r="AT75" s="114"/>
      <c r="AU75" s="114"/>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22"/>
      <c r="AC76" s="72"/>
      <c r="AD76" s="121"/>
      <c r="AE76" s="72"/>
      <c r="AF76" s="72"/>
      <c r="AG76" s="72"/>
      <c r="AH76" s="72"/>
      <c r="AI76" s="72"/>
      <c r="AJ76" s="72"/>
      <c r="AK76" s="72"/>
      <c r="AL76" s="72"/>
      <c r="AM76" s="72" t="str">
        <f>'Sprachen &amp; Rückgabewerte(5)'!H74</f>
        <v>L=112mm</v>
      </c>
      <c r="AN76" s="426"/>
      <c r="AO76" s="72"/>
      <c r="AP76" s="382"/>
      <c r="AQ76" s="72" t="str">
        <f>'Sprachen &amp; Rückgabewerte(5)'!$H$180</f>
        <v>VE</v>
      </c>
      <c r="AR76" s="72"/>
      <c r="AS76" s="72"/>
      <c r="AT76" s="114"/>
      <c r="AU76" s="114"/>
      <c r="AW76" s="558"/>
      <c r="AX76" s="558"/>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22"/>
      <c r="AC77" s="72"/>
      <c r="AD77" s="121"/>
      <c r="AE77" s="81" t="str">
        <f>'Sprachen &amp; Rückgabewerte(5)'!$H$76</f>
        <v>Sockelbefestigung:</v>
      </c>
      <c r="AF77" s="81"/>
      <c r="AG77" s="72"/>
      <c r="AH77" s="72"/>
      <c r="AI77" s="72"/>
      <c r="AJ77" s="72"/>
      <c r="AK77" s="72"/>
      <c r="AL77" s="72"/>
      <c r="AM77" s="72"/>
      <c r="AN77" s="72"/>
      <c r="AO77" s="72"/>
      <c r="AP77" s="72"/>
      <c r="AQ77" s="72"/>
      <c r="AR77" s="72"/>
      <c r="AS77" s="72"/>
      <c r="AT77" s="114"/>
      <c r="AU77" s="114"/>
      <c r="AW77" s="559"/>
      <c r="AX77" s="559"/>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22"/>
      <c r="AC78" s="72"/>
      <c r="AD78" s="121"/>
      <c r="AE78" s="72" t="str">
        <f>'Sprachen &amp; Rückgabewerte(5)'!$H$77</f>
        <v>Verstellschrauben M10 x</v>
      </c>
      <c r="AF78" s="72"/>
      <c r="AG78" s="72"/>
      <c r="AH78" s="72"/>
      <c r="AI78" s="72"/>
      <c r="AJ78" s="72"/>
      <c r="AK78" s="72"/>
      <c r="AL78" s="72"/>
      <c r="AM78" s="72"/>
      <c r="AN78" s="581"/>
      <c r="AO78" s="581"/>
      <c r="AP78" s="581"/>
      <c r="AQ78" s="72"/>
      <c r="AR78" s="72"/>
      <c r="AS78" s="72"/>
      <c r="AT78" s="114"/>
      <c r="AU78" s="114"/>
      <c r="AW78" s="559"/>
      <c r="AX78" s="559"/>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22"/>
      <c r="AC79" s="72"/>
      <c r="AD79" s="121"/>
      <c r="AE79" s="72" t="str">
        <f>'Sprachen &amp; Rückgabewerte(5)'!$H$52</f>
        <v>Standardgrundplatten:</v>
      </c>
      <c r="AF79" s="72"/>
      <c r="AG79" s="72"/>
      <c r="AH79" s="72"/>
      <c r="AI79" s="72"/>
      <c r="AJ79" s="72"/>
      <c r="AK79" s="72"/>
      <c r="AL79" s="72"/>
      <c r="AM79" s="72"/>
      <c r="AN79" s="581"/>
      <c r="AO79" s="581"/>
      <c r="AP79" s="581"/>
      <c r="AQ79" s="72"/>
      <c r="AR79" s="72"/>
      <c r="AS79" s="72"/>
      <c r="AT79" s="114"/>
      <c r="AU79" s="114"/>
      <c r="AW79" s="559"/>
      <c r="AX79" s="559"/>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22"/>
      <c r="AC80" s="72"/>
      <c r="AD80" s="121"/>
      <c r="AE80" s="188" t="str">
        <f>'Sprachen &amp; Rückgabewerte(5)'!$H$84</f>
        <v>Rahmenzusammenbau:</v>
      </c>
      <c r="AF80" s="72"/>
      <c r="AG80" s="72"/>
      <c r="AH80" s="72"/>
      <c r="AI80" s="72"/>
      <c r="AJ80" s="72"/>
      <c r="AK80" s="72"/>
      <c r="AL80" s="72"/>
      <c r="AM80" s="72"/>
      <c r="AN80" s="719"/>
      <c r="AO80" s="720"/>
      <c r="AP80" s="720"/>
      <c r="AQ80" s="720"/>
      <c r="AR80" s="720"/>
      <c r="AS80" s="721"/>
      <c r="AT80" s="325"/>
      <c r="AU80" s="115"/>
      <c r="AV80" s="326"/>
      <c r="AW80" s="560"/>
      <c r="AX80" s="560"/>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22"/>
      <c r="AC81" s="72"/>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22"/>
      <c r="AC82" s="72"/>
      <c r="AD82" s="72"/>
      <c r="AE82" s="72"/>
      <c r="AF82" s="72"/>
      <c r="AG82" s="72"/>
      <c r="AH82" s="72"/>
      <c r="AI82" s="72"/>
      <c r="AJ82" s="72"/>
      <c r="AK82" s="72"/>
      <c r="AL82" s="72"/>
      <c r="AM82" s="72"/>
      <c r="AN82" s="72"/>
      <c r="AO82" s="72"/>
      <c r="AP82" s="72"/>
      <c r="AQ82" s="72"/>
      <c r="AR82" s="72"/>
      <c r="AS82" s="72"/>
      <c r="AT82" s="61"/>
      <c r="AU82" s="114"/>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22"/>
      <c r="AC83" s="72"/>
      <c r="AD83" s="118"/>
      <c r="AE83" s="120" t="str">
        <f>'Sprachen &amp; Rückgabewerte(5)'!$H$87</f>
        <v>Logistik:</v>
      </c>
      <c r="AF83" s="120"/>
      <c r="AG83" s="119"/>
      <c r="AH83" s="119"/>
      <c r="AI83" s="119"/>
      <c r="AJ83" s="119"/>
      <c r="AK83" s="119"/>
      <c r="AL83" s="119"/>
      <c r="AM83" s="119"/>
      <c r="AN83" s="120" t="str">
        <f>'Sprachen &amp; Rückgabewerte(5)'!$H$49</f>
        <v>Zubehör:</v>
      </c>
      <c r="AO83" s="119"/>
      <c r="AP83" s="119"/>
      <c r="AQ83" s="119"/>
      <c r="AR83" s="119"/>
      <c r="AS83" s="119"/>
      <c r="AT83" s="113"/>
      <c r="AU83" s="114"/>
    </row>
    <row r="84" spans="2:50" ht="12.75" customHeight="1" x14ac:dyDescent="0.2">
      <c r="B84" s="60"/>
      <c r="C84" s="60"/>
      <c r="D84" s="72"/>
      <c r="E84" s="72"/>
      <c r="F84" s="72"/>
      <c r="G84" s="72"/>
      <c r="H84" s="73" t="str">
        <f>'Sprachen &amp; Rückgabewerte(5)'!$B$45</f>
        <v>321901/321901</v>
      </c>
      <c r="I84" s="72"/>
      <c r="J84" s="72"/>
      <c r="K84" s="72"/>
      <c r="L84" s="72"/>
      <c r="M84" s="72"/>
      <c r="N84" s="61"/>
      <c r="O84" s="73" t="str">
        <f>'Sprachen &amp; Rückgabewerte(5)'!$B$46</f>
        <v>321901/322301</v>
      </c>
      <c r="P84" s="72"/>
      <c r="Q84" s="72"/>
      <c r="R84" s="72"/>
      <c r="S84" s="72"/>
      <c r="T84" s="72"/>
      <c r="U84" s="61"/>
      <c r="V84" s="73" t="str">
        <f>'Sprachen &amp; Rückgabewerte(5)'!$B$47</f>
        <v>322301/322301</v>
      </c>
      <c r="W84" s="72"/>
      <c r="X84" s="72"/>
      <c r="Y84" s="72"/>
      <c r="Z84" s="72"/>
      <c r="AA84" s="72"/>
      <c r="AB84" s="122"/>
      <c r="AC84" s="72"/>
      <c r="AD84" s="121"/>
      <c r="AE84" s="617"/>
      <c r="AF84" s="618"/>
      <c r="AG84" s="618"/>
      <c r="AH84" s="618"/>
      <c r="AI84" s="618"/>
      <c r="AJ84" s="618"/>
      <c r="AK84" s="618"/>
      <c r="AL84" s="619"/>
      <c r="AM84" s="72"/>
      <c r="AN84" s="72"/>
      <c r="AO84" s="72" t="str">
        <f>'Sprachen &amp; Rückgabewerte(5)'!$H$50</f>
        <v>Rinne (siehe unten)</v>
      </c>
      <c r="AP84" s="72"/>
      <c r="AQ84" s="72"/>
      <c r="AR84" s="72"/>
      <c r="AS84" s="72"/>
      <c r="AT84" s="114"/>
      <c r="AU84" s="205"/>
      <c r="AV84" s="205"/>
    </row>
    <row r="85" spans="2:50" ht="12.75" customHeight="1" x14ac:dyDescent="0.2">
      <c r="B85" s="60"/>
      <c r="C85" s="60"/>
      <c r="D85" s="72"/>
      <c r="E85" s="72"/>
      <c r="F85" s="72"/>
      <c r="G85" s="72"/>
      <c r="H85" s="695"/>
      <c r="I85" s="696"/>
      <c r="J85" s="696"/>
      <c r="K85" s="697"/>
      <c r="L85" s="72"/>
      <c r="M85" s="72"/>
      <c r="N85" s="72"/>
      <c r="O85" s="695"/>
      <c r="P85" s="696"/>
      <c r="Q85" s="696"/>
      <c r="R85" s="697"/>
      <c r="S85" s="72"/>
      <c r="T85" s="72"/>
      <c r="U85" s="72"/>
      <c r="V85" s="695"/>
      <c r="W85" s="696"/>
      <c r="X85" s="696"/>
      <c r="Y85" s="697"/>
      <c r="Z85" s="72"/>
      <c r="AA85" s="72"/>
      <c r="AB85" s="122"/>
      <c r="AC85" s="72"/>
      <c r="AD85" s="121"/>
      <c r="AE85" s="620"/>
      <c r="AF85" s="620"/>
      <c r="AG85" s="620"/>
      <c r="AH85" s="620"/>
      <c r="AI85" s="620"/>
      <c r="AJ85" s="620"/>
      <c r="AK85" s="620"/>
      <c r="AL85" s="620"/>
      <c r="AM85" s="72"/>
      <c r="AN85" s="72"/>
      <c r="AO85" s="72" t="str">
        <f>'Sprachen &amp; Rückgabewerte(5)'!$H$51</f>
        <v>Wetterschenkel</v>
      </c>
      <c r="AP85" s="72"/>
      <c r="AQ85" s="72"/>
      <c r="AR85" s="72"/>
      <c r="AS85" s="72"/>
      <c r="AT85" s="114"/>
      <c r="AU85" s="114"/>
      <c r="AV85" s="228"/>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4"/>
      <c r="AC86" s="61"/>
      <c r="AD86" s="60"/>
      <c r="AE86" s="61"/>
      <c r="AF86" s="61"/>
      <c r="AG86" s="61"/>
      <c r="AH86" s="61"/>
      <c r="AI86" s="61"/>
      <c r="AJ86" s="61"/>
      <c r="AK86" s="61"/>
      <c r="AL86" s="61"/>
      <c r="AM86" s="61"/>
      <c r="AN86" s="61"/>
      <c r="AO86" s="61" t="str">
        <f>IF('Sprachen &amp; Rückgabewerte(5)'!$I$51=TRUE,"L=","")</f>
        <v/>
      </c>
      <c r="AP86" s="580"/>
      <c r="AQ86" s="580"/>
      <c r="AR86" s="580"/>
      <c r="AS86" s="61" t="str">
        <f>IF('Sprachen &amp; Rückgabewerte(5)'!$I$51=TRUE,"mm","")</f>
        <v/>
      </c>
      <c r="AT86" s="114"/>
      <c r="AU86" s="114"/>
      <c r="AV86" s="228"/>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698" t="str">
        <f>'Sprachen &amp; Rückgabewerte(5)'!$H$118</f>
        <v>Standard (RC2 in Anlehnung)</v>
      </c>
      <c r="AA87" s="698"/>
      <c r="AB87" s="699"/>
      <c r="AC87" s="61"/>
      <c r="AD87" s="60"/>
      <c r="AE87" s="320" t="str">
        <f>'Sprachen &amp; Rückgabewerte(5)'!$H$47</f>
        <v>Windlast:</v>
      </c>
      <c r="AF87" s="81"/>
      <c r="AG87" s="155"/>
      <c r="AH87" s="61"/>
      <c r="AI87" s="61"/>
      <c r="AJ87" s="61"/>
      <c r="AK87" s="61"/>
      <c r="AL87" s="61"/>
      <c r="AM87" s="555"/>
      <c r="AN87" s="556"/>
      <c r="AO87" s="557"/>
      <c r="AP87" s="321" t="s">
        <v>782</v>
      </c>
      <c r="AS87" s="184"/>
      <c r="AT87" s="114"/>
      <c r="AU87" s="114"/>
      <c r="AV87" s="228"/>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698"/>
      <c r="AA88" s="698"/>
      <c r="AB88" s="699"/>
      <c r="AC88" s="61"/>
      <c r="AD88" s="60"/>
      <c r="AE88" s="188" t="str">
        <f>'Sprachen &amp; Rückgabewerte(5)'!$H$90</f>
        <v>Wunschtermin:</v>
      </c>
      <c r="AF88" s="319"/>
      <c r="AG88" s="319"/>
      <c r="AH88" s="319"/>
      <c r="AI88" s="319"/>
      <c r="AJ88" s="319"/>
      <c r="AK88" s="319"/>
      <c r="AL88" s="319"/>
      <c r="AM88" s="715"/>
      <c r="AN88" s="716"/>
      <c r="AO88" s="716"/>
      <c r="AP88" s="717"/>
      <c r="AQ88" s="717"/>
      <c r="AR88" s="718"/>
      <c r="AS88" s="319"/>
      <c r="AT88" s="114"/>
      <c r="AU88" s="114"/>
      <c r="AV88" s="228"/>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698"/>
      <c r="AA89" s="698"/>
      <c r="AB89" s="699"/>
      <c r="AC89" s="61"/>
      <c r="AD89" s="60"/>
      <c r="AF89" s="319"/>
      <c r="AG89" s="319"/>
      <c r="AH89" s="319"/>
      <c r="AI89" s="319"/>
      <c r="AJ89" s="319"/>
      <c r="AK89" s="319"/>
      <c r="AL89" s="319"/>
      <c r="AS89" s="319"/>
      <c r="AT89" s="114"/>
      <c r="AU89" s="114"/>
      <c r="AV89" s="228"/>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6" t="str">
        <f>'Sprachen &amp; Rückgabewerte(5)'!$H$116</f>
        <v>Ganzglas-Ecke</v>
      </c>
      <c r="W90" s="61"/>
      <c r="X90" s="61"/>
      <c r="Y90" s="61"/>
      <c r="Z90" s="61"/>
      <c r="AA90" s="61"/>
      <c r="AB90" s="114"/>
      <c r="AC90" s="61"/>
      <c r="AD90" s="60"/>
      <c r="AE90" s="554" t="str">
        <f>'Sprachen &amp; Rückgabewerte(5)'!$H$102</f>
        <v>Diese Bestellung ist verbindlich und muss komplett ausgefüllt werden. Änderungen werden als Mehraufwand verrechnet.</v>
      </c>
      <c r="AF90" s="554"/>
      <c r="AG90" s="554"/>
      <c r="AH90" s="554"/>
      <c r="AI90" s="554"/>
      <c r="AJ90" s="554"/>
      <c r="AK90" s="554"/>
      <c r="AL90" s="554"/>
      <c r="AM90" s="554"/>
      <c r="AN90" s="554"/>
      <c r="AO90" s="554"/>
      <c r="AP90" s="554"/>
      <c r="AQ90" s="554"/>
      <c r="AR90" s="554"/>
      <c r="AS90" s="554"/>
      <c r="AT90" s="114"/>
      <c r="AU90" s="114"/>
      <c r="AV90" s="228"/>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00" t="str">
        <f>'Sprachen &amp; Rückgabewerte(5)'!$H$119</f>
        <v>RC2 mit Blech</v>
      </c>
      <c r="AA91" s="700"/>
      <c r="AB91" s="701"/>
      <c r="AC91" s="61"/>
      <c r="AD91" s="60"/>
      <c r="AE91" s="554"/>
      <c r="AF91" s="554"/>
      <c r="AG91" s="554"/>
      <c r="AH91" s="554"/>
      <c r="AI91" s="554"/>
      <c r="AJ91" s="554"/>
      <c r="AK91" s="554"/>
      <c r="AL91" s="554"/>
      <c r="AM91" s="554"/>
      <c r="AN91" s="554"/>
      <c r="AO91" s="554"/>
      <c r="AP91" s="554"/>
      <c r="AQ91" s="554"/>
      <c r="AR91" s="554"/>
      <c r="AS91" s="554"/>
      <c r="AT91" s="114"/>
      <c r="AU91" s="114"/>
      <c r="AV91" s="228"/>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00"/>
      <c r="AA92" s="700"/>
      <c r="AB92" s="701"/>
      <c r="AC92" s="61"/>
      <c r="AD92" s="60"/>
      <c r="AE92" s="554"/>
      <c r="AF92" s="554"/>
      <c r="AG92" s="554"/>
      <c r="AH92" s="554"/>
      <c r="AI92" s="554"/>
      <c r="AJ92" s="554"/>
      <c r="AK92" s="554"/>
      <c r="AL92" s="554"/>
      <c r="AM92" s="554"/>
      <c r="AN92" s="554"/>
      <c r="AO92" s="554"/>
      <c r="AP92" s="554"/>
      <c r="AQ92" s="554"/>
      <c r="AR92" s="554"/>
      <c r="AS92" s="554"/>
      <c r="AT92" s="114"/>
      <c r="AU92" s="114"/>
      <c r="AV92" s="228"/>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00"/>
      <c r="AA93" s="700"/>
      <c r="AB93" s="701"/>
      <c r="AC93" s="61"/>
      <c r="AD93" s="68"/>
      <c r="AE93" s="84"/>
      <c r="AF93" s="84"/>
      <c r="AG93" s="84"/>
      <c r="AH93" s="84"/>
      <c r="AI93" s="84"/>
      <c r="AJ93" s="84"/>
      <c r="AK93" s="84"/>
      <c r="AL93" s="84"/>
      <c r="AM93" s="84"/>
      <c r="AN93" s="84"/>
      <c r="AO93" s="84"/>
      <c r="AP93" s="84"/>
      <c r="AQ93" s="84"/>
      <c r="AR93" s="84"/>
      <c r="AS93" s="84"/>
      <c r="AT93" s="115"/>
      <c r="AU93" s="114"/>
      <c r="AV93" s="228"/>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4"/>
      <c r="AC94" s="61"/>
      <c r="AD94" s="61"/>
      <c r="AE94" s="61"/>
      <c r="AF94" s="61"/>
      <c r="AG94" s="61"/>
      <c r="AH94" s="61"/>
      <c r="AI94" s="61"/>
      <c r="AJ94" s="61"/>
      <c r="AK94" s="72"/>
      <c r="AL94" s="72"/>
      <c r="AM94" s="72"/>
      <c r="AN94" s="72"/>
      <c r="AO94" s="72"/>
      <c r="AP94" s="72"/>
      <c r="AQ94" s="72"/>
      <c r="AR94" s="61"/>
      <c r="AS94" s="61"/>
      <c r="AT94" s="61"/>
      <c r="AU94" s="114"/>
      <c r="AV94" s="228"/>
    </row>
    <row r="95" spans="2:50" ht="12.75" customHeight="1" x14ac:dyDescent="0.2">
      <c r="B95" s="60"/>
      <c r="C95" s="60"/>
      <c r="D95" s="61"/>
      <c r="E95" s="61"/>
      <c r="F95" s="61"/>
      <c r="G95" s="61"/>
      <c r="H95" s="156" t="str">
        <f>'Sprachen &amp; Rückgabewerte(5)'!$B$48</f>
        <v>110101/110301</v>
      </c>
      <c r="I95" s="61"/>
      <c r="J95" s="61"/>
      <c r="K95" s="61"/>
      <c r="L95" s="61"/>
      <c r="M95" s="61"/>
      <c r="N95" s="61"/>
      <c r="O95" s="156" t="str">
        <f>'Sprachen &amp; Rückgabewerte(5)'!$B$49</f>
        <v>110101/110501</v>
      </c>
      <c r="P95" s="61"/>
      <c r="Q95" s="61"/>
      <c r="R95" s="61"/>
      <c r="S95" s="61"/>
      <c r="T95" s="61"/>
      <c r="U95" s="61"/>
      <c r="V95" s="156" t="str">
        <f>'Sprachen &amp; Rückgabewerte(5)'!$H$117</f>
        <v>Ecke RC2 (WK2)</v>
      </c>
      <c r="W95" s="61"/>
      <c r="X95" s="61"/>
      <c r="Y95" s="61"/>
      <c r="Z95" s="61"/>
      <c r="AA95" s="61"/>
      <c r="AB95" s="114"/>
      <c r="AC95" s="61"/>
      <c r="AD95" s="111"/>
      <c r="AE95" s="405"/>
      <c r="AF95" s="405"/>
      <c r="AG95" s="405"/>
      <c r="AH95" s="405"/>
      <c r="AI95" s="405"/>
      <c r="AJ95" s="405"/>
      <c r="AK95" s="405"/>
      <c r="AL95" s="405"/>
      <c r="AM95" s="405"/>
      <c r="AN95" s="405"/>
      <c r="AO95" s="405"/>
      <c r="AP95" s="405"/>
      <c r="AQ95" s="405"/>
      <c r="AR95" s="405"/>
      <c r="AS95" s="405"/>
      <c r="AT95" s="406"/>
      <c r="AU95" s="114"/>
      <c r="AV95" s="228"/>
      <c r="AW95" s="412" t="str">
        <f>IF(OR(AQ96="",AQ96='Sprachen &amp; Rückgabewerte(5)'!H96),"",'Sprachen &amp; Rückgabewerte(5)'!H182)</f>
        <v/>
      </c>
    </row>
    <row r="96" spans="2:50" ht="12.75" customHeight="1" x14ac:dyDescent="0.2">
      <c r="B96" s="60"/>
      <c r="C96" s="60"/>
      <c r="D96" s="61"/>
      <c r="E96" s="61"/>
      <c r="F96" s="61"/>
      <c r="G96" s="61"/>
      <c r="H96" s="695"/>
      <c r="I96" s="696"/>
      <c r="J96" s="696"/>
      <c r="K96" s="697"/>
      <c r="L96" s="61"/>
      <c r="M96" s="61"/>
      <c r="N96" s="61"/>
      <c r="O96" s="695"/>
      <c r="P96" s="696"/>
      <c r="Q96" s="696"/>
      <c r="R96" s="697"/>
      <c r="S96" s="61"/>
      <c r="T96" s="61"/>
      <c r="U96" s="61"/>
      <c r="V96" s="712"/>
      <c r="W96" s="713"/>
      <c r="X96" s="713"/>
      <c r="Y96" s="714"/>
      <c r="Z96" s="61"/>
      <c r="AA96" s="61"/>
      <c r="AB96" s="114"/>
      <c r="AC96" s="61"/>
      <c r="AD96" s="60"/>
      <c r="AE96" s="73" t="str">
        <f>'Sprachen &amp; Rückgabewerte(5)'!H181</f>
        <v>Sky-Frame Beratung vorhanden:</v>
      </c>
      <c r="AF96" s="407"/>
      <c r="AG96" s="407"/>
      <c r="AH96" s="407"/>
      <c r="AI96" s="407"/>
      <c r="AJ96" s="407"/>
      <c r="AK96" s="407"/>
      <c r="AL96" s="407"/>
      <c r="AM96" s="407"/>
      <c r="AN96" s="407"/>
      <c r="AO96" s="407"/>
      <c r="AP96" s="407"/>
      <c r="AQ96" s="590"/>
      <c r="AR96" s="591"/>
      <c r="AS96" s="410"/>
      <c r="AT96" s="409"/>
      <c r="AU96" s="115"/>
      <c r="AV96" s="411"/>
      <c r="AW96" s="546"/>
      <c r="AX96" s="548"/>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84"/>
      <c r="W97" s="84"/>
      <c r="X97" s="84"/>
      <c r="Y97" s="84"/>
      <c r="Z97" s="84"/>
      <c r="AA97" s="84"/>
      <c r="AB97" s="115"/>
      <c r="AC97" s="61"/>
      <c r="AD97" s="68"/>
      <c r="AE97" s="408"/>
      <c r="AF97" s="408"/>
      <c r="AG97" s="408"/>
      <c r="AH97" s="408"/>
      <c r="AI97" s="408"/>
      <c r="AJ97" s="408"/>
      <c r="AK97" s="408"/>
      <c r="AL97" s="408"/>
      <c r="AM97" s="408"/>
      <c r="AN97" s="408"/>
      <c r="AO97" s="408"/>
      <c r="AP97" s="408"/>
      <c r="AQ97" s="408"/>
      <c r="AR97" s="408"/>
      <c r="AS97" s="408"/>
      <c r="AT97" s="409"/>
      <c r="AU97" s="114"/>
      <c r="AV97" s="228"/>
    </row>
    <row r="98" spans="2:48" ht="19.5" customHeight="1" x14ac:dyDescent="0.2">
      <c r="B98" s="68"/>
      <c r="C98" s="711" t="s">
        <v>913</v>
      </c>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1"/>
      <c r="AG98" s="711"/>
      <c r="AH98" s="711"/>
      <c r="AI98" s="711"/>
      <c r="AJ98" s="711"/>
      <c r="AK98" s="711"/>
      <c r="AL98" s="711"/>
      <c r="AM98" s="711"/>
      <c r="AN98" s="711"/>
      <c r="AO98" s="711"/>
      <c r="AP98" s="84"/>
      <c r="AQ98" s="84"/>
      <c r="AR98" s="84"/>
      <c r="AS98" s="84"/>
      <c r="AT98" s="158" t="s">
        <v>907</v>
      </c>
      <c r="AU98" s="115"/>
      <c r="AV98" s="228"/>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55"/>
      <c r="AU99" s="61"/>
      <c r="AV99" s="114"/>
    </row>
    <row r="100" spans="2:48" x14ac:dyDescent="0.2">
      <c r="AV100" s="115"/>
    </row>
    <row r="101" spans="2:48" ht="13.5" thickBot="1" x14ac:dyDescent="0.25">
      <c r="B101" s="111"/>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13"/>
    </row>
    <row r="102" spans="2:48" ht="16.5" thickTop="1" x14ac:dyDescent="0.25">
      <c r="B102" s="60"/>
      <c r="C102" s="111"/>
      <c r="D102" s="82"/>
      <c r="E102" s="273" t="str">
        <f>'Sprachen &amp; Rückgabewerte(5)'!$H$138</f>
        <v>Rinnenbestellung</v>
      </c>
      <c r="F102" s="82"/>
      <c r="G102" s="82"/>
      <c r="H102" s="82"/>
      <c r="I102" s="82"/>
      <c r="J102" s="82"/>
      <c r="K102" s="82"/>
      <c r="L102" s="82"/>
      <c r="M102" s="82"/>
      <c r="N102" s="82"/>
      <c r="O102" s="82"/>
      <c r="P102" s="82"/>
      <c r="Q102" s="82"/>
      <c r="R102" s="82"/>
      <c r="S102" s="82"/>
      <c r="T102" s="82"/>
      <c r="U102" s="82"/>
      <c r="V102" s="82"/>
      <c r="W102" s="82"/>
      <c r="X102" s="82"/>
      <c r="Y102" s="82"/>
      <c r="Z102" s="113"/>
      <c r="AA102" s="61"/>
      <c r="AB102" s="240"/>
      <c r="AC102" s="241"/>
      <c r="AD102" s="241"/>
      <c r="AE102" s="241"/>
      <c r="AF102" s="256"/>
      <c r="AG102" s="257"/>
      <c r="AH102" s="260"/>
      <c r="AI102" s="256"/>
      <c r="AJ102" s="256"/>
      <c r="AK102" s="256"/>
      <c r="AL102" s="256"/>
      <c r="AM102" s="257"/>
      <c r="AN102" s="260"/>
      <c r="AO102" s="256"/>
      <c r="AP102" s="256"/>
      <c r="AQ102" s="256"/>
      <c r="AR102" s="256"/>
      <c r="AS102" s="256"/>
      <c r="AT102" s="257"/>
      <c r="AU102" s="114"/>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4"/>
      <c r="AA103" s="61"/>
      <c r="AB103" s="243"/>
      <c r="AC103" s="61"/>
      <c r="AD103" s="61"/>
      <c r="AE103" s="61"/>
      <c r="AF103" s="132"/>
      <c r="AG103" s="258"/>
      <c r="AH103" s="261"/>
      <c r="AI103" s="132"/>
      <c r="AJ103" s="132"/>
      <c r="AK103" s="132"/>
      <c r="AL103" s="132"/>
      <c r="AM103" s="258"/>
      <c r="AN103" s="261"/>
      <c r="AO103" s="132"/>
      <c r="AP103" s="132"/>
      <c r="AQ103" s="132"/>
      <c r="AR103" s="132"/>
      <c r="AS103" s="132"/>
      <c r="AT103" s="258"/>
      <c r="AU103" s="133"/>
    </row>
    <row r="104" spans="2:48" ht="15" customHeight="1" x14ac:dyDescent="0.2">
      <c r="B104" s="60"/>
      <c r="C104" s="60"/>
      <c r="D104" s="61"/>
      <c r="E104" s="72" t="str">
        <f>'Sprachen &amp; Rückgabewerte(5)'!$H$139</f>
        <v>Wahl des Rinnensystems:</v>
      </c>
      <c r="F104" s="61"/>
      <c r="G104" s="61"/>
      <c r="H104" s="61"/>
      <c r="I104" s="61"/>
      <c r="J104" s="61"/>
      <c r="K104" s="61"/>
      <c r="L104" s="61"/>
      <c r="M104" s="61"/>
      <c r="N104" s="61"/>
      <c r="O104" s="61"/>
      <c r="P104" s="61"/>
      <c r="Q104" s="61"/>
      <c r="R104" s="61"/>
      <c r="S104" s="61"/>
      <c r="T104" s="725"/>
      <c r="U104" s="726"/>
      <c r="V104" s="238"/>
      <c r="W104" s="238"/>
      <c r="X104" s="61"/>
      <c r="Y104" s="61"/>
      <c r="Z104" s="114"/>
      <c r="AB104" s="243"/>
      <c r="AC104" s="61"/>
      <c r="AD104" s="61"/>
      <c r="AE104" s="61"/>
      <c r="AF104" s="132"/>
      <c r="AG104" s="258"/>
      <c r="AH104" s="261"/>
      <c r="AI104" s="132"/>
      <c r="AJ104" s="132"/>
      <c r="AK104" s="132"/>
      <c r="AL104" s="132"/>
      <c r="AM104" s="258"/>
      <c r="AN104" s="261"/>
      <c r="AO104" s="132"/>
      <c r="AP104" s="132"/>
      <c r="AQ104" s="132"/>
      <c r="AR104" s="132"/>
      <c r="AS104" s="132"/>
      <c r="AT104" s="258"/>
      <c r="AU104" s="133"/>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4"/>
      <c r="AB105" s="243"/>
      <c r="AC105" s="61"/>
      <c r="AD105" s="61"/>
      <c r="AE105" s="61"/>
      <c r="AF105" s="132"/>
      <c r="AG105" s="258"/>
      <c r="AH105" s="261"/>
      <c r="AI105" s="132"/>
      <c r="AJ105" s="132"/>
      <c r="AK105" s="132"/>
      <c r="AL105" s="132"/>
      <c r="AM105" s="258"/>
      <c r="AN105" s="261"/>
      <c r="AO105" s="132"/>
      <c r="AP105" s="132"/>
      <c r="AQ105" s="132"/>
      <c r="AR105" s="132"/>
      <c r="AS105" s="132"/>
      <c r="AT105" s="258"/>
      <c r="AU105" s="133"/>
    </row>
    <row r="106" spans="2:48" ht="15" customHeight="1" x14ac:dyDescent="0.2">
      <c r="B106" s="60"/>
      <c r="C106" s="60"/>
      <c r="D106" s="61"/>
      <c r="E106" s="72" t="str">
        <f>'Sprachen &amp; Rückgabewerte(5)'!$H$140</f>
        <v>Einzug an der linken Anlagenseite:</v>
      </c>
      <c r="F106" s="61"/>
      <c r="G106" s="61"/>
      <c r="H106" s="61"/>
      <c r="I106" s="61"/>
      <c r="J106" s="61"/>
      <c r="K106" s="61"/>
      <c r="L106" s="61"/>
      <c r="M106" s="61"/>
      <c r="N106" s="61"/>
      <c r="O106" s="61"/>
      <c r="P106" s="61"/>
      <c r="Q106" s="61"/>
      <c r="R106" s="61"/>
      <c r="S106" s="61"/>
      <c r="T106" s="705"/>
      <c r="U106" s="727"/>
      <c r="V106" s="61" t="s">
        <v>179</v>
      </c>
      <c r="W106" s="61"/>
      <c r="X106" s="61"/>
      <c r="Y106" s="61"/>
      <c r="Z106" s="114"/>
      <c r="AB106" s="243"/>
      <c r="AC106" s="61"/>
      <c r="AD106" s="61"/>
      <c r="AE106" s="61"/>
      <c r="AF106" s="132"/>
      <c r="AG106" s="258"/>
      <c r="AH106" s="261"/>
      <c r="AI106" s="132"/>
      <c r="AJ106" s="132"/>
      <c r="AK106" s="132"/>
      <c r="AL106" s="132"/>
      <c r="AM106" s="258"/>
      <c r="AN106" s="261"/>
      <c r="AO106" s="132"/>
      <c r="AP106" s="132"/>
      <c r="AQ106" s="132"/>
      <c r="AR106" s="132"/>
      <c r="AS106" s="132"/>
      <c r="AT106" s="258"/>
      <c r="AU106" s="133"/>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4"/>
      <c r="AB107" s="243"/>
      <c r="AC107" s="61"/>
      <c r="AD107" s="61"/>
      <c r="AE107" s="61"/>
      <c r="AF107" s="132"/>
      <c r="AG107" s="258"/>
      <c r="AH107" s="261"/>
      <c r="AI107" s="132"/>
      <c r="AJ107" s="132"/>
      <c r="AK107" s="132"/>
      <c r="AL107" s="132"/>
      <c r="AM107" s="258"/>
      <c r="AN107" s="261"/>
      <c r="AO107" s="132"/>
      <c r="AP107" s="132"/>
      <c r="AQ107" s="132"/>
      <c r="AR107" s="132"/>
      <c r="AS107" s="132"/>
      <c r="AT107" s="258"/>
      <c r="AU107" s="133"/>
    </row>
    <row r="108" spans="2:48" ht="15" customHeight="1" x14ac:dyDescent="0.2">
      <c r="B108" s="60"/>
      <c r="C108" s="60"/>
      <c r="D108" s="61"/>
      <c r="E108" s="72" t="str">
        <f>'Sprachen &amp; Rückgabewerte(5)'!$H$141</f>
        <v>Einzug an der rechten Anlagenseite:</v>
      </c>
      <c r="F108" s="61"/>
      <c r="G108" s="61"/>
      <c r="H108" s="61"/>
      <c r="I108" s="61"/>
      <c r="J108" s="61"/>
      <c r="K108" s="61"/>
      <c r="L108" s="61"/>
      <c r="M108" s="61"/>
      <c r="N108" s="61"/>
      <c r="O108" s="61"/>
      <c r="P108" s="61"/>
      <c r="Q108" s="61"/>
      <c r="R108" s="61"/>
      <c r="S108" s="61"/>
      <c r="T108" s="705"/>
      <c r="U108" s="727"/>
      <c r="V108" s="61" t="s">
        <v>179</v>
      </c>
      <c r="W108" s="61"/>
      <c r="X108" s="61"/>
      <c r="Y108" s="61"/>
      <c r="Z108" s="114"/>
      <c r="AB108" s="243"/>
      <c r="AC108" s="61"/>
      <c r="AD108" s="61"/>
      <c r="AE108" s="61"/>
      <c r="AF108" s="132"/>
      <c r="AG108" s="258"/>
      <c r="AH108" s="261"/>
      <c r="AI108" s="132"/>
      <c r="AJ108" s="132"/>
      <c r="AK108" s="132"/>
      <c r="AL108" s="132"/>
      <c r="AM108" s="258"/>
      <c r="AN108" s="261"/>
      <c r="AO108" s="132"/>
      <c r="AP108" s="132"/>
      <c r="AQ108" s="132"/>
      <c r="AR108" s="132"/>
      <c r="AS108" s="132"/>
      <c r="AT108" s="258"/>
      <c r="AU108" s="133"/>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4"/>
      <c r="AB109" s="243"/>
      <c r="AC109" s="61"/>
      <c r="AD109" s="61"/>
      <c r="AE109" s="61"/>
      <c r="AF109" s="132"/>
      <c r="AG109" s="258"/>
      <c r="AH109" s="261"/>
      <c r="AI109" s="132"/>
      <c r="AJ109" s="132"/>
      <c r="AK109" s="132"/>
      <c r="AL109" s="132"/>
      <c r="AM109" s="258"/>
      <c r="AN109" s="261"/>
      <c r="AO109" s="132"/>
      <c r="AP109" s="132"/>
      <c r="AQ109" s="132"/>
      <c r="AR109" s="132"/>
      <c r="AS109" s="132"/>
      <c r="AT109" s="258"/>
      <c r="AU109" s="133"/>
    </row>
    <row r="110" spans="2:48" ht="15" customHeight="1" x14ac:dyDescent="0.2">
      <c r="B110" s="60"/>
      <c r="C110" s="60"/>
      <c r="D110" s="61"/>
      <c r="E110" s="72" t="str">
        <f>'Sprachen &amp; Rückgabewerte(5)'!$H$142</f>
        <v>Anschlussstutzen:</v>
      </c>
      <c r="F110" s="61"/>
      <c r="G110" s="61"/>
      <c r="H110" s="61"/>
      <c r="I110" s="61"/>
      <c r="J110" s="61"/>
      <c r="K110" s="61"/>
      <c r="L110" s="61"/>
      <c r="M110" s="61"/>
      <c r="N110" s="61"/>
      <c r="O110" s="61"/>
      <c r="P110" s="61"/>
      <c r="Q110" s="61"/>
      <c r="R110" s="61"/>
      <c r="S110" s="61"/>
      <c r="T110" s="725"/>
      <c r="U110" s="728"/>
      <c r="V110" s="728"/>
      <c r="W110" s="728"/>
      <c r="X110" s="728"/>
      <c r="Y110" s="726"/>
      <c r="Z110" s="533"/>
      <c r="AB110" s="262"/>
      <c r="AC110" s="263"/>
      <c r="AD110" s="263"/>
      <c r="AE110" s="263"/>
      <c r="AF110" s="264"/>
      <c r="AG110" s="265"/>
      <c r="AH110" s="266"/>
      <c r="AI110" s="264"/>
      <c r="AJ110" s="264"/>
      <c r="AK110" s="264"/>
      <c r="AL110" s="264"/>
      <c r="AM110" s="265"/>
      <c r="AN110" s="266"/>
      <c r="AO110" s="264"/>
      <c r="AP110" s="264"/>
      <c r="AQ110" s="264"/>
      <c r="AR110" s="264"/>
      <c r="AS110" s="264"/>
      <c r="AT110" s="265"/>
      <c r="AU110" s="133"/>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4"/>
      <c r="AB111" s="267"/>
      <c r="AC111" s="268"/>
      <c r="AD111" s="268"/>
      <c r="AE111" s="268"/>
      <c r="AF111" s="269"/>
      <c r="AG111" s="270"/>
      <c r="AH111" s="269"/>
      <c r="AI111" s="269"/>
      <c r="AJ111" s="269"/>
      <c r="AK111" s="269"/>
      <c r="AL111" s="269"/>
      <c r="AM111" s="269"/>
      <c r="AN111" s="271"/>
      <c r="AO111" s="269"/>
      <c r="AP111" s="269"/>
      <c r="AQ111" s="269"/>
      <c r="AR111" s="269"/>
      <c r="AS111" s="269"/>
      <c r="AT111" s="270"/>
      <c r="AU111" s="133"/>
    </row>
    <row r="112" spans="2:48" ht="15" customHeight="1" x14ac:dyDescent="0.2">
      <c r="B112" s="60"/>
      <c r="C112" s="60"/>
      <c r="D112" s="61"/>
      <c r="E112" s="61"/>
      <c r="F112" s="61"/>
      <c r="G112" s="61"/>
      <c r="H112" s="61"/>
      <c r="I112" s="61"/>
      <c r="J112" s="61"/>
      <c r="K112" s="61"/>
      <c r="L112" s="61"/>
      <c r="M112" s="61"/>
      <c r="N112" s="61"/>
      <c r="O112" s="61"/>
      <c r="P112" s="61"/>
      <c r="Q112" s="61"/>
      <c r="R112" s="276" t="str">
        <f>IF($T$110='Sprachen &amp; Rückgabewerte(5)'!$J$143,'Sprachen &amp; Rückgabewerte(5)'!$H$145,'Sprachen &amp; Rückgabewerte(5)'!$H$148)</f>
        <v>Abstände Ablaufstutzen:</v>
      </c>
      <c r="S112" s="61"/>
      <c r="T112" s="708"/>
      <c r="U112" s="723"/>
      <c r="V112" s="723"/>
      <c r="W112" s="723"/>
      <c r="X112" s="723"/>
      <c r="Y112" s="724"/>
      <c r="Z112" s="534"/>
      <c r="AB112" s="243"/>
      <c r="AC112" s="61"/>
      <c r="AD112" s="61"/>
      <c r="AE112" s="61"/>
      <c r="AF112" s="132"/>
      <c r="AG112" s="258"/>
      <c r="AH112" s="132"/>
      <c r="AI112" s="132"/>
      <c r="AJ112" s="132"/>
      <c r="AK112" s="132"/>
      <c r="AL112" s="132"/>
      <c r="AM112" s="132"/>
      <c r="AN112" s="261"/>
      <c r="AO112" s="132"/>
      <c r="AP112" s="132"/>
      <c r="AQ112" s="132"/>
      <c r="AR112" s="132"/>
      <c r="AS112" s="132"/>
      <c r="AT112" s="258"/>
      <c r="AU112" s="133"/>
    </row>
    <row r="113" spans="2:47" x14ac:dyDescent="0.2">
      <c r="B113" s="60"/>
      <c r="C113" s="60"/>
      <c r="D113" s="61"/>
      <c r="E113" s="277"/>
      <c r="F113" s="277"/>
      <c r="G113" s="277"/>
      <c r="H113" s="277"/>
      <c r="I113" s="277"/>
      <c r="J113" s="277"/>
      <c r="K113" s="277"/>
      <c r="L113" s="277"/>
      <c r="M113" s="277"/>
      <c r="N113" s="277"/>
      <c r="O113" s="277"/>
      <c r="P113" s="277"/>
      <c r="Q113" s="277"/>
      <c r="R113" s="277"/>
      <c r="S113" s="277"/>
      <c r="T113" s="61"/>
      <c r="U113" s="61"/>
      <c r="V113" s="61"/>
      <c r="W113" s="61"/>
      <c r="X113" s="61"/>
      <c r="Y113" s="61"/>
      <c r="Z113" s="114"/>
      <c r="AB113" s="243"/>
      <c r="AC113" s="61"/>
      <c r="AD113" s="61"/>
      <c r="AE113" s="61"/>
      <c r="AF113" s="132"/>
      <c r="AG113" s="258"/>
      <c r="AH113" s="132"/>
      <c r="AI113" s="132"/>
      <c r="AJ113" s="132"/>
      <c r="AK113" s="132"/>
      <c r="AL113" s="132"/>
      <c r="AM113" s="132"/>
      <c r="AN113" s="261"/>
      <c r="AO113" s="132"/>
      <c r="AP113" s="132"/>
      <c r="AQ113" s="132"/>
      <c r="AR113" s="132"/>
      <c r="AS113" s="132"/>
      <c r="AT113" s="258"/>
      <c r="AU113" s="114"/>
    </row>
    <row r="114" spans="2:47" ht="15" customHeight="1" x14ac:dyDescent="0.2">
      <c r="B114" s="60"/>
      <c r="C114" s="60"/>
      <c r="D114" s="61"/>
      <c r="E114" s="277"/>
      <c r="F114" s="277"/>
      <c r="G114" s="277"/>
      <c r="H114" s="277"/>
      <c r="I114" s="277"/>
      <c r="J114" s="277"/>
      <c r="K114" s="277"/>
      <c r="L114" s="277"/>
      <c r="M114" s="277"/>
      <c r="N114" s="277"/>
      <c r="O114" s="277"/>
      <c r="P114" s="277"/>
      <c r="Q114" s="277"/>
      <c r="R114" s="276" t="str">
        <f>'Sprachen &amp; Rückgabewerte(5)'!H149</f>
        <v>Rinnenanschluss:</v>
      </c>
      <c r="S114" s="277"/>
      <c r="T114" s="725"/>
      <c r="U114" s="726"/>
      <c r="V114" s="61"/>
      <c r="W114" s="61"/>
      <c r="X114" s="61"/>
      <c r="Y114" s="61"/>
      <c r="Z114" s="114"/>
      <c r="AB114" s="243"/>
      <c r="AC114" s="61"/>
      <c r="AD114" s="61"/>
      <c r="AE114" s="61"/>
      <c r="AF114" s="132"/>
      <c r="AG114" s="258"/>
      <c r="AH114" s="132"/>
      <c r="AI114" s="132"/>
      <c r="AJ114" s="132"/>
      <c r="AK114" s="132"/>
      <c r="AL114" s="132"/>
      <c r="AM114" s="132"/>
      <c r="AN114" s="261"/>
      <c r="AO114" s="132"/>
      <c r="AP114" s="132"/>
      <c r="AQ114" s="132"/>
      <c r="AR114" s="132"/>
      <c r="AS114" s="132"/>
      <c r="AT114" s="258"/>
      <c r="AU114" s="114"/>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4"/>
      <c r="AA115" s="61"/>
      <c r="AB115" s="243"/>
      <c r="AC115" s="61"/>
      <c r="AD115" s="61"/>
      <c r="AE115" s="61"/>
      <c r="AF115" s="61"/>
      <c r="AG115" s="258"/>
      <c r="AH115" s="132"/>
      <c r="AI115" s="132"/>
      <c r="AJ115" s="132"/>
      <c r="AK115" s="132"/>
      <c r="AL115" s="132"/>
      <c r="AM115" s="132"/>
      <c r="AN115" s="261"/>
      <c r="AO115" s="61"/>
      <c r="AP115" s="61"/>
      <c r="AQ115" s="61"/>
      <c r="AR115" s="61"/>
      <c r="AS115" s="61"/>
      <c r="AT115" s="245"/>
      <c r="AU115" s="114"/>
    </row>
    <row r="116" spans="2:47" x14ac:dyDescent="0.2">
      <c r="B116" s="60"/>
      <c r="C116" s="60"/>
      <c r="D116" s="61"/>
      <c r="E116" s="702" t="str">
        <f>IF('Sprachen &amp; Rückgabewerte(5)'!$I$50=TRUE,'Sprachen &amp; Rückgabewerte(5)'!$H$102,"")</f>
        <v/>
      </c>
      <c r="F116" s="702"/>
      <c r="G116" s="702"/>
      <c r="H116" s="702"/>
      <c r="I116" s="702"/>
      <c r="J116" s="702"/>
      <c r="K116" s="702"/>
      <c r="L116" s="702"/>
      <c r="M116" s="702"/>
      <c r="N116" s="702"/>
      <c r="O116" s="702"/>
      <c r="P116" s="702"/>
      <c r="Q116" s="702"/>
      <c r="R116" s="702"/>
      <c r="S116" s="61"/>
      <c r="T116" s="61"/>
      <c r="U116" s="61"/>
      <c r="V116" s="61"/>
      <c r="W116" s="61"/>
      <c r="X116" s="61"/>
      <c r="Y116" s="61"/>
      <c r="Z116" s="114"/>
      <c r="AA116" s="61"/>
      <c r="AB116" s="243"/>
      <c r="AC116" s="61"/>
      <c r="AD116" s="61"/>
      <c r="AE116" s="61"/>
      <c r="AF116" s="61"/>
      <c r="AG116" s="258"/>
      <c r="AH116" s="132"/>
      <c r="AI116" s="132"/>
      <c r="AJ116" s="132"/>
      <c r="AK116" s="132"/>
      <c r="AL116" s="132"/>
      <c r="AM116" s="132"/>
      <c r="AN116" s="261"/>
      <c r="AO116" s="61"/>
      <c r="AP116" s="61"/>
      <c r="AQ116" s="61"/>
      <c r="AR116" s="61"/>
      <c r="AS116" s="61"/>
      <c r="AT116" s="245"/>
      <c r="AU116" s="114"/>
    </row>
    <row r="117" spans="2:47" ht="12.75" customHeight="1" x14ac:dyDescent="0.2">
      <c r="B117" s="60"/>
      <c r="C117" s="60"/>
      <c r="D117" s="61"/>
      <c r="E117" s="702"/>
      <c r="F117" s="702"/>
      <c r="G117" s="702"/>
      <c r="H117" s="702"/>
      <c r="I117" s="702"/>
      <c r="J117" s="702"/>
      <c r="K117" s="702"/>
      <c r="L117" s="702"/>
      <c r="M117" s="702"/>
      <c r="N117" s="702"/>
      <c r="O117" s="702"/>
      <c r="P117" s="702"/>
      <c r="Q117" s="702"/>
      <c r="R117" s="702"/>
      <c r="S117" s="132"/>
      <c r="T117" s="132"/>
      <c r="U117" s="132"/>
      <c r="V117" s="132"/>
      <c r="W117" s="132"/>
      <c r="X117" s="132"/>
      <c r="Y117" s="132"/>
      <c r="Z117" s="133"/>
      <c r="AA117" s="132"/>
      <c r="AB117" s="261"/>
      <c r="AC117" s="132"/>
      <c r="AD117" s="132"/>
      <c r="AE117" s="132"/>
      <c r="AF117" s="132"/>
      <c r="AG117" s="258"/>
      <c r="AH117" s="132"/>
      <c r="AI117" s="132"/>
      <c r="AJ117" s="132"/>
      <c r="AK117" s="132"/>
      <c r="AL117" s="132"/>
      <c r="AM117" s="132"/>
      <c r="AN117" s="261"/>
      <c r="AO117" s="61"/>
      <c r="AP117" s="61"/>
      <c r="AQ117" s="61"/>
      <c r="AR117" s="61"/>
      <c r="AS117" s="61"/>
      <c r="AT117" s="245"/>
      <c r="AU117" s="114"/>
    </row>
    <row r="118" spans="2:47" x14ac:dyDescent="0.2">
      <c r="B118" s="60"/>
      <c r="C118" s="60"/>
      <c r="D118" s="61"/>
      <c r="E118" s="702"/>
      <c r="F118" s="702"/>
      <c r="G118" s="702"/>
      <c r="H118" s="702"/>
      <c r="I118" s="702"/>
      <c r="J118" s="702"/>
      <c r="K118" s="702"/>
      <c r="L118" s="702"/>
      <c r="M118" s="702"/>
      <c r="N118" s="702"/>
      <c r="O118" s="702"/>
      <c r="P118" s="702"/>
      <c r="Q118" s="702"/>
      <c r="R118" s="702"/>
      <c r="S118" s="61"/>
      <c r="T118" s="61"/>
      <c r="U118" s="61"/>
      <c r="V118" s="61"/>
      <c r="W118" s="61"/>
      <c r="X118" s="61"/>
      <c r="Y118" s="61"/>
      <c r="Z118" s="114"/>
      <c r="AB118" s="243"/>
      <c r="AC118" s="61"/>
      <c r="AD118" s="61"/>
      <c r="AE118" s="61"/>
      <c r="AF118" s="61"/>
      <c r="AG118" s="245"/>
      <c r="AH118" s="61"/>
      <c r="AI118" s="61"/>
      <c r="AJ118" s="61"/>
      <c r="AK118" s="61"/>
      <c r="AL118" s="61"/>
      <c r="AM118" s="61"/>
      <c r="AN118" s="243"/>
      <c r="AO118" s="61"/>
      <c r="AP118" s="61"/>
      <c r="AQ118" s="61"/>
      <c r="AR118" s="61"/>
      <c r="AS118" s="61"/>
      <c r="AT118" s="245"/>
      <c r="AU118" s="114"/>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4"/>
      <c r="AB119" s="243"/>
      <c r="AC119" s="61"/>
      <c r="AD119" s="61"/>
      <c r="AE119" s="61"/>
      <c r="AF119" s="61"/>
      <c r="AG119" s="245"/>
      <c r="AH119" s="61"/>
      <c r="AI119" s="61"/>
      <c r="AJ119" s="61"/>
      <c r="AK119" s="61"/>
      <c r="AL119" s="61"/>
      <c r="AM119" s="61"/>
      <c r="AN119" s="243"/>
      <c r="AO119" s="61"/>
      <c r="AP119" s="61"/>
      <c r="AQ119" s="61"/>
      <c r="AR119" s="61"/>
      <c r="AS119" s="61"/>
      <c r="AT119" s="245"/>
      <c r="AU119" s="114"/>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5"/>
      <c r="AB120" s="259"/>
      <c r="AC120" s="249"/>
      <c r="AD120" s="249"/>
      <c r="AE120" s="249"/>
      <c r="AF120" s="249"/>
      <c r="AG120" s="251"/>
      <c r="AH120" s="249"/>
      <c r="AI120" s="249"/>
      <c r="AJ120" s="249"/>
      <c r="AK120" s="249"/>
      <c r="AL120" s="249"/>
      <c r="AM120" s="249"/>
      <c r="AN120" s="259"/>
      <c r="AO120" s="249"/>
      <c r="AP120" s="249"/>
      <c r="AQ120" s="249"/>
      <c r="AR120" s="249"/>
      <c r="AS120" s="249"/>
      <c r="AT120" s="251"/>
      <c r="AU120" s="114"/>
    </row>
    <row r="121" spans="2:47" ht="13.5" thickTop="1" x14ac:dyDescent="0.2">
      <c r="B121" s="60"/>
      <c r="AU121" s="114"/>
    </row>
    <row r="122" spans="2:47" ht="12.95" customHeight="1" x14ac:dyDescent="0.2">
      <c r="B122" s="60"/>
      <c r="L122" s="61"/>
      <c r="M122" s="61"/>
      <c r="N122" s="61"/>
      <c r="O122" s="61"/>
      <c r="P122" s="61"/>
      <c r="Q122" s="61"/>
      <c r="R122" s="61"/>
      <c r="S122" s="61"/>
      <c r="T122" s="61"/>
      <c r="U122" s="61"/>
      <c r="V122" s="61"/>
      <c r="W122" s="61"/>
      <c r="X122" s="61"/>
      <c r="Y122" s="61"/>
      <c r="Z122" s="61"/>
      <c r="AA122" s="61"/>
      <c r="AB122" s="111"/>
      <c r="AC122" s="82"/>
      <c r="AD122" s="82"/>
      <c r="AE122" s="82"/>
      <c r="AF122" s="82"/>
      <c r="AG122" s="82"/>
      <c r="AH122" s="82"/>
      <c r="AI122" s="82"/>
      <c r="AJ122" s="82"/>
      <c r="AK122" s="82"/>
      <c r="AL122" s="82"/>
      <c r="AM122" s="82"/>
      <c r="AN122" s="82"/>
      <c r="AO122" s="82"/>
      <c r="AP122" s="82"/>
      <c r="AQ122" s="82"/>
      <c r="AR122" s="82"/>
      <c r="AS122" s="82"/>
      <c r="AT122" s="113"/>
      <c r="AU122" s="114"/>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4"/>
      <c r="AU123" s="114"/>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4"/>
      <c r="AU124" s="114"/>
    </row>
    <row r="125" spans="2:47" ht="12.95" customHeight="1" x14ac:dyDescent="0.2">
      <c r="B125" s="60"/>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4"/>
      <c r="AU125" s="114"/>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32"/>
      <c r="AL126" s="132"/>
      <c r="AM126" s="132"/>
      <c r="AN126" s="132"/>
      <c r="AO126" s="132"/>
      <c r="AP126" s="61"/>
      <c r="AQ126" s="61"/>
      <c r="AR126" s="61"/>
      <c r="AS126" s="61"/>
      <c r="AT126" s="114"/>
      <c r="AU126" s="114"/>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32"/>
      <c r="AL127" s="132"/>
      <c r="AM127" s="132"/>
      <c r="AN127" s="132"/>
      <c r="AO127" s="132"/>
      <c r="AP127" s="61"/>
      <c r="AQ127" s="61"/>
      <c r="AR127" s="61"/>
      <c r="AS127" s="61"/>
      <c r="AT127" s="114"/>
      <c r="AU127" s="114"/>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32"/>
      <c r="AL128" s="132"/>
      <c r="AM128" s="132"/>
      <c r="AN128" s="132"/>
      <c r="AO128" s="132"/>
      <c r="AP128" s="61"/>
      <c r="AQ128" s="61"/>
      <c r="AR128" s="61"/>
      <c r="AS128" s="61"/>
      <c r="AT128" s="114"/>
      <c r="AU128" s="114"/>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55"/>
      <c r="AG129" s="61"/>
      <c r="AH129" s="61"/>
      <c r="AI129" s="61"/>
      <c r="AJ129" s="61"/>
      <c r="AK129" s="132"/>
      <c r="AL129" s="132"/>
      <c r="AM129" s="132"/>
      <c r="AN129" s="132"/>
      <c r="AO129" s="132"/>
      <c r="AP129" s="61"/>
      <c r="AQ129" s="61"/>
      <c r="AR129" s="61"/>
      <c r="AS129" s="61"/>
      <c r="AT129" s="114"/>
      <c r="AU129" s="114"/>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32"/>
      <c r="AL130" s="132"/>
      <c r="AM130" s="132"/>
      <c r="AN130" s="132"/>
      <c r="AO130" s="132"/>
      <c r="AP130" s="61"/>
      <c r="AQ130" s="61"/>
      <c r="AR130" s="61"/>
      <c r="AS130" s="61"/>
      <c r="AT130" s="114"/>
      <c r="AU130" s="114"/>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16"/>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16"/>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16"/>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16"/>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72"/>
      <c r="AF135" s="136"/>
      <c r="AG135" s="136"/>
      <c r="AH135" s="136"/>
      <c r="AI135" s="136"/>
      <c r="AJ135" s="136"/>
      <c r="AK135" s="136"/>
      <c r="AL135" s="136"/>
      <c r="AM135" s="136"/>
      <c r="AN135" s="136"/>
      <c r="AO135" s="136"/>
      <c r="AP135" s="136"/>
      <c r="AQ135" s="136"/>
      <c r="AR135" s="136"/>
      <c r="AS135" s="136"/>
      <c r="AT135" s="137"/>
      <c r="AU135" s="114"/>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5"/>
    </row>
    <row r="137" spans="2:47" x14ac:dyDescent="0.2">
      <c r="AE137" s="212"/>
      <c r="AF137" s="132"/>
      <c r="AG137" s="132"/>
      <c r="AH137" s="132"/>
      <c r="AI137" s="132"/>
      <c r="AJ137" s="132"/>
      <c r="AK137" s="132"/>
      <c r="AL137" s="132"/>
      <c r="AM137" s="132"/>
      <c r="AN137" s="132"/>
      <c r="AO137" s="132"/>
      <c r="AP137" s="132"/>
      <c r="AQ137" s="132"/>
      <c r="AR137" s="132"/>
      <c r="AS137" s="132"/>
      <c r="AT137" s="132"/>
    </row>
    <row r="138" spans="2:47" x14ac:dyDescent="0.2">
      <c r="AE138" s="212"/>
      <c r="AF138" s="132"/>
      <c r="AG138" s="132"/>
      <c r="AH138" s="132"/>
      <c r="AI138" s="132"/>
      <c r="AJ138" s="132"/>
      <c r="AK138" s="132"/>
      <c r="AL138" s="132"/>
      <c r="AM138" s="132"/>
      <c r="AN138" s="132"/>
      <c r="AO138" s="132"/>
      <c r="AP138" s="132"/>
      <c r="AQ138" s="132"/>
      <c r="AR138" s="132"/>
      <c r="AS138" s="132"/>
      <c r="AT138" s="132"/>
    </row>
    <row r="139" spans="2:47" x14ac:dyDescent="0.2">
      <c r="AE139" s="212"/>
      <c r="AF139" s="132"/>
      <c r="AG139" s="132"/>
      <c r="AH139" s="132"/>
      <c r="AI139" s="132"/>
      <c r="AJ139" s="132"/>
      <c r="AK139" s="132"/>
      <c r="AL139" s="132"/>
      <c r="AM139" s="132"/>
      <c r="AN139" s="132"/>
      <c r="AO139" s="132"/>
      <c r="AP139" s="132"/>
      <c r="AQ139" s="132"/>
      <c r="AR139" s="132"/>
      <c r="AS139" s="132"/>
      <c r="AT139" s="132"/>
    </row>
    <row r="140" spans="2:47" x14ac:dyDescent="0.2">
      <c r="AE140" s="212"/>
      <c r="AF140" s="132"/>
      <c r="AG140" s="132"/>
      <c r="AH140" s="132"/>
      <c r="AI140" s="132"/>
      <c r="AJ140" s="132"/>
      <c r="AK140" s="132"/>
      <c r="AL140" s="132"/>
      <c r="AM140" s="132"/>
      <c r="AN140" s="132"/>
      <c r="AO140" s="132"/>
      <c r="AP140" s="132"/>
      <c r="AQ140" s="132"/>
      <c r="AR140" s="132"/>
      <c r="AS140" s="132"/>
      <c r="AT140" s="132"/>
    </row>
    <row r="141" spans="2:47" x14ac:dyDescent="0.2">
      <c r="AE141" s="212"/>
      <c r="AF141" s="132"/>
      <c r="AG141" s="132"/>
      <c r="AH141" s="132"/>
      <c r="AI141" s="132"/>
      <c r="AJ141" s="132"/>
      <c r="AK141" s="132"/>
      <c r="AL141" s="132"/>
      <c r="AM141" s="132"/>
      <c r="AN141" s="132"/>
      <c r="AO141" s="132"/>
      <c r="AP141" s="132"/>
      <c r="AQ141" s="132"/>
      <c r="AR141" s="132"/>
      <c r="AS141" s="132"/>
      <c r="AT141" s="132"/>
    </row>
    <row r="142" spans="2:47" x14ac:dyDescent="0.2">
      <c r="AE142" s="212"/>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2"/>
      <c r="AF143" s="132"/>
      <c r="AG143" s="132"/>
      <c r="AH143" s="132"/>
      <c r="AI143" s="132"/>
      <c r="AJ143" s="132"/>
      <c r="AK143" s="132"/>
      <c r="AL143" s="132"/>
      <c r="AM143" s="132"/>
      <c r="AN143" s="132"/>
      <c r="AO143" s="132"/>
      <c r="AP143" s="132"/>
      <c r="AQ143" s="132"/>
      <c r="AR143" s="132"/>
      <c r="AS143" s="132"/>
      <c r="AT143" s="132"/>
    </row>
    <row r="144" spans="2:47" x14ac:dyDescent="0.2">
      <c r="AE144" s="212"/>
      <c r="AG144" s="132"/>
      <c r="AH144" s="132"/>
      <c r="AI144" s="132"/>
      <c r="AJ144" s="132"/>
      <c r="AK144" s="132"/>
      <c r="AL144" s="132"/>
      <c r="AM144" s="132"/>
      <c r="AN144" s="132"/>
      <c r="AO144" s="132"/>
    </row>
    <row r="145" spans="24:47" x14ac:dyDescent="0.2">
      <c r="AE145" s="212"/>
      <c r="AF145" s="132"/>
      <c r="AG145" s="132"/>
      <c r="AH145" s="132"/>
      <c r="AI145" s="132"/>
      <c r="AJ145" s="132"/>
      <c r="AK145" s="132"/>
      <c r="AL145" s="132"/>
      <c r="AM145" s="132"/>
      <c r="AN145" s="132"/>
      <c r="AO145" s="132"/>
      <c r="AP145" s="132"/>
      <c r="AQ145" s="132"/>
      <c r="AR145" s="132"/>
      <c r="AS145" s="132"/>
      <c r="AT145" s="132"/>
    </row>
    <row r="146" spans="24:47" x14ac:dyDescent="0.2">
      <c r="AE146" s="212"/>
      <c r="AF146" s="132"/>
      <c r="AG146" s="132"/>
      <c r="AH146" s="132"/>
      <c r="AI146" s="132"/>
      <c r="AJ146" s="132"/>
      <c r="AK146" s="132"/>
      <c r="AL146" s="132"/>
      <c r="AM146" s="132"/>
      <c r="AN146" s="132"/>
      <c r="AO146" s="132"/>
      <c r="AP146" s="132"/>
      <c r="AQ146" s="132"/>
      <c r="AR146" s="132"/>
      <c r="AS146" s="132"/>
      <c r="AT146" s="132"/>
      <c r="AU146" s="213"/>
    </row>
    <row r="147" spans="24:47" x14ac:dyDescent="0.2">
      <c r="AE147" s="212"/>
      <c r="AF147" s="132"/>
      <c r="AG147" s="132"/>
      <c r="AH147" s="132"/>
      <c r="AI147" s="132"/>
      <c r="AJ147" s="132"/>
      <c r="AK147" s="132"/>
      <c r="AL147" s="132"/>
      <c r="AM147" s="132"/>
      <c r="AN147" s="132"/>
      <c r="AO147" s="132"/>
      <c r="AP147" s="132"/>
      <c r="AQ147" s="132"/>
      <c r="AR147" s="132"/>
      <c r="AS147" s="132"/>
      <c r="AT147" s="132"/>
      <c r="AU147" s="213"/>
    </row>
    <row r="148" spans="24:47" x14ac:dyDescent="0.2">
      <c r="AE148" s="212"/>
      <c r="AF148" s="132"/>
      <c r="AG148" s="132"/>
      <c r="AH148" s="132"/>
      <c r="AI148" s="132"/>
      <c r="AJ148" s="132"/>
      <c r="AK148" s="132"/>
      <c r="AL148" s="132"/>
      <c r="AM148" s="132"/>
      <c r="AN148" s="132"/>
      <c r="AO148" s="132"/>
      <c r="AP148" s="132"/>
      <c r="AQ148" s="132"/>
      <c r="AR148" s="132"/>
      <c r="AS148" s="132"/>
      <c r="AT148" s="132"/>
      <c r="AU148" s="213"/>
    </row>
    <row r="149" spans="24:47" x14ac:dyDescent="0.2">
      <c r="AE149" s="212"/>
      <c r="AF149" s="132"/>
      <c r="AG149" s="132"/>
      <c r="AH149" s="132"/>
      <c r="AI149" s="132"/>
      <c r="AJ149" s="132"/>
      <c r="AK149" s="132"/>
      <c r="AL149" s="132"/>
      <c r="AM149" s="132"/>
      <c r="AN149" s="132"/>
      <c r="AO149" s="132"/>
      <c r="AP149" s="132"/>
      <c r="AQ149" s="132"/>
      <c r="AR149" s="132"/>
      <c r="AS149" s="132"/>
      <c r="AT149" s="132"/>
      <c r="AU149" s="213"/>
    </row>
    <row r="150" spans="24:47" x14ac:dyDescent="0.2">
      <c r="AE150" s="212"/>
      <c r="AF150" s="132"/>
      <c r="AG150" s="132"/>
      <c r="AH150" s="132"/>
      <c r="AI150" s="132"/>
      <c r="AJ150" s="132"/>
      <c r="AK150" s="132"/>
      <c r="AL150" s="132"/>
      <c r="AM150" s="132"/>
      <c r="AN150" s="132"/>
      <c r="AO150" s="132"/>
      <c r="AP150" s="132"/>
      <c r="AQ150" s="132"/>
      <c r="AR150" s="132"/>
      <c r="AS150" s="132"/>
      <c r="AT150" s="132"/>
      <c r="AU150" s="213"/>
    </row>
    <row r="151" spans="24:47" x14ac:dyDescent="0.2">
      <c r="AE151" s="212"/>
      <c r="AF151" s="132"/>
      <c r="AG151" s="132"/>
      <c r="AH151" s="132"/>
      <c r="AI151" s="132"/>
      <c r="AJ151" s="132"/>
      <c r="AK151" s="132"/>
      <c r="AL151" s="132"/>
      <c r="AM151" s="132"/>
      <c r="AN151" s="132"/>
      <c r="AO151" s="132"/>
      <c r="AP151" s="132"/>
      <c r="AQ151" s="132"/>
      <c r="AR151" s="132"/>
      <c r="AS151" s="132"/>
      <c r="AT151" s="132"/>
      <c r="AU151" s="213"/>
    </row>
    <row r="152" spans="24:47" x14ac:dyDescent="0.2">
      <c r="AE152" s="212"/>
      <c r="AF152" s="132"/>
      <c r="AG152" s="132"/>
      <c r="AH152" s="132"/>
      <c r="AI152" s="132"/>
      <c r="AJ152" s="132"/>
      <c r="AK152" s="132"/>
      <c r="AL152" s="132"/>
      <c r="AM152" s="132"/>
      <c r="AN152" s="132"/>
      <c r="AO152" s="132"/>
      <c r="AP152" s="132"/>
      <c r="AQ152" s="132"/>
      <c r="AR152" s="132"/>
      <c r="AS152" s="132"/>
      <c r="AT152" s="132"/>
      <c r="AU152" s="213"/>
    </row>
    <row r="153" spans="24:47" x14ac:dyDescent="0.2">
      <c r="AE153" s="212"/>
      <c r="AF153" s="132"/>
      <c r="AG153" s="132"/>
      <c r="AH153" s="132"/>
      <c r="AI153" s="132"/>
      <c r="AJ153" s="132"/>
      <c r="AK153" s="132"/>
      <c r="AL153" s="132"/>
      <c r="AM153" s="132"/>
      <c r="AN153" s="132"/>
      <c r="AO153" s="132"/>
      <c r="AP153" s="132"/>
      <c r="AQ153" s="132"/>
      <c r="AR153" s="132"/>
      <c r="AS153" s="132"/>
      <c r="AT153" s="132"/>
      <c r="AU153" s="213"/>
    </row>
    <row r="154" spans="24:47" x14ac:dyDescent="0.2">
      <c r="AE154" s="212"/>
      <c r="AF154" s="132"/>
      <c r="AG154" s="132"/>
      <c r="AH154" s="132"/>
      <c r="AI154" s="132"/>
      <c r="AJ154" s="132"/>
      <c r="AK154" s="132"/>
      <c r="AL154" s="132"/>
      <c r="AM154" s="132"/>
      <c r="AN154" s="132"/>
      <c r="AO154" s="132"/>
      <c r="AP154" s="132"/>
      <c r="AQ154" s="132"/>
      <c r="AR154" s="132"/>
      <c r="AS154" s="132"/>
      <c r="AT154" s="132"/>
      <c r="AU154" s="213"/>
    </row>
    <row r="155" spans="24:47" x14ac:dyDescent="0.2">
      <c r="AE155" s="212"/>
      <c r="AF155" s="132"/>
      <c r="AG155" s="132"/>
      <c r="AH155" s="132"/>
      <c r="AI155" s="132"/>
      <c r="AJ155" s="132"/>
      <c r="AK155" s="132"/>
      <c r="AL155" s="132"/>
      <c r="AM155" s="132"/>
      <c r="AN155" s="132"/>
      <c r="AO155" s="132"/>
      <c r="AP155" s="132"/>
      <c r="AQ155" s="132"/>
      <c r="AR155" s="132"/>
      <c r="AS155" s="132"/>
      <c r="AT155" s="132"/>
      <c r="AU155" s="213"/>
    </row>
    <row r="156" spans="24:47" x14ac:dyDescent="0.2">
      <c r="AE156" s="212"/>
      <c r="AF156" s="132"/>
      <c r="AG156" s="132"/>
      <c r="AH156" s="132"/>
      <c r="AI156" s="132"/>
      <c r="AJ156" s="132"/>
      <c r="AK156" s="132"/>
      <c r="AL156" s="132"/>
      <c r="AM156" s="132"/>
      <c r="AN156" s="132"/>
      <c r="AO156" s="132"/>
      <c r="AP156" s="132"/>
      <c r="AQ156" s="132"/>
      <c r="AR156" s="132"/>
      <c r="AS156" s="132"/>
      <c r="AT156" s="132"/>
      <c r="AU156" s="213"/>
    </row>
    <row r="157" spans="24:47" x14ac:dyDescent="0.2">
      <c r="AE157" s="212"/>
      <c r="AF157" s="132"/>
      <c r="AG157" s="132"/>
      <c r="AH157" s="132"/>
      <c r="AI157" s="132"/>
      <c r="AJ157" s="132"/>
      <c r="AK157" s="132"/>
      <c r="AL157" s="132"/>
      <c r="AM157" s="132"/>
      <c r="AN157" s="132"/>
      <c r="AO157" s="132"/>
      <c r="AP157" s="132"/>
      <c r="AQ157" s="132"/>
      <c r="AR157" s="132"/>
      <c r="AS157" s="132"/>
      <c r="AT157" s="132"/>
      <c r="AU157" s="213"/>
    </row>
    <row r="158" spans="24:47" ht="15" customHeight="1" x14ac:dyDescent="0.2">
      <c r="X158" s="132"/>
      <c r="Y158" s="132"/>
      <c r="AE158" s="212"/>
      <c r="AF158" s="213"/>
      <c r="AG158" s="213"/>
      <c r="AH158" s="213"/>
      <c r="AI158" s="213"/>
      <c r="AJ158" s="213"/>
      <c r="AK158" s="213"/>
      <c r="AL158" s="213"/>
      <c r="AM158" s="213"/>
      <c r="AN158" s="213"/>
      <c r="AO158" s="213"/>
      <c r="AP158" s="213"/>
      <c r="AQ158" s="213"/>
      <c r="AR158" s="213"/>
      <c r="AS158" s="213"/>
      <c r="AT158" s="213"/>
      <c r="AU158" s="213"/>
    </row>
    <row r="159" spans="24:47" x14ac:dyDescent="0.2">
      <c r="AE159" s="212"/>
      <c r="AF159" s="132"/>
      <c r="AG159" s="132"/>
      <c r="AH159" s="132"/>
      <c r="AI159" s="132"/>
      <c r="AJ159" s="132"/>
      <c r="AK159" s="132"/>
      <c r="AL159" s="132"/>
      <c r="AM159" s="132"/>
      <c r="AN159" s="132"/>
      <c r="AO159" s="132"/>
      <c r="AP159" s="132"/>
      <c r="AQ159" s="132"/>
      <c r="AR159" s="132"/>
      <c r="AS159" s="132"/>
      <c r="AT159" s="132"/>
      <c r="AU159" s="213"/>
    </row>
    <row r="160" spans="24:47" x14ac:dyDescent="0.2">
      <c r="AE160" s="212"/>
      <c r="AF160" s="132"/>
      <c r="AG160" s="132"/>
      <c r="AH160" s="132"/>
      <c r="AI160" s="132"/>
      <c r="AJ160" s="132"/>
      <c r="AK160" s="132"/>
      <c r="AL160" s="132"/>
      <c r="AM160" s="132"/>
      <c r="AN160" s="132"/>
      <c r="AO160" s="132"/>
      <c r="AP160" s="132"/>
      <c r="AQ160" s="132"/>
      <c r="AR160" s="132"/>
      <c r="AS160" s="132"/>
      <c r="AT160" s="132"/>
      <c r="AU160" s="213"/>
    </row>
    <row r="161" spans="24:47" x14ac:dyDescent="0.2">
      <c r="AE161" s="212"/>
      <c r="AF161" s="132"/>
      <c r="AG161" s="132"/>
      <c r="AH161" s="132"/>
      <c r="AI161" s="132"/>
      <c r="AJ161" s="132"/>
      <c r="AK161" s="132"/>
      <c r="AL161" s="132"/>
      <c r="AM161" s="132"/>
      <c r="AN161" s="132"/>
      <c r="AO161" s="132"/>
      <c r="AP161" s="132"/>
      <c r="AQ161" s="132"/>
      <c r="AR161" s="132"/>
      <c r="AS161" s="132"/>
      <c r="AT161" s="132"/>
      <c r="AU161" s="213"/>
    </row>
    <row r="162" spans="24:47" x14ac:dyDescent="0.2">
      <c r="AE162" s="212"/>
      <c r="AF162" s="132"/>
      <c r="AG162" s="132"/>
      <c r="AH162" s="132"/>
      <c r="AI162" s="132"/>
      <c r="AJ162" s="132"/>
      <c r="AK162" s="132"/>
      <c r="AL162" s="132"/>
      <c r="AM162" s="132"/>
      <c r="AN162" s="132"/>
      <c r="AO162" s="132"/>
      <c r="AP162" s="132"/>
      <c r="AQ162" s="132"/>
      <c r="AR162" s="132"/>
      <c r="AS162" s="132"/>
      <c r="AT162" s="132"/>
      <c r="AU162" s="213"/>
    </row>
    <row r="163" spans="24:47" x14ac:dyDescent="0.2">
      <c r="AE163" s="212"/>
      <c r="AF163" s="132"/>
      <c r="AG163" s="132"/>
      <c r="AH163" s="132"/>
      <c r="AI163" s="132"/>
      <c r="AJ163" s="132"/>
      <c r="AK163" s="132"/>
      <c r="AL163" s="132"/>
      <c r="AM163" s="132"/>
      <c r="AN163" s="132"/>
      <c r="AO163" s="132"/>
      <c r="AP163" s="132"/>
      <c r="AQ163" s="132"/>
      <c r="AR163" s="132"/>
      <c r="AS163" s="132"/>
      <c r="AT163" s="132"/>
      <c r="AU163" s="213"/>
    </row>
    <row r="164" spans="24:47" x14ac:dyDescent="0.2">
      <c r="AE164" s="212"/>
      <c r="AF164" s="132"/>
      <c r="AG164" s="132"/>
      <c r="AH164" s="132"/>
      <c r="AI164" s="132"/>
      <c r="AJ164" s="132"/>
      <c r="AK164" s="132"/>
      <c r="AL164" s="132"/>
      <c r="AM164" s="132"/>
      <c r="AN164" s="132"/>
      <c r="AO164" s="132"/>
      <c r="AP164" s="132"/>
      <c r="AQ164" s="132"/>
      <c r="AR164" s="132"/>
      <c r="AS164" s="132"/>
      <c r="AT164" s="132"/>
      <c r="AU164" s="213"/>
    </row>
    <row r="165" spans="24:47" x14ac:dyDescent="0.2">
      <c r="AE165" s="212"/>
      <c r="AF165" s="132"/>
      <c r="AG165" s="132"/>
      <c r="AH165" s="132"/>
      <c r="AI165" s="132"/>
      <c r="AJ165" s="132"/>
      <c r="AK165" s="132"/>
      <c r="AL165" s="132"/>
      <c r="AM165" s="132"/>
      <c r="AN165" s="132"/>
      <c r="AO165" s="132"/>
      <c r="AP165" s="132"/>
      <c r="AQ165" s="132"/>
      <c r="AR165" s="132"/>
      <c r="AS165" s="132"/>
      <c r="AT165" s="132"/>
      <c r="AU165" s="213"/>
    </row>
    <row r="166" spans="24:47" x14ac:dyDescent="0.2">
      <c r="AE166" s="212"/>
      <c r="AF166" s="132"/>
      <c r="AG166" s="132"/>
      <c r="AH166" s="132"/>
      <c r="AI166" s="132"/>
      <c r="AJ166" s="132"/>
      <c r="AK166" s="132"/>
      <c r="AL166" s="132"/>
      <c r="AM166" s="132"/>
      <c r="AN166" s="132"/>
      <c r="AO166" s="132"/>
      <c r="AP166" s="132"/>
      <c r="AQ166" s="132"/>
      <c r="AR166" s="132"/>
      <c r="AS166" s="132"/>
      <c r="AT166" s="132"/>
    </row>
    <row r="167" spans="24:47" x14ac:dyDescent="0.2">
      <c r="AE167" s="212"/>
      <c r="AF167" s="132"/>
      <c r="AG167" s="132"/>
      <c r="AH167" s="132"/>
      <c r="AI167" s="132"/>
      <c r="AJ167" s="132"/>
      <c r="AK167" s="132"/>
      <c r="AL167" s="132"/>
      <c r="AM167" s="132"/>
      <c r="AN167" s="132"/>
      <c r="AO167" s="132"/>
      <c r="AP167" s="132"/>
      <c r="AQ167" s="132"/>
      <c r="AR167" s="132"/>
      <c r="AS167" s="132"/>
      <c r="AT167" s="132"/>
    </row>
    <row r="168" spans="24:47" x14ac:dyDescent="0.2">
      <c r="AE168" s="212"/>
      <c r="AF168" s="132"/>
      <c r="AG168" s="132"/>
      <c r="AH168" s="132"/>
      <c r="AI168" s="132"/>
      <c r="AJ168" s="132"/>
      <c r="AK168" s="132"/>
      <c r="AL168" s="132"/>
      <c r="AM168" s="132"/>
      <c r="AN168" s="132"/>
      <c r="AO168" s="132"/>
      <c r="AP168" s="132"/>
      <c r="AQ168" s="132"/>
      <c r="AR168" s="132"/>
      <c r="AS168" s="132"/>
      <c r="AT168" s="132"/>
    </row>
    <row r="169" spans="24:47" x14ac:dyDescent="0.2">
      <c r="AE169" s="212"/>
      <c r="AF169" s="132"/>
      <c r="AG169" s="132"/>
      <c r="AH169" s="132"/>
      <c r="AI169" s="132"/>
      <c r="AJ169" s="132"/>
      <c r="AK169" s="132"/>
      <c r="AL169" s="132"/>
      <c r="AM169" s="132"/>
      <c r="AN169" s="132"/>
      <c r="AO169" s="132"/>
      <c r="AP169" s="132"/>
      <c r="AQ169" s="132"/>
      <c r="AR169" s="132"/>
      <c r="AS169" s="132"/>
      <c r="AT169" s="132"/>
    </row>
    <row r="170" spans="24:47" x14ac:dyDescent="0.2">
      <c r="AE170" s="212"/>
      <c r="AF170" s="132"/>
      <c r="AG170" s="132"/>
      <c r="AH170" s="132"/>
      <c r="AI170" s="132"/>
      <c r="AJ170" s="132"/>
      <c r="AK170" s="132"/>
      <c r="AL170" s="132"/>
      <c r="AM170" s="132"/>
      <c r="AN170" s="132"/>
      <c r="AO170" s="132"/>
      <c r="AP170" s="132"/>
      <c r="AQ170" s="132"/>
      <c r="AR170" s="132"/>
      <c r="AS170" s="132"/>
      <c r="AT170" s="132"/>
    </row>
    <row r="171" spans="24:47" x14ac:dyDescent="0.2">
      <c r="AE171" s="212"/>
      <c r="AF171" s="132"/>
      <c r="AG171" s="132"/>
      <c r="AH171" s="132"/>
      <c r="AI171" s="132"/>
      <c r="AJ171" s="132"/>
      <c r="AK171" s="132"/>
      <c r="AL171" s="132"/>
      <c r="AM171" s="132"/>
      <c r="AN171" s="132"/>
      <c r="AO171" s="132"/>
      <c r="AP171" s="132"/>
      <c r="AQ171" s="132"/>
      <c r="AR171" s="132"/>
      <c r="AS171" s="132"/>
      <c r="AT171" s="132"/>
    </row>
    <row r="172" spans="24:47" x14ac:dyDescent="0.2">
      <c r="AE172" s="212"/>
      <c r="AG172" s="132"/>
      <c r="AH172" s="132"/>
      <c r="AI172" s="132"/>
      <c r="AJ172" s="132"/>
      <c r="AK172" s="132"/>
      <c r="AL172" s="132"/>
      <c r="AM172" s="132"/>
      <c r="AN172" s="132"/>
    </row>
    <row r="173" spans="24:47" ht="15" customHeight="1" x14ac:dyDescent="0.2">
      <c r="X173" s="132"/>
      <c r="Y173" s="132"/>
      <c r="AE173" s="212"/>
      <c r="AF173" s="132"/>
      <c r="AG173" s="132"/>
      <c r="AH173" s="132"/>
      <c r="AI173" s="132"/>
      <c r="AJ173" s="132"/>
      <c r="AK173" s="132"/>
      <c r="AL173" s="132"/>
      <c r="AM173" s="132"/>
      <c r="AN173" s="132"/>
      <c r="AO173" s="132"/>
      <c r="AP173" s="132"/>
      <c r="AQ173" s="132"/>
      <c r="AR173" s="132"/>
      <c r="AS173" s="132"/>
      <c r="AT173" s="132"/>
    </row>
    <row r="174" spans="24:47" x14ac:dyDescent="0.2">
      <c r="AE174" s="212"/>
      <c r="AF174" s="132"/>
      <c r="AG174" s="132"/>
      <c r="AH174" s="132"/>
      <c r="AI174" s="132"/>
      <c r="AJ174" s="132"/>
      <c r="AK174" s="132"/>
      <c r="AL174" s="132"/>
      <c r="AM174" s="132"/>
      <c r="AN174" s="132"/>
      <c r="AO174" s="132"/>
      <c r="AP174" s="132"/>
      <c r="AQ174" s="132"/>
      <c r="AR174" s="132"/>
      <c r="AS174" s="132"/>
      <c r="AT174" s="132"/>
    </row>
    <row r="175" spans="24:47" x14ac:dyDescent="0.2">
      <c r="AE175" s="212"/>
      <c r="AF175" s="132"/>
      <c r="AG175" s="132"/>
      <c r="AH175" s="132"/>
      <c r="AI175" s="132"/>
      <c r="AJ175" s="132"/>
      <c r="AK175" s="132"/>
      <c r="AL175" s="132"/>
      <c r="AM175" s="132"/>
      <c r="AN175" s="132"/>
      <c r="AO175" s="132"/>
      <c r="AP175" s="132"/>
      <c r="AQ175" s="132"/>
      <c r="AR175" s="132"/>
      <c r="AS175" s="132"/>
      <c r="AT175" s="132"/>
    </row>
    <row r="176" spans="24:47" x14ac:dyDescent="0.2">
      <c r="AE176" s="212"/>
      <c r="AF176" s="132"/>
      <c r="AG176" s="132"/>
      <c r="AH176" s="132"/>
      <c r="AI176" s="132"/>
      <c r="AJ176" s="132"/>
      <c r="AK176" s="132"/>
      <c r="AL176" s="132"/>
      <c r="AM176" s="132"/>
      <c r="AN176" s="132"/>
      <c r="AO176" s="132"/>
      <c r="AP176" s="132"/>
      <c r="AQ176" s="132"/>
      <c r="AR176" s="132"/>
      <c r="AS176" s="132"/>
      <c r="AT176" s="132"/>
    </row>
    <row r="177" spans="31:46" x14ac:dyDescent="0.2">
      <c r="AE177" s="212"/>
      <c r="AF177" s="132"/>
      <c r="AG177" s="132"/>
      <c r="AH177" s="132"/>
      <c r="AI177" s="132"/>
      <c r="AJ177" s="132"/>
      <c r="AK177" s="132"/>
      <c r="AL177" s="132"/>
      <c r="AM177" s="132"/>
      <c r="AN177" s="132"/>
      <c r="AO177" s="132"/>
      <c r="AP177" s="132"/>
      <c r="AQ177" s="132"/>
      <c r="AR177" s="132"/>
      <c r="AS177" s="132"/>
      <c r="AT177" s="132"/>
    </row>
    <row r="178" spans="31:46" x14ac:dyDescent="0.2">
      <c r="AE178" s="212"/>
      <c r="AF178" s="132"/>
      <c r="AG178" s="132"/>
      <c r="AH178" s="132"/>
      <c r="AI178" s="132"/>
      <c r="AJ178" s="132"/>
      <c r="AK178" s="132"/>
      <c r="AL178" s="132"/>
      <c r="AM178" s="132"/>
      <c r="AN178" s="132"/>
      <c r="AO178" s="132"/>
      <c r="AP178" s="132"/>
      <c r="AQ178" s="132"/>
      <c r="AR178" s="132"/>
      <c r="AS178" s="132"/>
      <c r="AT178" s="132"/>
    </row>
    <row r="179" spans="31:46" x14ac:dyDescent="0.2">
      <c r="AE179" s="212"/>
      <c r="AF179" s="132"/>
      <c r="AG179" s="132"/>
      <c r="AH179" s="132"/>
      <c r="AI179" s="132"/>
      <c r="AJ179" s="132"/>
      <c r="AK179" s="132"/>
      <c r="AL179" s="132"/>
      <c r="AM179" s="132"/>
      <c r="AN179" s="132"/>
      <c r="AO179" s="132"/>
      <c r="AP179" s="132"/>
      <c r="AQ179" s="132"/>
      <c r="AR179" s="132"/>
      <c r="AS179" s="132"/>
      <c r="AT179" s="132"/>
    </row>
    <row r="180" spans="31:46" x14ac:dyDescent="0.2">
      <c r="AE180" s="212"/>
      <c r="AF180" s="132"/>
      <c r="AG180" s="132"/>
      <c r="AH180" s="132"/>
      <c r="AI180" s="132"/>
      <c r="AJ180" s="132"/>
      <c r="AK180" s="132"/>
      <c r="AL180" s="132"/>
      <c r="AM180" s="132"/>
      <c r="AN180" s="132"/>
      <c r="AO180" s="132"/>
      <c r="AP180" s="132"/>
      <c r="AQ180" s="132"/>
      <c r="AR180" s="132"/>
      <c r="AS180" s="132"/>
      <c r="AT180" s="132"/>
    </row>
    <row r="181" spans="31:46" x14ac:dyDescent="0.2">
      <c r="AE181" s="212"/>
      <c r="AF181" s="132"/>
      <c r="AG181" s="132"/>
      <c r="AH181" s="132"/>
      <c r="AI181" s="132"/>
      <c r="AJ181" s="132"/>
      <c r="AK181" s="132"/>
      <c r="AL181" s="132"/>
      <c r="AM181" s="132"/>
      <c r="AN181" s="132"/>
      <c r="AO181" s="132"/>
      <c r="AP181" s="132"/>
      <c r="AQ181" s="132"/>
      <c r="AR181" s="132"/>
      <c r="AS181" s="132"/>
      <c r="AT181" s="132"/>
    </row>
    <row r="182" spans="31:46" x14ac:dyDescent="0.2">
      <c r="AE182" s="212"/>
      <c r="AF182" s="132"/>
      <c r="AG182" s="132"/>
      <c r="AH182" s="132"/>
      <c r="AI182" s="132"/>
      <c r="AJ182" s="132"/>
      <c r="AK182" s="132"/>
      <c r="AL182" s="132"/>
      <c r="AM182" s="132"/>
      <c r="AN182" s="132"/>
      <c r="AO182" s="132"/>
      <c r="AP182" s="132"/>
      <c r="AQ182" s="132"/>
      <c r="AR182" s="132"/>
      <c r="AS182" s="132"/>
      <c r="AT182" s="132"/>
    </row>
    <row r="183" spans="31:46" x14ac:dyDescent="0.2">
      <c r="AE183" s="212"/>
      <c r="AF183" s="132"/>
      <c r="AG183" s="132"/>
      <c r="AH183" s="132"/>
      <c r="AI183" s="132"/>
      <c r="AJ183" s="132"/>
      <c r="AK183" s="132"/>
      <c r="AL183" s="132"/>
      <c r="AM183" s="132"/>
      <c r="AN183" s="132"/>
      <c r="AO183" s="132"/>
      <c r="AP183" s="132"/>
      <c r="AQ183" s="132"/>
      <c r="AR183" s="132"/>
      <c r="AS183" s="132"/>
      <c r="AT183" s="132"/>
    </row>
    <row r="184" spans="31:46" x14ac:dyDescent="0.2">
      <c r="AE184" s="212"/>
      <c r="AF184" s="132"/>
      <c r="AG184" s="132"/>
      <c r="AH184" s="132"/>
      <c r="AI184" s="132"/>
      <c r="AJ184" s="132"/>
      <c r="AK184" s="132"/>
      <c r="AL184" s="132"/>
      <c r="AM184" s="132"/>
      <c r="AN184" s="132"/>
      <c r="AO184" s="132"/>
      <c r="AP184" s="132"/>
      <c r="AQ184" s="132"/>
      <c r="AR184" s="132"/>
      <c r="AS184" s="132"/>
      <c r="AT184" s="132"/>
    </row>
    <row r="185" spans="31:46" x14ac:dyDescent="0.2">
      <c r="AE185" s="212"/>
      <c r="AF185" s="132"/>
      <c r="AG185" s="132"/>
      <c r="AH185" s="132"/>
      <c r="AI185" s="132"/>
      <c r="AJ185" s="132"/>
      <c r="AK185" s="132"/>
      <c r="AL185" s="132"/>
      <c r="AM185" s="132"/>
      <c r="AN185" s="132"/>
      <c r="AO185" s="132"/>
      <c r="AP185" s="132"/>
      <c r="AQ185" s="132"/>
      <c r="AR185" s="132"/>
      <c r="AS185" s="132"/>
      <c r="AT185" s="132"/>
    </row>
    <row r="186" spans="31:46" x14ac:dyDescent="0.2">
      <c r="AE186" s="212"/>
      <c r="AG186" s="132"/>
      <c r="AH186" s="132"/>
      <c r="AI186" s="132"/>
      <c r="AJ186" s="132"/>
      <c r="AK186" s="132"/>
      <c r="AL186" s="132"/>
      <c r="AM186" s="132"/>
      <c r="AN186" s="132"/>
    </row>
    <row r="187" spans="31:46" x14ac:dyDescent="0.2">
      <c r="AE187" s="212"/>
      <c r="AF187" s="132"/>
      <c r="AG187" s="132"/>
      <c r="AH187" s="132"/>
      <c r="AI187" s="132"/>
      <c r="AJ187" s="132"/>
      <c r="AK187" s="132"/>
      <c r="AL187" s="132"/>
      <c r="AM187" s="132"/>
      <c r="AN187" s="132"/>
      <c r="AO187" s="132"/>
      <c r="AP187" s="132"/>
      <c r="AQ187" s="132"/>
      <c r="AR187" s="132"/>
      <c r="AS187" s="132"/>
      <c r="AT187" s="132"/>
    </row>
    <row r="188" spans="31:46" x14ac:dyDescent="0.2">
      <c r="AE188" s="212"/>
      <c r="AF188" s="132"/>
      <c r="AG188" s="132"/>
      <c r="AH188" s="132"/>
      <c r="AI188" s="132"/>
      <c r="AJ188" s="132"/>
      <c r="AK188" s="132"/>
      <c r="AL188" s="132"/>
      <c r="AM188" s="132"/>
      <c r="AN188" s="132"/>
      <c r="AO188" s="132"/>
      <c r="AP188" s="132"/>
      <c r="AQ188" s="132"/>
      <c r="AR188" s="132"/>
      <c r="AS188" s="132"/>
      <c r="AT188" s="132"/>
    </row>
    <row r="189" spans="31:46" x14ac:dyDescent="0.2">
      <c r="AE189" s="212"/>
      <c r="AF189" s="132"/>
      <c r="AG189" s="132"/>
      <c r="AH189" s="132"/>
      <c r="AI189" s="132"/>
      <c r="AJ189" s="132"/>
      <c r="AK189" s="132"/>
      <c r="AL189" s="132"/>
      <c r="AM189" s="132"/>
      <c r="AN189" s="132"/>
      <c r="AO189" s="132"/>
      <c r="AP189" s="132"/>
      <c r="AQ189" s="132"/>
      <c r="AR189" s="132"/>
      <c r="AS189" s="132"/>
      <c r="AT189" s="132"/>
    </row>
    <row r="190" spans="31:46" x14ac:dyDescent="0.2">
      <c r="AE190" s="212"/>
      <c r="AF190" s="132"/>
      <c r="AG190" s="132"/>
      <c r="AH190" s="132"/>
      <c r="AI190" s="132"/>
      <c r="AJ190" s="132"/>
      <c r="AK190" s="132"/>
      <c r="AL190" s="132"/>
      <c r="AM190" s="132"/>
      <c r="AN190" s="132"/>
      <c r="AO190" s="132"/>
      <c r="AP190" s="132"/>
      <c r="AQ190" s="132"/>
      <c r="AR190" s="132"/>
      <c r="AS190" s="132"/>
      <c r="AT190" s="132"/>
    </row>
    <row r="191" spans="31:46" x14ac:dyDescent="0.2">
      <c r="AE191" s="212"/>
      <c r="AF191" s="132"/>
      <c r="AG191" s="132"/>
      <c r="AH191" s="132"/>
      <c r="AI191" s="132"/>
      <c r="AJ191" s="132"/>
      <c r="AK191" s="132"/>
      <c r="AL191" s="132"/>
      <c r="AM191" s="132"/>
      <c r="AN191" s="132"/>
      <c r="AO191" s="132"/>
      <c r="AP191" s="132"/>
      <c r="AQ191" s="132"/>
      <c r="AR191" s="132"/>
      <c r="AS191" s="132"/>
      <c r="AT191" s="132"/>
    </row>
    <row r="192" spans="31:46" x14ac:dyDescent="0.2">
      <c r="AE192" s="212"/>
      <c r="AF192" s="132"/>
      <c r="AG192" s="132"/>
      <c r="AH192" s="132"/>
      <c r="AI192" s="132"/>
      <c r="AJ192" s="132"/>
      <c r="AK192" s="132"/>
      <c r="AL192" s="132"/>
      <c r="AM192" s="132"/>
      <c r="AN192" s="132"/>
      <c r="AO192" s="132"/>
      <c r="AP192" s="132"/>
      <c r="AQ192" s="132"/>
      <c r="AR192" s="132"/>
      <c r="AS192" s="132"/>
      <c r="AT192" s="132"/>
    </row>
    <row r="193" spans="31:46" x14ac:dyDescent="0.2">
      <c r="AE193" s="212"/>
      <c r="AF193" s="132"/>
      <c r="AG193" s="132"/>
      <c r="AH193" s="132"/>
      <c r="AI193" s="132"/>
      <c r="AJ193" s="132"/>
      <c r="AK193" s="132"/>
      <c r="AL193" s="132"/>
      <c r="AM193" s="132"/>
      <c r="AN193" s="132"/>
      <c r="AO193" s="132"/>
      <c r="AP193" s="132"/>
      <c r="AQ193" s="132"/>
      <c r="AR193" s="132"/>
      <c r="AS193" s="132"/>
      <c r="AT193" s="132"/>
    </row>
    <row r="194" spans="31:46" x14ac:dyDescent="0.2">
      <c r="AE194" s="212"/>
      <c r="AF194" s="132"/>
      <c r="AG194" s="132"/>
      <c r="AH194" s="132"/>
      <c r="AI194" s="132"/>
      <c r="AJ194" s="132"/>
      <c r="AK194" s="132"/>
      <c r="AL194" s="132"/>
      <c r="AM194" s="132"/>
      <c r="AN194" s="132"/>
      <c r="AO194" s="132"/>
      <c r="AP194" s="132"/>
      <c r="AQ194" s="132"/>
      <c r="AR194" s="132"/>
      <c r="AS194" s="132"/>
      <c r="AT194" s="132"/>
    </row>
    <row r="195" spans="31:46" x14ac:dyDescent="0.2">
      <c r="AE195" s="212"/>
      <c r="AF195" s="132"/>
      <c r="AG195" s="132"/>
      <c r="AH195" s="132"/>
      <c r="AI195" s="132"/>
      <c r="AJ195" s="132"/>
      <c r="AK195" s="132"/>
      <c r="AL195" s="132"/>
      <c r="AM195" s="132"/>
      <c r="AN195" s="132"/>
      <c r="AO195" s="132"/>
      <c r="AP195" s="132"/>
      <c r="AQ195" s="132"/>
      <c r="AR195" s="132"/>
      <c r="AS195" s="132"/>
      <c r="AT195" s="132"/>
    </row>
    <row r="196" spans="31:46" x14ac:dyDescent="0.2">
      <c r="AE196" s="212"/>
      <c r="AF196" s="132"/>
      <c r="AG196" s="132"/>
      <c r="AH196" s="132"/>
      <c r="AI196" s="132"/>
      <c r="AJ196" s="132"/>
      <c r="AK196" s="132"/>
      <c r="AL196" s="132"/>
      <c r="AM196" s="132"/>
      <c r="AN196" s="132"/>
      <c r="AO196" s="132"/>
      <c r="AP196" s="132"/>
      <c r="AQ196" s="132"/>
      <c r="AR196" s="132"/>
      <c r="AS196" s="132"/>
      <c r="AT196" s="132"/>
    </row>
    <row r="197" spans="31:46" x14ac:dyDescent="0.2">
      <c r="AE197" s="212"/>
      <c r="AF197" s="132"/>
      <c r="AG197" s="132"/>
      <c r="AH197" s="132"/>
      <c r="AI197" s="132"/>
      <c r="AJ197" s="132"/>
      <c r="AK197" s="132"/>
      <c r="AL197" s="132"/>
      <c r="AM197" s="132"/>
      <c r="AN197" s="132"/>
      <c r="AO197" s="132"/>
      <c r="AP197" s="132"/>
      <c r="AQ197" s="132"/>
      <c r="AR197" s="132"/>
      <c r="AS197" s="132"/>
      <c r="AT197" s="132"/>
    </row>
    <row r="198" spans="31:46" x14ac:dyDescent="0.2">
      <c r="AE198" s="212"/>
      <c r="AF198" s="132"/>
      <c r="AG198" s="132"/>
      <c r="AH198" s="132"/>
      <c r="AI198" s="132"/>
      <c r="AJ198" s="132"/>
      <c r="AK198" s="132"/>
      <c r="AL198" s="132"/>
      <c r="AM198" s="132"/>
      <c r="AN198" s="132"/>
      <c r="AO198" s="132"/>
      <c r="AP198" s="132"/>
      <c r="AQ198" s="132"/>
      <c r="AR198" s="132"/>
      <c r="AS198" s="132"/>
      <c r="AT198" s="132"/>
    </row>
    <row r="199" spans="31:46" x14ac:dyDescent="0.2">
      <c r="AE199" s="212"/>
      <c r="AF199" s="132"/>
      <c r="AG199" s="132"/>
      <c r="AH199" s="132"/>
      <c r="AI199" s="132"/>
      <c r="AJ199" s="132"/>
      <c r="AK199" s="132"/>
      <c r="AL199" s="132"/>
      <c r="AM199" s="132"/>
      <c r="AN199" s="132"/>
      <c r="AO199" s="132"/>
      <c r="AP199" s="132"/>
      <c r="AQ199" s="132"/>
      <c r="AR199" s="132"/>
      <c r="AS199" s="132"/>
      <c r="AT199" s="132"/>
    </row>
    <row r="200" spans="31:46" x14ac:dyDescent="0.2">
      <c r="AE200" s="212"/>
    </row>
    <row r="201" spans="31:46" x14ac:dyDescent="0.2">
      <c r="AE201" s="212"/>
      <c r="AF201" s="132"/>
      <c r="AG201" s="132"/>
      <c r="AH201" s="132"/>
      <c r="AI201" s="132"/>
      <c r="AJ201" s="132"/>
      <c r="AK201" s="132"/>
      <c r="AL201" s="132"/>
      <c r="AM201" s="132"/>
      <c r="AN201" s="132"/>
      <c r="AO201" s="132"/>
      <c r="AP201" s="132"/>
      <c r="AQ201" s="132"/>
      <c r="AR201" s="132"/>
      <c r="AS201" s="132"/>
      <c r="AT201" s="132"/>
    </row>
    <row r="202" spans="31:46" x14ac:dyDescent="0.2">
      <c r="AE202" s="212"/>
      <c r="AF202" s="132"/>
      <c r="AG202" s="132"/>
      <c r="AH202" s="132"/>
      <c r="AI202" s="132"/>
      <c r="AJ202" s="132"/>
      <c r="AK202" s="132"/>
      <c r="AL202" s="132"/>
      <c r="AM202" s="132"/>
      <c r="AN202" s="132"/>
      <c r="AO202" s="132"/>
      <c r="AP202" s="132"/>
      <c r="AQ202" s="132"/>
      <c r="AR202" s="132"/>
      <c r="AS202" s="132"/>
      <c r="AT202" s="132"/>
    </row>
    <row r="203" spans="31:46" x14ac:dyDescent="0.2">
      <c r="AE203" s="212"/>
      <c r="AF203" s="132"/>
      <c r="AG203" s="132"/>
      <c r="AH203" s="132"/>
      <c r="AI203" s="132"/>
      <c r="AJ203" s="132"/>
      <c r="AK203" s="132"/>
      <c r="AL203" s="132"/>
      <c r="AM203" s="132"/>
      <c r="AN203" s="132"/>
      <c r="AO203" s="132"/>
      <c r="AP203" s="132"/>
      <c r="AQ203" s="132"/>
      <c r="AR203" s="132"/>
      <c r="AS203" s="132"/>
      <c r="AT203" s="132"/>
    </row>
    <row r="204" spans="31:46" x14ac:dyDescent="0.2">
      <c r="AE204" s="212"/>
      <c r="AF204" s="132"/>
      <c r="AG204" s="132"/>
      <c r="AH204" s="132"/>
      <c r="AI204" s="132"/>
      <c r="AJ204" s="132"/>
      <c r="AK204" s="132"/>
      <c r="AL204" s="132"/>
      <c r="AM204" s="132"/>
      <c r="AN204" s="132"/>
      <c r="AO204" s="132"/>
      <c r="AP204" s="132"/>
      <c r="AQ204" s="132"/>
      <c r="AR204" s="132"/>
      <c r="AS204" s="132"/>
      <c r="AT204" s="132"/>
    </row>
    <row r="205" spans="31:46" x14ac:dyDescent="0.2">
      <c r="AE205" s="212"/>
      <c r="AF205" s="132"/>
      <c r="AG205" s="132"/>
      <c r="AH205" s="132"/>
      <c r="AI205" s="132"/>
      <c r="AJ205" s="132"/>
      <c r="AK205" s="132"/>
      <c r="AL205" s="132"/>
      <c r="AM205" s="132"/>
      <c r="AN205" s="132"/>
      <c r="AO205" s="132"/>
      <c r="AP205" s="132"/>
      <c r="AQ205" s="132"/>
      <c r="AR205" s="132"/>
      <c r="AS205" s="132"/>
      <c r="AT205" s="132"/>
    </row>
    <row r="206" spans="31:46" x14ac:dyDescent="0.2">
      <c r="AE206" s="212"/>
      <c r="AF206" s="132"/>
      <c r="AG206" s="132"/>
      <c r="AH206" s="132"/>
      <c r="AI206" s="132"/>
      <c r="AJ206" s="132"/>
      <c r="AK206" s="132"/>
      <c r="AL206" s="132"/>
      <c r="AM206" s="132"/>
      <c r="AN206" s="132"/>
      <c r="AO206" s="132"/>
      <c r="AP206" s="132"/>
      <c r="AQ206" s="132"/>
      <c r="AR206" s="132"/>
      <c r="AS206" s="132"/>
      <c r="AT206" s="132"/>
    </row>
    <row r="207" spans="31:46" x14ac:dyDescent="0.2">
      <c r="AE207" s="212"/>
      <c r="AF207" s="132"/>
      <c r="AG207" s="132"/>
      <c r="AH207" s="132"/>
      <c r="AI207" s="132"/>
      <c r="AJ207" s="132"/>
      <c r="AK207" s="132"/>
      <c r="AL207" s="132"/>
      <c r="AM207" s="132"/>
      <c r="AN207" s="132"/>
      <c r="AO207" s="132"/>
      <c r="AP207" s="132"/>
      <c r="AQ207" s="132"/>
      <c r="AR207" s="132"/>
      <c r="AS207" s="132"/>
      <c r="AT207" s="132"/>
    </row>
    <row r="208" spans="31:46" x14ac:dyDescent="0.2">
      <c r="AE208" s="212"/>
      <c r="AF208" s="132"/>
      <c r="AG208" s="132"/>
      <c r="AH208" s="132"/>
      <c r="AI208" s="132"/>
      <c r="AJ208" s="132"/>
      <c r="AK208" s="132"/>
      <c r="AL208" s="132"/>
      <c r="AM208" s="132"/>
      <c r="AN208" s="132"/>
      <c r="AO208" s="132"/>
      <c r="AP208" s="132"/>
      <c r="AQ208" s="132"/>
      <c r="AR208" s="132"/>
      <c r="AS208" s="132"/>
      <c r="AT208" s="132"/>
    </row>
    <row r="209" spans="31:46" x14ac:dyDescent="0.2">
      <c r="AE209" s="212"/>
      <c r="AF209" s="132"/>
      <c r="AG209" s="132"/>
      <c r="AH209" s="132"/>
      <c r="AI209" s="132"/>
      <c r="AJ209" s="132"/>
      <c r="AK209" s="132"/>
      <c r="AL209" s="132"/>
      <c r="AM209" s="132"/>
      <c r="AN209" s="132"/>
      <c r="AO209" s="132"/>
      <c r="AP209" s="132"/>
      <c r="AQ209" s="132"/>
      <c r="AR209" s="132"/>
      <c r="AS209" s="132"/>
      <c r="AT209" s="132"/>
    </row>
    <row r="210" spans="31:46" x14ac:dyDescent="0.2">
      <c r="AE210" s="212"/>
      <c r="AF210" s="132"/>
      <c r="AG210" s="132"/>
      <c r="AH210" s="132"/>
      <c r="AI210" s="132"/>
      <c r="AJ210" s="132"/>
      <c r="AK210" s="132"/>
      <c r="AL210" s="132"/>
      <c r="AM210" s="132"/>
      <c r="AN210" s="132"/>
      <c r="AO210" s="132"/>
      <c r="AP210" s="132"/>
      <c r="AQ210" s="132"/>
      <c r="AR210" s="132"/>
      <c r="AS210" s="132"/>
      <c r="AT210" s="132"/>
    </row>
    <row r="211" spans="31:46" x14ac:dyDescent="0.2">
      <c r="AE211" s="212"/>
      <c r="AF211" s="132"/>
      <c r="AG211" s="132"/>
      <c r="AH211" s="132"/>
      <c r="AI211" s="132"/>
      <c r="AJ211" s="132"/>
      <c r="AK211" s="132"/>
      <c r="AL211" s="132"/>
      <c r="AM211" s="132"/>
      <c r="AN211" s="132"/>
      <c r="AO211" s="132"/>
      <c r="AP211" s="132"/>
      <c r="AQ211" s="132"/>
      <c r="AR211" s="132"/>
      <c r="AS211" s="132"/>
      <c r="AT211" s="132"/>
    </row>
    <row r="212" spans="31:46" x14ac:dyDescent="0.2">
      <c r="AE212" s="212"/>
      <c r="AF212" s="132"/>
      <c r="AG212" s="132"/>
      <c r="AH212" s="132"/>
      <c r="AI212" s="132"/>
      <c r="AJ212" s="132"/>
      <c r="AK212" s="132"/>
      <c r="AL212" s="132"/>
      <c r="AM212" s="132"/>
      <c r="AN212" s="132"/>
      <c r="AO212" s="132"/>
      <c r="AP212" s="132"/>
      <c r="AQ212" s="132"/>
      <c r="AR212" s="132"/>
      <c r="AS212" s="132"/>
      <c r="AT212" s="132"/>
    </row>
    <row r="213" spans="31:46" x14ac:dyDescent="0.2">
      <c r="AE213" s="212"/>
      <c r="AF213" s="132"/>
      <c r="AG213" s="132"/>
      <c r="AH213" s="132"/>
      <c r="AI213" s="132"/>
      <c r="AJ213" s="132"/>
      <c r="AK213" s="132"/>
      <c r="AL213" s="132"/>
      <c r="AM213" s="132"/>
      <c r="AN213" s="132"/>
      <c r="AO213" s="132"/>
      <c r="AP213" s="132"/>
      <c r="AQ213" s="132"/>
      <c r="AR213" s="132"/>
      <c r="AS213" s="132"/>
      <c r="AT213" s="132"/>
    </row>
    <row r="215" spans="31:46" x14ac:dyDescent="0.2">
      <c r="AE215" s="212"/>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4"/>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5"/>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5"/>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3GvJ6W53ajz+UPnmlHJHFY08Y4mMWPii4+cdlbxcXWf4WB/ugBcdOT/b9MXn5WQEAboiwy9qf0mvkqtq835zVw==" saltValue="RLB27izK1WDwQFb09yrtyA==" spinCount="100000" sheet="1" objects="1" scenarios="1"/>
  <mergeCells count="222">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E23:H23"/>
    <mergeCell ref="I23:L23"/>
    <mergeCell ref="M23:P23"/>
    <mergeCell ref="Q23:T23"/>
    <mergeCell ref="U23:X23"/>
    <mergeCell ref="Y23:AB23"/>
    <mergeCell ref="AC23:AF23"/>
    <mergeCell ref="AG23:AJ23"/>
    <mergeCell ref="AK23:AN23"/>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AO23:AR23"/>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C28:AF28"/>
    <mergeCell ref="AG28:AJ28"/>
    <mergeCell ref="AK28:AN28"/>
    <mergeCell ref="AO28:AR28"/>
    <mergeCell ref="AW30:BA32"/>
    <mergeCell ref="AX33:AY33"/>
    <mergeCell ref="E28:H28"/>
    <mergeCell ref="I28:L28"/>
    <mergeCell ref="M28:P28"/>
    <mergeCell ref="Q28:T28"/>
    <mergeCell ref="U28:X28"/>
    <mergeCell ref="Y28:AB28"/>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F72:I72"/>
    <mergeCell ref="L72:O72"/>
    <mergeCell ref="R72:U72"/>
    <mergeCell ref="X72:AA72"/>
    <mergeCell ref="AW48:AX48"/>
    <mergeCell ref="I49:K49"/>
    <mergeCell ref="AM49:AP49"/>
    <mergeCell ref="AE53:AG53"/>
    <mergeCell ref="AI53:AJ53"/>
    <mergeCell ref="AK53:AL53"/>
    <mergeCell ref="AM53:AN53"/>
    <mergeCell ref="AP53:AQ53"/>
    <mergeCell ref="AW76:AW80"/>
    <mergeCell ref="AX76:AX80"/>
    <mergeCell ref="AN78:AP78"/>
    <mergeCell ref="AN79:AP79"/>
    <mergeCell ref="AN80:AS80"/>
    <mergeCell ref="AE84:AL84"/>
    <mergeCell ref="AE55:AN55"/>
    <mergeCell ref="AO55:AP55"/>
    <mergeCell ref="AI57:AS57"/>
    <mergeCell ref="AE70:AL70"/>
    <mergeCell ref="AN70:AS70"/>
    <mergeCell ref="AE90:AS92"/>
    <mergeCell ref="Z91:AB93"/>
    <mergeCell ref="H96:K96"/>
    <mergeCell ref="O96:R96"/>
    <mergeCell ref="V96:Y96"/>
    <mergeCell ref="AQ96:AR96"/>
    <mergeCell ref="H85:K85"/>
    <mergeCell ref="O85:R85"/>
    <mergeCell ref="V85:Y85"/>
    <mergeCell ref="AE85:AL85"/>
    <mergeCell ref="AP86:AR86"/>
    <mergeCell ref="Z87:AB89"/>
    <mergeCell ref="AM87:AO87"/>
    <mergeCell ref="AM88:AR88"/>
    <mergeCell ref="T112:Y112"/>
    <mergeCell ref="T114:U114"/>
    <mergeCell ref="E116:R118"/>
    <mergeCell ref="AW96:AX96"/>
    <mergeCell ref="C98:AO98"/>
    <mergeCell ref="T104:U104"/>
    <mergeCell ref="T106:U106"/>
    <mergeCell ref="T108:U108"/>
    <mergeCell ref="T110:Y110"/>
  </mergeCells>
  <conditionalFormatting sqref="AG45:AL45">
    <cfRule type="expression" dxfId="318" priority="282">
      <formula>$AC$43="x"</formula>
    </cfRule>
  </conditionalFormatting>
  <conditionalFormatting sqref="AO44:AS44">
    <cfRule type="expression" dxfId="317" priority="281">
      <formula>$AK$42="x"</formula>
    </cfRule>
  </conditionalFormatting>
  <conditionalFormatting sqref="AP7:AS7">
    <cfRule type="expression" dxfId="316" priority="280">
      <formula>$AM$5&gt;0</formula>
    </cfRule>
  </conditionalFormatting>
  <conditionalFormatting sqref="E28:AR28">
    <cfRule type="expression" dxfId="315" priority="265">
      <formula>AND($A$28&lt;&gt;"",F$10&lt;&gt;"")</formula>
    </cfRule>
  </conditionalFormatting>
  <conditionalFormatting sqref="F72:I72">
    <cfRule type="expression" dxfId="314" priority="304">
      <formula>$F$72=""</formula>
    </cfRule>
  </conditionalFormatting>
  <conditionalFormatting sqref="H85:K85">
    <cfRule type="expression" dxfId="313" priority="271">
      <formula>$H$85=""</formula>
    </cfRule>
  </conditionalFormatting>
  <conditionalFormatting sqref="O85:R85">
    <cfRule type="expression" dxfId="312" priority="302">
      <formula>$O$85=""</formula>
    </cfRule>
  </conditionalFormatting>
  <conditionalFormatting sqref="V85:Y85">
    <cfRule type="expression" dxfId="311" priority="270">
      <formula>$V$85=""</formula>
    </cfRule>
  </conditionalFormatting>
  <conditionalFormatting sqref="O96:R96">
    <cfRule type="expression" dxfId="310" priority="268">
      <formula>$O$96=""</formula>
    </cfRule>
  </conditionalFormatting>
  <conditionalFormatting sqref="AM49:AP49">
    <cfRule type="expression" dxfId="309" priority="164">
      <formula>$AM$49=""</formula>
    </cfRule>
  </conditionalFormatting>
  <conditionalFormatting sqref="AH54">
    <cfRule type="expression" dxfId="308" priority="283">
      <formula>$AE$53=0</formula>
    </cfRule>
  </conditionalFormatting>
  <conditionalFormatting sqref="L72:O72">
    <cfRule type="expression" dxfId="307" priority="274">
      <formula>$L$72=""</formula>
    </cfRule>
  </conditionalFormatting>
  <conditionalFormatting sqref="R72:U72">
    <cfRule type="expression" dxfId="306" priority="273">
      <formula>$R$72=""</formula>
    </cfRule>
  </conditionalFormatting>
  <conditionalFormatting sqref="X72:AA72">
    <cfRule type="expression" dxfId="305" priority="272">
      <formula>$X$72=""</formula>
    </cfRule>
  </conditionalFormatting>
  <conditionalFormatting sqref="AT5">
    <cfRule type="expression" dxfId="304" priority="138">
      <formula>$AT$5=1</formula>
    </cfRule>
  </conditionalFormatting>
  <conditionalFormatting sqref="AM43:AQ43">
    <cfRule type="expression" dxfId="303" priority="167">
      <formula>$AM$43=""</formula>
    </cfRule>
  </conditionalFormatting>
  <conditionalFormatting sqref="AR43:AS43">
    <cfRule type="expression" dxfId="302" priority="137">
      <formula>$AR$43=""</formula>
    </cfRule>
  </conditionalFormatting>
  <conditionalFormatting sqref="AM45:AS45">
    <cfRule type="expression" dxfId="301" priority="166">
      <formula>$AM$45=""</formula>
    </cfRule>
  </conditionalFormatting>
  <conditionalFormatting sqref="AE70:AL70">
    <cfRule type="expression" dxfId="300" priority="148">
      <formula>$AE$70=""</formula>
    </cfRule>
  </conditionalFormatting>
  <conditionalFormatting sqref="AN70:AS70">
    <cfRule type="expression" dxfId="299" priority="133">
      <formula>$AN$70=""</formula>
    </cfRule>
  </conditionalFormatting>
  <conditionalFormatting sqref="AO55:AP55">
    <cfRule type="expression" dxfId="298" priority="45">
      <formula>$AT$52=1</formula>
    </cfRule>
    <cfRule type="expression" dxfId="297" priority="131">
      <formula>$AO$55=""</formula>
    </cfRule>
  </conditionalFormatting>
  <conditionalFormatting sqref="AN80:AS80">
    <cfRule type="expression" dxfId="296" priority="128">
      <formula>$AN$80=""</formula>
    </cfRule>
  </conditionalFormatting>
  <conditionalFormatting sqref="H96:K96">
    <cfRule type="expression" dxfId="295" priority="288">
      <formula>$H$96=""</formula>
    </cfRule>
  </conditionalFormatting>
  <conditionalFormatting sqref="AM88:AR88">
    <cfRule type="expression" dxfId="294" priority="121">
      <formula>$AM$88=""</formula>
    </cfRule>
  </conditionalFormatting>
  <conditionalFormatting sqref="Y5:AF5">
    <cfRule type="expression" dxfId="293" priority="259">
      <formula>$Y$5=""</formula>
    </cfRule>
  </conditionalFormatting>
  <conditionalFormatting sqref="Y6:AF6">
    <cfRule type="expression" dxfId="292" priority="117">
      <formula>$Y$6=""</formula>
    </cfRule>
  </conditionalFormatting>
  <conditionalFormatting sqref="Y7:AF7">
    <cfRule type="expression" dxfId="291" priority="116">
      <formula>$Y$7=""</formula>
    </cfRule>
  </conditionalFormatting>
  <conditionalFormatting sqref="AJ5:AL5">
    <cfRule type="expression" dxfId="290" priority="255">
      <formula>$AJ$5=""</formula>
    </cfRule>
  </conditionalFormatting>
  <conditionalFormatting sqref="AJ6:AL6">
    <cfRule type="expression" dxfId="289" priority="114">
      <formula>$AJ$6=""</formula>
    </cfRule>
  </conditionalFormatting>
  <conditionalFormatting sqref="AJ7:AL7">
    <cfRule type="expression" dxfId="288" priority="113">
      <formula>$AJ$7=""</formula>
    </cfRule>
  </conditionalFormatting>
  <conditionalFormatting sqref="I49:K49">
    <cfRule type="expression" dxfId="287" priority="112">
      <formula>$I$49=""</formula>
    </cfRule>
  </conditionalFormatting>
  <conditionalFormatting sqref="T45:U45">
    <cfRule type="expression" dxfId="286" priority="111">
      <formula>$T$45=""</formula>
    </cfRule>
  </conditionalFormatting>
  <conditionalFormatting sqref="Z42:Z45">
    <cfRule type="expression" dxfId="285" priority="110">
      <formula>$Z$42=""</formula>
    </cfRule>
  </conditionalFormatting>
  <conditionalFormatting sqref="AX33:AY42">
    <cfRule type="expression" dxfId="284" priority="108">
      <formula>AW33=""</formula>
    </cfRule>
  </conditionalFormatting>
  <conditionalFormatting sqref="A9:A11">
    <cfRule type="expression" dxfId="283" priority="49">
      <formula>$C$11&lt;36</formula>
    </cfRule>
  </conditionalFormatting>
  <conditionalFormatting sqref="A28">
    <cfRule type="expression" dxfId="282" priority="106">
      <formula>$E$28&gt;0</formula>
    </cfRule>
  </conditionalFormatting>
  <conditionalFormatting sqref="AX33:AY42">
    <cfRule type="expression" dxfId="281" priority="109">
      <formula>AX33=""</formula>
    </cfRule>
  </conditionalFormatting>
  <conditionalFormatting sqref="R112:Y114">
    <cfRule type="expression" dxfId="280" priority="56">
      <formula>$T$110=""</formula>
    </cfRule>
  </conditionalFormatting>
  <conditionalFormatting sqref="AE53:AG53">
    <cfRule type="expression" dxfId="279" priority="46">
      <formula>$AT$52=1</formula>
    </cfRule>
    <cfRule type="expression" dxfId="278" priority="83">
      <formula>$AE$53=0</formula>
    </cfRule>
  </conditionalFormatting>
  <conditionalFormatting sqref="AW48:AX48">
    <cfRule type="expression" dxfId="277" priority="82">
      <formula>$AW$48=""</formula>
    </cfRule>
  </conditionalFormatting>
  <conditionalFormatting sqref="AE84:AL84">
    <cfRule type="expression" dxfId="276" priority="74">
      <formula>$AE$84=""</formula>
    </cfRule>
  </conditionalFormatting>
  <conditionalFormatting sqref="AB102:AB120">
    <cfRule type="expression" dxfId="275" priority="72">
      <formula>$T$104&lt;&gt;105</formula>
    </cfRule>
  </conditionalFormatting>
  <conditionalFormatting sqref="AB120:AG120">
    <cfRule type="expression" dxfId="274" priority="71">
      <formula>$T$104&lt;&gt;105</formula>
    </cfRule>
  </conditionalFormatting>
  <conditionalFormatting sqref="AG102:AG120">
    <cfRule type="expression" dxfId="273" priority="70">
      <formula>AND($T$104&lt;&gt;105,$T$104&lt;&gt;85)</formula>
    </cfRule>
  </conditionalFormatting>
  <conditionalFormatting sqref="AB102:AG102">
    <cfRule type="expression" dxfId="272" priority="69">
      <formula>$T$104&lt;&gt;105</formula>
    </cfRule>
  </conditionalFormatting>
  <conditionalFormatting sqref="AH120:AM120">
    <cfRule type="expression" dxfId="271" priority="68">
      <formula>$T$104&lt;&gt;85</formula>
    </cfRule>
  </conditionalFormatting>
  <conditionalFormatting sqref="AH102:AM102">
    <cfRule type="expression" dxfId="270" priority="67">
      <formula>$T$104&lt;&gt;85</formula>
    </cfRule>
  </conditionalFormatting>
  <conditionalFormatting sqref="AN102:AN120">
    <cfRule type="expression" dxfId="269" priority="66">
      <formula>AND($T$104&lt;&gt;85,$T$104&lt;&gt;110)</formula>
    </cfRule>
  </conditionalFormatting>
  <conditionalFormatting sqref="AN120:AT120">
    <cfRule type="expression" dxfId="268" priority="65">
      <formula>$T$104&lt;&gt;110</formula>
    </cfRule>
  </conditionalFormatting>
  <conditionalFormatting sqref="AT102:AT120">
    <cfRule type="expression" dxfId="267" priority="64">
      <formula>$T$104&lt;&gt;110</formula>
    </cfRule>
  </conditionalFormatting>
  <conditionalFormatting sqref="AN102:AT102">
    <cfRule type="expression" dxfId="266" priority="63">
      <formula>$T$104&lt;&gt;110</formula>
    </cfRule>
  </conditionalFormatting>
  <conditionalFormatting sqref="T104:U104">
    <cfRule type="expression" dxfId="265" priority="62">
      <formula>$T$104=""</formula>
    </cfRule>
  </conditionalFormatting>
  <conditionalFormatting sqref="T106:U106">
    <cfRule type="expression" dxfId="264" priority="61">
      <formula>$T$106=""</formula>
    </cfRule>
  </conditionalFormatting>
  <conditionalFormatting sqref="T108:U108">
    <cfRule type="expression" dxfId="263" priority="60">
      <formula>$T$108=""</formula>
    </cfRule>
  </conditionalFormatting>
  <conditionalFormatting sqref="T114:U114">
    <cfRule type="expression" dxfId="262" priority="59">
      <formula>$T$114=""</formula>
    </cfRule>
  </conditionalFormatting>
  <conditionalFormatting sqref="T110:Y110">
    <cfRule type="expression" dxfId="261" priority="57">
      <formula>$T$110=""</formula>
    </cfRule>
  </conditionalFormatting>
  <conditionalFormatting sqref="T112:Y112">
    <cfRule type="expression" dxfId="260" priority="58">
      <formula>$T$112=""</formula>
    </cfRule>
  </conditionalFormatting>
  <conditionalFormatting sqref="AI57:AS57">
    <cfRule type="expression" dxfId="259" priority="163">
      <formula>$AI$57=""</formula>
    </cfRule>
  </conditionalFormatting>
  <conditionalFormatting sqref="AX25:AZ26">
    <cfRule type="expression" dxfId="258" priority="51">
      <formula>$AX$25=""</formula>
    </cfRule>
  </conditionalFormatting>
  <conditionalFormatting sqref="AM87:AO87">
    <cfRule type="expression" dxfId="257" priority="47">
      <formula>$AM$87=""</formula>
    </cfRule>
  </conditionalFormatting>
  <conditionalFormatting sqref="AT52">
    <cfRule type="expression" dxfId="256" priority="44">
      <formula>$AT$52=1</formula>
    </cfRule>
  </conditionalFormatting>
  <conditionalFormatting sqref="AX76:AX80">
    <cfRule type="expression" dxfId="255" priority="41">
      <formula>$AN$80=""</formula>
    </cfRule>
  </conditionalFormatting>
  <conditionalFormatting sqref="AB62">
    <cfRule type="expression" dxfId="254" priority="40">
      <formula>$AB$62&gt;0</formula>
    </cfRule>
  </conditionalFormatting>
  <conditionalFormatting sqref="AB73">
    <cfRule type="expression" dxfId="253" priority="39">
      <formula>$AB$73&gt;0</formula>
    </cfRule>
  </conditionalFormatting>
  <conditionalFormatting sqref="M6:Q6">
    <cfRule type="expression" dxfId="252" priority="319">
      <formula>$M$6=""</formula>
    </cfRule>
  </conditionalFormatting>
  <conditionalFormatting sqref="AN78:AP78">
    <cfRule type="expression" dxfId="251" priority="130">
      <formula>$AN$78=""</formula>
    </cfRule>
  </conditionalFormatting>
  <conditionalFormatting sqref="AN79:AP79">
    <cfRule type="expression" dxfId="250" priority="129">
      <formula>$AN$79=""</formula>
    </cfRule>
  </conditionalFormatting>
  <conditionalFormatting sqref="AM46:AS46">
    <cfRule type="expression" dxfId="249" priority="134">
      <formula>$AM$46=""</formula>
    </cfRule>
  </conditionalFormatting>
  <conditionalFormatting sqref="AM47:AS47">
    <cfRule type="expression" dxfId="248" priority="32">
      <formula>$AM$47=""</formula>
    </cfRule>
  </conditionalFormatting>
  <conditionalFormatting sqref="AQ96:AR96">
    <cfRule type="expression" dxfId="247" priority="18">
      <formula>$AQ$96=""</formula>
    </cfRule>
  </conditionalFormatting>
  <conditionalFormatting sqref="BD2:BI10">
    <cfRule type="expression" dxfId="246" priority="9">
      <formula>$AW$2=""</formula>
    </cfRule>
  </conditionalFormatting>
  <conditionalFormatting sqref="AZ9:BA9">
    <cfRule type="expression" dxfId="245" priority="6">
      <formula>$AZ$9=""</formula>
    </cfRule>
  </conditionalFormatting>
  <conditionalFormatting sqref="AZ10:BA10">
    <cfRule type="expression" dxfId="244" priority="5">
      <formula>$AZ$10=""</formula>
    </cfRule>
  </conditionalFormatting>
  <dataValidations count="8">
    <dataValidation type="whole" allowBlank="1" showInputMessage="1" showErrorMessage="1" sqref="J58:M59 I46:K49" xr:uid="{83A27E90-A9D7-4EF7-A422-C00688912BD9}">
      <formula1>0</formula1>
      <formula2>100000</formula2>
    </dataValidation>
    <dataValidation type="custom" operator="equal" allowBlank="1" showInputMessage="1" showErrorMessage="1" sqref="AA60 E33:E34 E40:E41 Q40:Q41 E6:E7 AN33 AN44 AA47:AA49" xr:uid="{99A08E3A-D3DC-4C83-ABEA-F69227D67166}">
      <formula1>E6="X"</formula1>
    </dataValidation>
    <dataValidation type="whole" allowBlank="1" showInputMessage="1" showErrorMessage="1" sqref="H21:I21 AJ21:AK21 L21:M21 P21:Q21 T21:U21 X21:Y21 AB21:AC21 AF21:AG21 AN21:AO21" xr:uid="{427E2B61-AB5F-45CB-AD50-24C25252EE1F}">
      <formula1>0</formula1>
      <formula2>360</formula2>
    </dataValidation>
    <dataValidation type="whole" allowBlank="1" showInputMessage="1" showErrorMessage="1" sqref="E28:AR28 Z42:Z45" xr:uid="{EDFEB4E2-3549-4B06-9C64-81721774C6A4}">
      <formula1>0</formula1>
      <formula2>10000</formula2>
    </dataValidation>
    <dataValidation type="whole" allowBlank="1" showInputMessage="1" showErrorMessage="1" sqref="T45:U45" xr:uid="{4847D38A-EE65-4C54-A3A1-93855760BBF8}">
      <formula1>0</formula1>
      <formula2>3000</formula2>
    </dataValidation>
    <dataValidation type="date" operator="greaterThanOrEqual" allowBlank="1" showInputMessage="1" showErrorMessage="1" sqref="Y7:AF7" xr:uid="{1DC05164-5F67-4E18-92A4-5C58B5FDDEBF}">
      <formula1>TODAY()-3</formula1>
    </dataValidation>
    <dataValidation type="whole" operator="equal" allowBlank="1" showInputMessage="1" showErrorMessage="1" sqref="AB62 AB73" xr:uid="{992D5CCC-8AD9-44CB-966E-40645D1B2BB7}">
      <formula1>1</formula1>
    </dataValidation>
    <dataValidation type="whole" allowBlank="1" showInputMessage="1" showErrorMessage="1" sqref="AJ6:AL6" xr:uid="{10D59A8A-7A22-4617-987D-8663D2E3F1D5}">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5362"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5363"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5364"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5365"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5366"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5367"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5368"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5369"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5371" r:id="rId14" name="Check Box 11">
              <controlPr locked="0" defaultSize="0" autoFill="0" autoLine="0" autoPict="0">
                <anchor moveWithCells="1">
                  <from>
                    <xdr:col>40</xdr:col>
                    <xdr:colOff>0</xdr:colOff>
                    <xdr:row>32</xdr:row>
                    <xdr:rowOff>0</xdr:rowOff>
                  </from>
                  <to>
                    <xdr:col>41</xdr:col>
                    <xdr:colOff>0</xdr:colOff>
                    <xdr:row>33</xdr:row>
                    <xdr:rowOff>0</xdr:rowOff>
                  </to>
                </anchor>
              </controlPr>
            </control>
          </mc:Choice>
        </mc:AlternateContent>
        <mc:AlternateContent xmlns:mc="http://schemas.openxmlformats.org/markup-compatibility/2006">
          <mc:Choice Requires="x14">
            <control shapeId="15372" r:id="rId15" name="Check Box 12">
              <controlPr locked="0" defaultSize="0" autoFill="0" autoLine="0" autoPict="0">
                <anchor moveWithCells="1">
                  <from>
                    <xdr:col>42</xdr:col>
                    <xdr:colOff>0</xdr:colOff>
                    <xdr:row>4</xdr:row>
                    <xdr:rowOff>0</xdr:rowOff>
                  </from>
                  <to>
                    <xdr:col>43</xdr:col>
                    <xdr:colOff>0</xdr:colOff>
                    <xdr:row>4</xdr:row>
                    <xdr:rowOff>171450</xdr:rowOff>
                  </to>
                </anchor>
              </controlPr>
            </control>
          </mc:Choice>
        </mc:AlternateContent>
        <mc:AlternateContent xmlns:mc="http://schemas.openxmlformats.org/markup-compatibility/2006">
          <mc:Choice Requires="x14">
            <control shapeId="15373"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5374" r:id="rId17" name="Check Box 14">
              <controlPr locked="0" defaultSize="0" autoFill="0" autoLine="0" autoPict="0">
                <anchor moveWithCells="1">
                  <from>
                    <xdr:col>42</xdr:col>
                    <xdr:colOff>0</xdr:colOff>
                    <xdr:row>6</xdr:row>
                    <xdr:rowOff>0</xdr:rowOff>
                  </from>
                  <to>
                    <xdr:col>43</xdr:col>
                    <xdr:colOff>0</xdr:colOff>
                    <xdr:row>7</xdr:row>
                    <xdr:rowOff>19050</xdr:rowOff>
                  </to>
                </anchor>
              </controlPr>
            </control>
          </mc:Choice>
        </mc:AlternateContent>
        <mc:AlternateContent xmlns:mc="http://schemas.openxmlformats.org/markup-compatibility/2006">
          <mc:Choice Requires="x14">
            <control shapeId="15375" r:id="rId18" name="Check Box 15">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5376" r:id="rId19" name="Check Box 16">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5377" r:id="rId20" name="Check Box 17">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5378" r:id="rId21" name="Check Box 18">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5379" r:id="rId22" name="Check Box 19">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5380" r:id="rId23" name="Check Box 20">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5381" r:id="rId24" name="Check Box 21">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5382" r:id="rId25" name="Check Box 22">
              <controlPr locked="0" defaultSize="0" autoFill="0" autoLine="0" autoPict="0">
                <anchor moveWithCells="1">
                  <from>
                    <xdr:col>9</xdr:col>
                    <xdr:colOff>76200</xdr:colOff>
                    <xdr:row>52</xdr:row>
                    <xdr:rowOff>114300</xdr:rowOff>
                  </from>
                  <to>
                    <xdr:col>10</xdr:col>
                    <xdr:colOff>76200</xdr:colOff>
                    <xdr:row>53</xdr:row>
                    <xdr:rowOff>114300</xdr:rowOff>
                  </to>
                </anchor>
              </controlPr>
            </control>
          </mc:Choice>
        </mc:AlternateContent>
        <mc:AlternateContent xmlns:mc="http://schemas.openxmlformats.org/markup-compatibility/2006">
          <mc:Choice Requires="x14">
            <control shapeId="15383" r:id="rId26" name="Check Box 23">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5384" r:id="rId27" name="Check Box 24">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5385" r:id="rId28" name="Check Box 25">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5386" r:id="rId29" name="Check Box 26">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5387" r:id="rId30" name="Check Box 27">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5388" r:id="rId31" name="Check Box 28">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mc:AlternateContent xmlns:mc="http://schemas.openxmlformats.org/markup-compatibility/2006">
          <mc:Choice Requires="x14">
            <control shapeId="15389" r:id="rId32" name="Check Box 2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5390" r:id="rId33" name="Check Box 3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5391" r:id="rId34" name="Check Box 3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5392" r:id="rId35" name="Check Box 3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5393" r:id="rId36" name="Check Box 33">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5394" r:id="rId37" name="Check Box 34">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5395" r:id="rId38" name="Check Box 35">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5396" r:id="rId39" name="Check Box 36">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5397" r:id="rId40" name="Check Box 37">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5398" r:id="rId41" name="Check Box 38">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5399" r:id="rId42" name="Check Box 39">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5400" r:id="rId43" name="Check Box 40">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5401" r:id="rId44" name="Check Box 4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5402" r:id="rId45" name="Check Box 4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5403" r:id="rId46" name="Check Box 4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5404" r:id="rId47" name="Check Box 4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5405" r:id="rId48" name="Check Box 45">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5406" r:id="rId49" name="Check Box 46">
              <controlPr locked="0" defaultSize="0" autoFill="0" autoLine="0" autoPict="0">
                <anchor moveWithCells="1">
                  <from>
                    <xdr:col>13</xdr:col>
                    <xdr:colOff>28575</xdr:colOff>
                    <xdr:row>62</xdr:row>
                    <xdr:rowOff>57150</xdr:rowOff>
                  </from>
                  <to>
                    <xdr:col>14</xdr:col>
                    <xdr:colOff>38100</xdr:colOff>
                    <xdr:row>63</xdr:row>
                    <xdr:rowOff>57150</xdr:rowOff>
                  </to>
                </anchor>
              </controlPr>
            </control>
          </mc:Choice>
        </mc:AlternateContent>
        <mc:AlternateContent xmlns:mc="http://schemas.openxmlformats.org/markup-compatibility/2006">
          <mc:Choice Requires="x14">
            <control shapeId="15407" r:id="rId50" name="Check Box 47">
              <controlPr locked="0" defaultSize="0" autoFill="0" autoLine="0" autoPict="0">
                <anchor moveWithCells="1">
                  <from>
                    <xdr:col>11</xdr:col>
                    <xdr:colOff>28575</xdr:colOff>
                    <xdr:row>68</xdr:row>
                    <xdr:rowOff>47625</xdr:rowOff>
                  </from>
                  <to>
                    <xdr:col>12</xdr:col>
                    <xdr:colOff>38100</xdr:colOff>
                    <xdr:row>69</xdr:row>
                    <xdr:rowOff>47625</xdr:rowOff>
                  </to>
                </anchor>
              </controlPr>
            </control>
          </mc:Choice>
        </mc:AlternateContent>
        <mc:AlternateContent xmlns:mc="http://schemas.openxmlformats.org/markup-compatibility/2006">
          <mc:Choice Requires="x14">
            <control shapeId="15408" r:id="rId51" name="Check Box 4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5409" r:id="rId52" name="Check Box 4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5410" r:id="rId53" name="Check Box 50">
              <controlPr locked="0" defaultSize="0" autoFill="0" autoLine="0" autoPict="0">
                <anchor moveWithCells="1">
                  <from>
                    <xdr:col>40</xdr:col>
                    <xdr:colOff>0</xdr:colOff>
                    <xdr:row>33</xdr:row>
                    <xdr:rowOff>0</xdr:rowOff>
                  </from>
                  <to>
                    <xdr:col>41</xdr:col>
                    <xdr:colOff>0</xdr:colOff>
                    <xdr:row>34</xdr:row>
                    <xdr:rowOff>0</xdr:rowOff>
                  </to>
                </anchor>
              </controlPr>
            </control>
          </mc:Choice>
        </mc:AlternateContent>
        <mc:AlternateContent xmlns:mc="http://schemas.openxmlformats.org/markup-compatibility/2006">
          <mc:Choice Requires="x14">
            <control shapeId="15411" r:id="rId54" name="Check Box 51">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5412" r:id="rId55" name="Check Box 52">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5413" r:id="rId56" name="Check Box 53">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5414" r:id="rId57" name="Check Box 54">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8" id="{A643BC71-039D-4FCF-96EA-DFF7FEE3CEEF}">
            <xm:f>$A$9&lt;&gt;'Sprachen &amp; Rückgabewerte(5)'!$H$132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6" id="{4FD0A62A-48D7-4F41-9168-1159BDD50765}">
            <xm:f>'Sprachen &amp; Rückgabewerte(5)'!$U$49=FALSE</xm:f>
            <x14:dxf>
              <border>
                <bottom style="thin">
                  <color rgb="FFFF0000"/>
                </bottom>
                <vertical/>
                <horizontal/>
              </border>
            </x14:dxf>
          </x14:cfRule>
          <x14:cfRule type="expression" priority="279" id="{E3E4BD2A-06A3-4999-87CB-0EFF03E5E15D}">
            <xm:f>'Sprachen &amp; Rückgabewerte(5)'!$I$12=FALSE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78" id="{786FA993-1A6B-472C-A3BC-A42E0BAF3893}">
            <xm:f>AND('Sprachen &amp; Rückgabewerte(5)'!$I$11=FALSE,'Sprachen &amp; Rückgabewerte(5)'!$I$12=FALSE)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7" id="{92304A02-88A9-426F-9F1B-D9A6C4FB138A}">
            <xm:f>AND('Sprachen &amp; Rückgabewerte(5)'!$I$10=FALSE,'Sprachen &amp; Rückgabewerte(5)'!$I$11=FALSE,'Sprachen &amp; Rückgabewerte(5)'!$I$12=FALSE)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6E02A0E6-C5F5-4AAA-8A2A-0E229B76F2A4}">
            <xm:f>AND($AP$86="",'Sprachen &amp; Rückgabewerte(5)'!$I$51=TRUE)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6" id="{8F539A2C-F910-4F91-824D-BEF1287E1218}">
            <xm:f>'Sprachen &amp; Rückgabewerte(5)'!$I$51=TRUE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5" id="{9378002C-2E81-4839-9D44-181D1D667171}">
            <xm:f>'Sprachen &amp; Rückgabewerte(5)'!$C$41=FALSE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9" id="{45C2A9BB-F2A0-4788-8C68-4B7A8D6FF610}">
            <xm:f>'Sprachen &amp; Rückgabewerte(5)'!$C$42=FALSE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4" id="{AE31E785-665B-4DBD-833F-3E0EA02A201C}">
            <xm:f>'Sprachen &amp; Rückgabewerte(5)'!$C$43=FALSE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3" id="{39D9F8C4-10FF-4A53-AE15-D3417E8F8AC4}">
            <xm:f>'Sprachen &amp; Rückgabewerte(5)'!$C$44=FALSE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1" id="{677B85FA-0728-4748-A55F-D92C67051DD9}">
            <xm:f>'Sprachen &amp; Rückgabewerte(5)'!$C$45=FALSE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6" id="{9DBB114A-30D2-4A04-91C9-5D34D2936150}">
            <xm:f>'Sprachen &amp; Rückgabewerte(5)'!$C$46=FALSE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9" id="{38A035E2-87C9-44D8-B2B5-B7DA1BC92E1D}">
            <xm:f>'Sprachen &amp; Rückgabewerte(5)'!$C$47=FALSE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40" id="{09194DD7-3CFB-4AEF-BF31-AB2A38A68372}">
            <xm:f>'Sprachen &amp; Rückgabewerte(5)'!$C$49=FALSE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6" id="{DDD7CFC5-49B5-4B7B-BDAE-83CBEB6A6DEC}">
            <xm:f>G$20='Sprachen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7" id="{135A27BB-D647-4EB9-A07C-00C221F70D93}">
            <xm:f>G$20='Sprachen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4" id="{36156386-CDD3-4813-8F8C-58625C2EF0B4}">
            <xm:f>'Sprachen &amp; Rückgabewerte(5)'!$L$41=0</xm:f>
            <x14:dxf>
              <border>
                <left style="thin">
                  <color rgb="FFFF0000"/>
                </left>
                <vertical/>
                <horizontal/>
              </border>
            </x14:dxf>
          </x14:cfRule>
          <xm:sqref>C5:C8</xm:sqref>
        </x14:conditionalFormatting>
        <x14:conditionalFormatting xmlns:xm="http://schemas.microsoft.com/office/excel/2006/main">
          <x14:cfRule type="expression" priority="263" id="{0EC98579-373F-4A4A-A931-64D3335567E6}">
            <xm:f>'Sprachen &amp; Rückgabewerte(5)'!$L$41=0</xm:f>
            <x14:dxf>
              <border>
                <top style="thin">
                  <color rgb="FFFF0000"/>
                </top>
                <vertical/>
                <horizontal/>
              </border>
            </x14:dxf>
          </x14:cfRule>
          <xm:sqref>C5:R5</xm:sqref>
        </x14:conditionalFormatting>
        <x14:conditionalFormatting xmlns:xm="http://schemas.microsoft.com/office/excel/2006/main">
          <x14:cfRule type="expression" priority="262" id="{D2ED5205-9DAD-4AFE-8779-FFF5302437EA}">
            <xm:f>'Sprachen &amp; Rückgabewerte(5)'!$L$41=0</xm:f>
            <x14:dxf>
              <border>
                <right style="thin">
                  <color rgb="FFFF0000"/>
                </right>
                <vertical/>
                <horizontal/>
              </border>
            </x14:dxf>
          </x14:cfRule>
          <xm:sqref>R5:R8</xm:sqref>
        </x14:conditionalFormatting>
        <x14:conditionalFormatting xmlns:xm="http://schemas.microsoft.com/office/excel/2006/main">
          <x14:cfRule type="expression" priority="261" id="{783B05A2-20FD-4F33-90F6-891EBD2070F5}">
            <xm:f>'Sprachen &amp; Rückgabewerte(5)'!$L$41=0</xm:f>
            <x14:dxf>
              <border>
                <bottom style="thin">
                  <color rgb="FFFF0000"/>
                </bottom>
                <vertical/>
                <horizontal/>
              </border>
            </x14:dxf>
          </x14:cfRule>
          <xm:sqref>C8:R8</xm:sqref>
        </x14:conditionalFormatting>
        <x14:conditionalFormatting xmlns:xm="http://schemas.microsoft.com/office/excel/2006/main">
          <x14:cfRule type="expression" priority="260" id="{47A28E30-5048-4147-BBAC-C94569CC746C}">
            <xm:f>'Sprachen &amp; Rückgabewerte(5)'!$L$42=0</xm:f>
            <x14:dxf>
              <border>
                <left style="thin">
                  <color rgb="FFFF0000"/>
                </left>
                <vertical/>
                <horizontal/>
              </border>
            </x14:dxf>
          </x14:cfRule>
          <xm:sqref>S5:S8</xm:sqref>
        </x14:conditionalFormatting>
        <x14:conditionalFormatting xmlns:xm="http://schemas.microsoft.com/office/excel/2006/main">
          <x14:cfRule type="expression" priority="118" id="{5E72C530-454C-42F6-91F0-7D868496FAC8}">
            <xm:f>'Sprachen &amp; Rückgabewerte(5)'!$L$42=0</xm:f>
            <x14:dxf>
              <border>
                <top style="thin">
                  <color rgb="FFFF0000"/>
                </top>
                <vertical/>
                <horizontal/>
              </border>
            </x14:dxf>
          </x14:cfRule>
          <xm:sqref>S5:AG5</xm:sqref>
        </x14:conditionalFormatting>
        <x14:conditionalFormatting xmlns:xm="http://schemas.microsoft.com/office/excel/2006/main">
          <x14:cfRule type="expression" priority="258" id="{13E34B48-C057-431A-AB20-40E9890EEC08}">
            <xm:f>'Sprachen &amp; Rückgabewerte(5)'!$L$42=0</xm:f>
            <x14:dxf>
              <border>
                <right style="thin">
                  <color rgb="FFFF0000"/>
                </right>
                <vertical/>
                <horizontal/>
              </border>
            </x14:dxf>
          </x14:cfRule>
          <xm:sqref>AG5:AG8</xm:sqref>
        </x14:conditionalFormatting>
        <x14:conditionalFormatting xmlns:xm="http://schemas.microsoft.com/office/excel/2006/main">
          <x14:cfRule type="expression" priority="257" id="{0DDDFEF4-50BC-46FF-960E-2767C37A6FC6}">
            <xm:f>'Sprachen &amp; Rückgabewerte(5)'!$L$42=0</xm:f>
            <x14:dxf>
              <border>
                <bottom style="thin">
                  <color rgb="FFFF0000"/>
                </bottom>
                <vertical/>
                <horizontal/>
              </border>
            </x14:dxf>
          </x14:cfRule>
          <xm:sqref>S8:AG8</xm:sqref>
        </x14:conditionalFormatting>
        <x14:conditionalFormatting xmlns:xm="http://schemas.microsoft.com/office/excel/2006/main">
          <x14:cfRule type="expression" priority="256" id="{92BDEF4E-92F2-40EE-882B-5692F0E89580}">
            <xm:f>'Sprachen &amp; Rückgabewerte(5)'!$L$43=0</xm:f>
            <x14:dxf>
              <border>
                <left style="thin">
                  <color rgb="FFFF0000"/>
                </left>
                <vertical/>
                <horizontal/>
              </border>
            </x14:dxf>
          </x14:cfRule>
          <xm:sqref>AH5:AH8</xm:sqref>
        </x14:conditionalFormatting>
        <x14:conditionalFormatting xmlns:xm="http://schemas.microsoft.com/office/excel/2006/main">
          <x14:cfRule type="expression" priority="115" id="{8B5F807F-F21C-4D0A-AFC7-406FCC2D2732}">
            <xm:f>'Sprachen &amp; Rückgabewerte(5)'!$L$43=0</xm:f>
            <x14:dxf>
              <border>
                <top style="thin">
                  <color rgb="FFFF0000"/>
                </top>
                <vertical/>
                <horizontal/>
              </border>
            </x14:dxf>
          </x14:cfRule>
          <xm:sqref>AH5:AM5</xm:sqref>
        </x14:conditionalFormatting>
        <x14:conditionalFormatting xmlns:xm="http://schemas.microsoft.com/office/excel/2006/main">
          <x14:cfRule type="expression" priority="254" id="{A650335C-2951-4416-BCEB-02B695A589BE}">
            <xm:f>'Sprachen &amp; Rückgabewerte(5)'!$L$43=0</xm:f>
            <x14:dxf>
              <border>
                <right style="thin">
                  <color rgb="FFFF0000"/>
                </right>
                <vertical/>
                <horizontal/>
              </border>
            </x14:dxf>
          </x14:cfRule>
          <xm:sqref>AM5:AM8</xm:sqref>
        </x14:conditionalFormatting>
        <x14:conditionalFormatting xmlns:xm="http://schemas.microsoft.com/office/excel/2006/main">
          <x14:cfRule type="expression" priority="253" id="{70F9F2ED-3E8C-46C2-84A0-5FEB3DEEFA68}">
            <xm:f>'Sprachen &amp; Rückgabewerte(5)'!$L$43=0</xm:f>
            <x14:dxf>
              <border>
                <bottom style="thin">
                  <color rgb="FFFF0000"/>
                </bottom>
                <vertical/>
                <horizontal/>
              </border>
            </x14:dxf>
          </x14:cfRule>
          <xm:sqref>AH8:AM8</xm:sqref>
        </x14:conditionalFormatting>
        <x14:conditionalFormatting xmlns:xm="http://schemas.microsoft.com/office/excel/2006/main">
          <x14:cfRule type="expression" priority="252" id="{AECBF9D4-737E-4BBB-8E18-D57F588840C5}">
            <xm:f>'Sprachen &amp; Rückgabewerte(5)'!$L$44=0</xm:f>
            <x14:dxf>
              <border>
                <left style="thin">
                  <color rgb="FFFF0000"/>
                </left>
                <vertical/>
                <horizontal/>
              </border>
            </x14:dxf>
          </x14:cfRule>
          <xm:sqref>AN5:AN8</xm:sqref>
        </x14:conditionalFormatting>
        <x14:conditionalFormatting xmlns:xm="http://schemas.microsoft.com/office/excel/2006/main">
          <x14:cfRule type="expression" priority="251" id="{0DE27C36-7BE8-40AA-9107-EADB62BE67EC}">
            <xm:f>'Sprachen &amp; Rückgabewerte(5)'!$L$44=0</xm:f>
            <x14:dxf>
              <border>
                <top style="thin">
                  <color rgb="FFFF0000"/>
                </top>
                <vertical/>
                <horizontal/>
              </border>
            </x14:dxf>
          </x14:cfRule>
          <xm:sqref>AN5:AT5</xm:sqref>
        </x14:conditionalFormatting>
        <x14:conditionalFormatting xmlns:xm="http://schemas.microsoft.com/office/excel/2006/main">
          <x14:cfRule type="expression" priority="250" id="{22C1AEF4-6E65-4BF5-ABC6-3A38A8CE6F11}">
            <xm:f>'Sprachen &amp; Rückgabewerte(5)'!$L$44=0</xm:f>
            <x14:dxf>
              <border>
                <right style="thin">
                  <color rgb="FFFF0000"/>
                </right>
                <vertical/>
                <horizontal/>
              </border>
            </x14:dxf>
          </x14:cfRule>
          <xm:sqref>AT5:AT8</xm:sqref>
        </x14:conditionalFormatting>
        <x14:conditionalFormatting xmlns:xm="http://schemas.microsoft.com/office/excel/2006/main">
          <x14:cfRule type="expression" priority="249" id="{F71D3FDD-8EF4-4677-92F3-E0C605E2C37D}">
            <xm:f>'Sprachen &amp; Rückgabewerte(5)'!$L$44=0</xm:f>
            <x14:dxf>
              <border>
                <bottom style="thin">
                  <color rgb="FFFF0000"/>
                </bottom>
                <vertical/>
                <horizontal/>
              </border>
            </x14:dxf>
          </x14:cfRule>
          <xm:sqref>AN8:AT8</xm:sqref>
        </x14:conditionalFormatting>
        <x14:conditionalFormatting xmlns:xm="http://schemas.microsoft.com/office/excel/2006/main">
          <x14:cfRule type="expression" priority="248" id="{5A00B917-1351-45F5-B5A2-064FB115423C}">
            <xm:f>'Sprachen &amp; Rückgabewerte(5)'!$L$45=0</xm:f>
            <x14:dxf>
              <border>
                <left style="thin">
                  <color rgb="FFFF0000"/>
                </left>
                <vertical/>
                <horizontal/>
              </border>
            </x14:dxf>
          </x14:cfRule>
          <xm:sqref>C9:C30</xm:sqref>
        </x14:conditionalFormatting>
        <x14:conditionalFormatting xmlns:xm="http://schemas.microsoft.com/office/excel/2006/main">
          <x14:cfRule type="expression" priority="241" id="{54E68D45-EFB5-4E2F-9139-D57C969CEF45}">
            <xm:f>'Sprachen &amp; Rückgabewerte(5)'!$L$46=0</xm:f>
            <x14:dxf>
              <border>
                <bottom style="thin">
                  <color rgb="FFFF0000"/>
                </bottom>
                <vertical/>
                <horizontal/>
              </border>
            </x14:dxf>
          </x14:cfRule>
          <x14:cfRule type="expression" priority="247" id="{A6708E79-FA93-48FB-AFF1-6CF49ADD79AD}">
            <xm:f>'Sprachen &amp; Rückgabewerte(5)'!$L$45=0</xm:f>
            <x14:dxf>
              <border>
                <bottom style="thin">
                  <color rgb="FFFF0000"/>
                </bottom>
                <vertical/>
                <horizontal/>
              </border>
            </x14:dxf>
          </x14:cfRule>
          <xm:sqref>C30:AT30</xm:sqref>
        </x14:conditionalFormatting>
        <x14:conditionalFormatting xmlns:xm="http://schemas.microsoft.com/office/excel/2006/main">
          <x14:cfRule type="expression" priority="246" id="{B847D2DF-6B14-423C-8ED9-9DF5D0289523}">
            <xm:f>'Sprachen &amp; Rückgabewerte(5)'!$L$45=0</xm:f>
            <x14:dxf>
              <border>
                <top style="thin">
                  <color rgb="FFFF0000"/>
                </top>
                <vertical/>
                <horizontal/>
              </border>
            </x14:dxf>
          </x14:cfRule>
          <xm:sqref>C9:AT9</xm:sqref>
        </x14:conditionalFormatting>
        <x14:conditionalFormatting xmlns:xm="http://schemas.microsoft.com/office/excel/2006/main">
          <x14:cfRule type="expression" priority="245" id="{8CD37EB9-4C41-4605-93BA-3519D9335548}">
            <xm:f>'Sprachen &amp; Rückgabewerte(5)'!$L$45=0</xm:f>
            <x14:dxf>
              <border>
                <right style="thin">
                  <color rgb="FFFF0000"/>
                </right>
                <vertical/>
                <horizontal/>
              </border>
            </x14:dxf>
          </x14:cfRule>
          <xm:sqref>AT9:AT30</xm:sqref>
        </x14:conditionalFormatting>
        <x14:conditionalFormatting xmlns:xm="http://schemas.microsoft.com/office/excel/2006/main">
          <x14:cfRule type="expression" priority="244" id="{6D8689E4-DEB3-48F1-8893-4B8011221FB7}">
            <xm:f>'Sprachen &amp; Rückgabewerte(5)'!$L$46=0</xm:f>
            <x14:dxf>
              <border>
                <left style="thin">
                  <color rgb="FFFF0000"/>
                </left>
                <vertical/>
                <horizontal/>
              </border>
            </x14:dxf>
          </x14:cfRule>
          <xm:sqref>C27:C30</xm:sqref>
        </x14:conditionalFormatting>
        <x14:conditionalFormatting xmlns:xm="http://schemas.microsoft.com/office/excel/2006/main">
          <x14:cfRule type="expression" priority="243" id="{CC0A734A-16E4-4A05-8C1B-0926E1E48CA4}">
            <xm:f>'Sprachen &amp; Rückgabewerte(5)'!$L$46=0</xm:f>
            <x14:dxf>
              <border>
                <top style="thin">
                  <color rgb="FFFF0000"/>
                </top>
                <vertical/>
                <horizontal/>
              </border>
            </x14:dxf>
          </x14:cfRule>
          <xm:sqref>C27:AT27</xm:sqref>
        </x14:conditionalFormatting>
        <x14:conditionalFormatting xmlns:xm="http://schemas.microsoft.com/office/excel/2006/main">
          <x14:cfRule type="expression" priority="242" id="{97558AA1-EA82-4167-84E0-18487F51E3FB}">
            <xm:f>'Sprachen &amp; Rückgabewerte(5)'!$L$46=0</xm:f>
            <x14:dxf>
              <border>
                <right style="thin">
                  <color rgb="FFFF0000"/>
                </right>
                <vertical/>
                <horizontal/>
              </border>
            </x14:dxf>
          </x14:cfRule>
          <xm:sqref>AT27:AT30</xm:sqref>
        </x14:conditionalFormatting>
        <x14:conditionalFormatting xmlns:xm="http://schemas.microsoft.com/office/excel/2006/main">
          <x14:cfRule type="expression" priority="240" id="{25EEE4AD-8216-4F50-BF6C-55605D9B4D8F}">
            <xm:f>'Sprachen &amp; Rückgabewerte(5)'!$L$47=0</xm:f>
            <x14:dxf>
              <border>
                <left style="thin">
                  <color rgb="FFFF0000"/>
                </left>
                <vertical/>
                <horizontal/>
              </border>
            </x14:dxf>
          </x14:cfRule>
          <xm:sqref>C32:C35</xm:sqref>
        </x14:conditionalFormatting>
        <x14:conditionalFormatting xmlns:xm="http://schemas.microsoft.com/office/excel/2006/main">
          <x14:cfRule type="expression" priority="239" id="{DA19B609-FCA0-4EE8-A961-1A023B2ACFA4}">
            <xm:f>'Sprachen &amp; Rückgabewerte(5)'!$L$47=0</xm:f>
            <x14:dxf>
              <border>
                <top style="thin">
                  <color rgb="FFFF0000"/>
                </top>
                <vertical/>
                <horizontal/>
              </border>
            </x14:dxf>
          </x14:cfRule>
          <xm:sqref>C32:AB32</xm:sqref>
        </x14:conditionalFormatting>
        <x14:conditionalFormatting xmlns:xm="http://schemas.microsoft.com/office/excel/2006/main">
          <x14:cfRule type="expression" priority="238" id="{42AF2B7E-6502-4B6E-8C95-1C1913C1137E}">
            <xm:f>'Sprachen &amp; Rückgabewerte(5)'!$L$47=0</xm:f>
            <x14:dxf>
              <border>
                <right style="thin">
                  <color rgb="FFFF0000"/>
                </right>
                <vertical/>
                <horizontal/>
              </border>
            </x14:dxf>
          </x14:cfRule>
          <xm:sqref>AB32:AB35</xm:sqref>
        </x14:conditionalFormatting>
        <x14:conditionalFormatting xmlns:xm="http://schemas.microsoft.com/office/excel/2006/main">
          <x14:cfRule type="expression" priority="237" id="{7BC8B615-5E5D-427E-AFF2-EF6757D1B8E2}">
            <xm:f>'Sprachen &amp; Rückgabewerte(5)'!$L$47=0</xm:f>
            <x14:dxf>
              <border>
                <bottom style="thin">
                  <color rgb="FFFF0000"/>
                </bottom>
                <vertical/>
                <horizontal/>
              </border>
            </x14:dxf>
          </x14:cfRule>
          <xm:sqref>C35:AB35</xm:sqref>
        </x14:conditionalFormatting>
        <x14:conditionalFormatting xmlns:xm="http://schemas.microsoft.com/office/excel/2006/main">
          <x14:cfRule type="expression" priority="236" id="{98980B09-D95D-4503-BDD3-7CD6F985B8C7}">
            <xm:f>'Sprachen &amp; Rückgabewerte(5)'!$M$49=0</xm:f>
            <x14:dxf>
              <border>
                <left style="thin">
                  <color rgb="FFFF0000"/>
                </left>
                <vertical/>
                <horizontal/>
              </border>
            </x14:dxf>
          </x14:cfRule>
          <xm:sqref>C36:C60</xm:sqref>
        </x14:conditionalFormatting>
        <x14:conditionalFormatting xmlns:xm="http://schemas.microsoft.com/office/excel/2006/main">
          <x14:cfRule type="expression" priority="235" id="{BC52BA3F-D21D-4E14-8544-B3E65315DF41}">
            <xm:f>'Sprachen &amp; Rückgabewerte(5)'!$M$49=0</xm:f>
            <x14:dxf>
              <border>
                <top style="thin">
                  <color rgb="FFFF0000"/>
                </top>
                <vertical/>
                <horizontal/>
              </border>
            </x14:dxf>
          </x14:cfRule>
          <xm:sqref>C36:O36</xm:sqref>
        </x14:conditionalFormatting>
        <x14:conditionalFormatting xmlns:xm="http://schemas.microsoft.com/office/excel/2006/main">
          <x14:cfRule type="expression" priority="234" id="{FCDEC91E-A33A-471A-9D92-85222B330F93}">
            <xm:f>'Sprachen &amp; Rückgabewerte(5)'!$M$49=0</xm:f>
            <x14:dxf>
              <border>
                <right style="thin">
                  <color rgb="FFFF0000"/>
                </right>
                <vertical/>
                <horizontal/>
              </border>
            </x14:dxf>
          </x14:cfRule>
          <xm:sqref>O36:O60</xm:sqref>
        </x14:conditionalFormatting>
        <x14:conditionalFormatting xmlns:xm="http://schemas.microsoft.com/office/excel/2006/main">
          <x14:cfRule type="expression" priority="233" id="{786CC58E-C893-4086-BDEB-C38A2225A31B}">
            <xm:f>'Sprachen &amp; Rückgabewerte(5)'!$M$49=0</xm:f>
            <x14:dxf>
              <border>
                <bottom style="thin">
                  <color rgb="FFFF0000"/>
                </bottom>
                <vertical/>
                <horizontal/>
              </border>
            </x14:dxf>
          </x14:cfRule>
          <xm:sqref>C60:O60</xm:sqref>
        </x14:conditionalFormatting>
        <x14:conditionalFormatting xmlns:xm="http://schemas.microsoft.com/office/excel/2006/main">
          <x14:cfRule type="expression" priority="232" id="{1752CC6F-865B-4F44-8AC0-2F439641CF04}">
            <xm:f>'Sprachen &amp; Rückgabewerte(5)'!$L$50=0</xm:f>
            <x14:dxf>
              <border>
                <top style="thin">
                  <color rgb="FFFF0000"/>
                </top>
                <vertical/>
                <horizontal/>
              </border>
            </x14:dxf>
          </x14:cfRule>
          <xm:sqref>P36:AB36</xm:sqref>
        </x14:conditionalFormatting>
        <x14:conditionalFormatting xmlns:xm="http://schemas.microsoft.com/office/excel/2006/main">
          <x14:cfRule type="expression" priority="231" id="{CD4A474D-71DE-4A4A-9017-2E28D21CF6B3}">
            <xm:f>'Sprachen &amp; Rückgabewerte(5)'!$L$50=0</xm:f>
            <x14:dxf>
              <border>
                <right style="thin">
                  <color rgb="FFFF0000"/>
                </right>
              </border>
            </x14:dxf>
          </x14:cfRule>
          <xm:sqref>AB36:AB60</xm:sqref>
        </x14:conditionalFormatting>
        <x14:conditionalFormatting xmlns:xm="http://schemas.microsoft.com/office/excel/2006/main">
          <x14:cfRule type="expression" priority="230" id="{6F7A2CBE-E8E0-4704-A796-D1A158E5B925}">
            <xm:f>'Sprachen &amp; Rückgabewerte(5)'!$L$50=0</xm:f>
            <x14:dxf>
              <border>
                <bottom style="thin">
                  <color rgb="FFFF0000"/>
                </bottom>
                <vertical/>
                <horizontal/>
              </border>
            </x14:dxf>
          </x14:cfRule>
          <xm:sqref>P60:AB60</xm:sqref>
        </x14:conditionalFormatting>
        <x14:conditionalFormatting xmlns:xm="http://schemas.microsoft.com/office/excel/2006/main">
          <x14:cfRule type="expression" priority="229" id="{D86428BB-B6F4-4780-B008-19005BDFEDD2}">
            <xm:f>'Sprachen &amp; Rückgabewerte(5)'!$L$50=0</xm:f>
            <x14:dxf>
              <border>
                <left style="thin">
                  <color rgb="FFFF0000"/>
                </left>
                <vertical/>
                <horizontal/>
              </border>
            </x14:dxf>
          </x14:cfRule>
          <xm:sqref>P36:P43</xm:sqref>
        </x14:conditionalFormatting>
        <x14:conditionalFormatting xmlns:xm="http://schemas.microsoft.com/office/excel/2006/main">
          <x14:cfRule type="expression" priority="228" id="{B1439809-5B45-4523-885C-D740938EFFEC}">
            <xm:f>'Sprachen &amp; Rückgabewerte(5)'!$L$50=0</xm:f>
            <x14:dxf>
              <border>
                <left style="thin">
                  <color rgb="FFFF0000"/>
                </left>
                <vertical/>
                <horizontal/>
              </border>
            </x14:dxf>
          </x14:cfRule>
          <xm:sqref>P44:S45</xm:sqref>
        </x14:conditionalFormatting>
        <x14:conditionalFormatting xmlns:xm="http://schemas.microsoft.com/office/excel/2006/main">
          <x14:cfRule type="expression" priority="227" id="{3172C60A-8AA2-4BAD-AEEE-FFC93DC3ED10}">
            <xm:f>'Sprachen &amp; Rückgabewerte(5)'!$L$50=0</xm:f>
            <x14:dxf>
              <border>
                <left style="thin">
                  <color rgb="FFFF0000"/>
                </left>
                <vertical/>
                <horizontal/>
              </border>
            </x14:dxf>
          </x14:cfRule>
          <xm:sqref>P46:P60</xm:sqref>
        </x14:conditionalFormatting>
        <x14:conditionalFormatting xmlns:xm="http://schemas.microsoft.com/office/excel/2006/main">
          <x14:cfRule type="expression" priority="226" id="{3A2C3799-3A27-41AB-BBB5-E68633F69B5D}">
            <xm:f>'Sprachen &amp; Rückgabewerte(5)'!$L$51=0</xm:f>
            <x14:dxf>
              <border>
                <top style="thin">
                  <color rgb="FFFF0000"/>
                </top>
                <vertical/>
                <horizontal/>
              </border>
            </x14:dxf>
          </x14:cfRule>
          <xm:sqref>AE32:AT32</xm:sqref>
        </x14:conditionalFormatting>
        <x14:conditionalFormatting xmlns:xm="http://schemas.microsoft.com/office/excel/2006/main">
          <x14:cfRule type="expression" priority="97" id="{BAE8DD48-7D24-43F1-B1A2-50B62D42719D}">
            <xm:f>AND($AY$43&lt;&gt;0,'Sprachen &amp; Rückgabewerte(5)'!$I$19=TRUE)</xm:f>
            <x14:dxf>
              <border>
                <right style="thin">
                  <color rgb="FFFF0000"/>
                </right>
                <vertical/>
                <horizontal/>
              </border>
            </x14:dxf>
          </x14:cfRule>
          <x14:cfRule type="expression" priority="225" id="{96915EB1-4D73-4066-83D2-6C9DD4286653}">
            <xm:f>'Sprachen &amp; Rückgabewerte(5)'!$L$51=0</xm:f>
            <x14:dxf>
              <border>
                <right style="thin">
                  <color rgb="FFFF0000"/>
                </right>
                <vertical/>
                <horizontal/>
              </border>
            </x14:dxf>
          </x14:cfRule>
          <xm:sqref>AT32:AT40</xm:sqref>
        </x14:conditionalFormatting>
        <x14:conditionalFormatting xmlns:xm="http://schemas.microsoft.com/office/excel/2006/main">
          <x14:cfRule type="expression" priority="224" id="{4E3F8B09-F550-434E-9C3D-0A72681827FB}">
            <xm:f>'Sprachen &amp; Rückgabewerte(5)'!$L$51=0</xm:f>
            <x14:dxf>
              <border>
                <bottom style="thin">
                  <color rgb="FFFF0000"/>
                </bottom>
                <vertical/>
                <horizontal/>
              </border>
            </x14:dxf>
          </x14:cfRule>
          <xm:sqref>AE40:AT40</xm:sqref>
        </x14:conditionalFormatting>
        <x14:conditionalFormatting xmlns:xm="http://schemas.microsoft.com/office/excel/2006/main">
          <x14:cfRule type="expression" priority="223" id="{71333B1C-041A-4498-B44F-530814AFC2B4}">
            <xm:f>'Sprachen &amp; Rückgabewerte(5)'!$L$52=0</xm:f>
            <x14:dxf>
              <border>
                <top style="thin">
                  <color rgb="FFFF0000"/>
                </top>
                <vertical/>
                <horizontal/>
              </border>
            </x14:dxf>
          </x14:cfRule>
          <xm:sqref>AE42:AT42</xm:sqref>
        </x14:conditionalFormatting>
        <x14:conditionalFormatting xmlns:xm="http://schemas.microsoft.com/office/excel/2006/main">
          <x14:cfRule type="expression" priority="222" id="{636D2B49-4FDF-4B13-9BE3-E960B3A9CD60}">
            <xm:f>'Sprachen &amp; Rückgabewerte(5)'!$L$52=0</xm:f>
            <x14:dxf>
              <border>
                <right style="thin">
                  <color rgb="FFFF0000"/>
                </right>
                <vertical/>
                <horizontal/>
              </border>
            </x14:dxf>
          </x14:cfRule>
          <xm:sqref>AT42:AT50</xm:sqref>
        </x14:conditionalFormatting>
        <x14:conditionalFormatting xmlns:xm="http://schemas.microsoft.com/office/excel/2006/main">
          <x14:cfRule type="expression" priority="221" id="{612FFD97-800A-4AD1-AFFB-7DDB3DEDA4B0}">
            <xm:f>'Sprachen &amp; Rückgabewerte(5)'!$L$52=0</xm:f>
            <x14:dxf>
              <border>
                <bottom style="thin">
                  <color rgb="FFFF0000"/>
                </bottom>
                <vertical/>
                <horizontal/>
              </border>
            </x14:dxf>
          </x14:cfRule>
          <xm:sqref>AM50:AT50</xm:sqref>
        </x14:conditionalFormatting>
        <x14:conditionalFormatting xmlns:xm="http://schemas.microsoft.com/office/excel/2006/main">
          <x14:cfRule type="expression" priority="165" id="{050F6DB0-6B2E-4E78-8749-99173D064ABF}">
            <xm:f>OR('Sprachen &amp; Rückgabewerte(5)'!$I$36=TRUE,'Sprachen &amp; Rückgabewerte(5)'!$I$39=TRUE)</xm:f>
            <x14:dxf>
              <font>
                <color theme="1"/>
              </font>
            </x14:dxf>
          </x14:cfRule>
          <x14:cfRule type="expression" priority="220" id="{D88464C3-0B65-4044-B4AD-6DA45B236671}">
            <xm:f>'Sprachen &amp; Rückgabewerte(5)'!$L$52=0</xm:f>
            <x14:dxf>
              <border>
                <bottom style="thin">
                  <color rgb="FFFF0000"/>
                </bottom>
                <vertical/>
                <horizontal/>
              </border>
            </x14:dxf>
          </x14:cfRule>
          <xm:sqref>AF48:AL50</xm:sqref>
        </x14:conditionalFormatting>
        <x14:conditionalFormatting xmlns:xm="http://schemas.microsoft.com/office/excel/2006/main">
          <x14:cfRule type="expression" priority="219" id="{DCA5B1F1-B71A-4A25-BDA2-326671F38E35}">
            <xm:f>'Sprachen &amp; Rückgabewerte(5)'!$L$52=0</xm:f>
            <x14:dxf>
              <border>
                <bottom style="thin">
                  <color rgb="FFFF0000"/>
                </bottom>
                <vertical/>
                <horizontal/>
              </border>
            </x14:dxf>
          </x14:cfRule>
          <xm:sqref>AE50</xm:sqref>
        </x14:conditionalFormatting>
        <x14:conditionalFormatting xmlns:xm="http://schemas.microsoft.com/office/excel/2006/main">
          <x14:cfRule type="expression" priority="218" id="{04FFCA52-6962-4432-A1E0-9A94B4CB1090}">
            <xm:f>'Sprachen &amp; Rückgabewerte(5)'!$L$53=0</xm:f>
            <x14:dxf>
              <border>
                <top style="thin">
                  <color rgb="FFFF0000"/>
                </top>
                <vertical/>
                <horizontal/>
              </border>
            </x14:dxf>
          </x14:cfRule>
          <xm:sqref>AE52:AT52</xm:sqref>
        </x14:conditionalFormatting>
        <x14:conditionalFormatting xmlns:xm="http://schemas.microsoft.com/office/excel/2006/main">
          <x14:cfRule type="expression" priority="217" id="{CF328A6E-08B9-4254-8A4D-5A8D0B9E590A}">
            <xm:f>'Sprachen &amp; Rückgabewerte(5)'!$L$53=0</xm:f>
            <x14:dxf>
              <border>
                <right style="thin">
                  <color rgb="FFFF0000"/>
                </right>
                <vertical/>
                <horizontal/>
              </border>
            </x14:dxf>
          </x14:cfRule>
          <xm:sqref>AT52:AT58</xm:sqref>
        </x14:conditionalFormatting>
        <x14:conditionalFormatting xmlns:xm="http://schemas.microsoft.com/office/excel/2006/main">
          <x14:cfRule type="expression" priority="216" id="{15AEF909-293C-421A-B7E0-49FC5AA2C520}">
            <xm:f>'Sprachen &amp; Rückgabewerte(5)'!$L$53=0</xm:f>
            <x14:dxf>
              <border>
                <bottom style="thin">
                  <color rgb="FFFF0000"/>
                </bottom>
                <vertical/>
                <horizontal/>
              </border>
            </x14:dxf>
          </x14:cfRule>
          <xm:sqref>AE58:AT58</xm:sqref>
        </x14:conditionalFormatting>
        <x14:conditionalFormatting xmlns:xm="http://schemas.microsoft.com/office/excel/2006/main">
          <x14:cfRule type="expression" priority="215" id="{CBFE4AC8-D979-4A5B-91BA-F53501A43249}">
            <xm:f>'Sprachen &amp; Rückgabewerte(5)'!$L$54=0</xm:f>
            <x14:dxf>
              <border>
                <top style="thin">
                  <color rgb="FFFF0000"/>
                </top>
                <vertical/>
                <horizontal/>
              </border>
            </x14:dxf>
          </x14:cfRule>
          <xm:sqref>AE60:AT60</xm:sqref>
        </x14:conditionalFormatting>
        <x14:conditionalFormatting xmlns:xm="http://schemas.microsoft.com/office/excel/2006/main">
          <x14:cfRule type="expression" priority="214" id="{D2ABD3F3-AD68-4000-AA2F-7C3F8DACAF86}">
            <xm:f>'Sprachen &amp; Rückgabewerte(5)'!$L$54=0</xm:f>
            <x14:dxf>
              <border>
                <right style="thin">
                  <color rgb="FFFF0000"/>
                </right>
                <vertical/>
                <horizontal/>
              </border>
            </x14:dxf>
          </x14:cfRule>
          <xm:sqref>AT60:AT71</xm:sqref>
        </x14:conditionalFormatting>
        <x14:conditionalFormatting xmlns:xm="http://schemas.microsoft.com/office/excel/2006/main">
          <x14:cfRule type="expression" priority="213" id="{91C41581-412C-41E2-ADCF-F6AC20B193BF}">
            <xm:f>'Sprachen &amp; Rückgabewerte(5)'!$L$54=0</xm:f>
            <x14:dxf>
              <border>
                <bottom style="thin">
                  <color rgb="FFFF0000"/>
                </bottom>
                <vertical/>
                <horizontal/>
              </border>
            </x14:dxf>
          </x14:cfRule>
          <xm:sqref>AE71:AT71</xm:sqref>
        </x14:conditionalFormatting>
        <x14:conditionalFormatting xmlns:xm="http://schemas.microsoft.com/office/excel/2006/main">
          <x14:cfRule type="expression" priority="212" id="{F75C1373-89FD-4221-84A4-5C6F6F0A61E2}">
            <xm:f>'Sprachen &amp; Rückgabewerte(5)'!$L$55=0</xm:f>
            <x14:dxf>
              <border>
                <top style="thin">
                  <color rgb="FFFF0000"/>
                </top>
                <vertical/>
                <horizontal/>
              </border>
            </x14:dxf>
          </x14:cfRule>
          <xm:sqref>AE83:AT83</xm:sqref>
        </x14:conditionalFormatting>
        <x14:conditionalFormatting xmlns:xm="http://schemas.microsoft.com/office/excel/2006/main">
          <x14:cfRule type="expression" priority="211" id="{13C10A33-C147-40B0-B21B-050BC4BD4BCA}">
            <xm:f>'Sprachen &amp; Rückgabewerte(5)'!$L$55=0</xm:f>
            <x14:dxf>
              <border>
                <right style="thin">
                  <color rgb="FFFF0000"/>
                </right>
                <vertical/>
                <horizontal/>
              </border>
            </x14:dxf>
          </x14:cfRule>
          <xm:sqref>AT83:AT93</xm:sqref>
        </x14:conditionalFormatting>
        <x14:conditionalFormatting xmlns:xm="http://schemas.microsoft.com/office/excel/2006/main">
          <x14:cfRule type="expression" priority="210" id="{D646A9FF-0782-448D-A5C8-CAB7655D5DC0}">
            <xm:f>'Sprachen &amp; Rückgabewerte(5)'!$L$55=0</xm:f>
            <x14:dxf>
              <border>
                <bottom style="thin">
                  <color rgb="FFFF0000"/>
                </bottom>
                <vertical/>
                <horizontal/>
              </border>
            </x14:dxf>
          </x14:cfRule>
          <xm:sqref>AE93:AT93</xm:sqref>
        </x14:conditionalFormatting>
        <x14:conditionalFormatting xmlns:xm="http://schemas.microsoft.com/office/excel/2006/main">
          <x14:cfRule type="expression" priority="208" id="{07170564-0CA6-4FDB-9E4F-392099DF5B70}">
            <xm:f>'Sprachen &amp; Rückgabewerte(5)'!$M$59=0</xm:f>
            <x14:dxf>
              <border>
                <right style="thin">
                  <color rgb="FFFF0000"/>
                </right>
                <vertical/>
                <horizontal/>
              </border>
            </x14:dxf>
          </x14:cfRule>
          <xm:sqref>AB86</xm:sqref>
        </x14:conditionalFormatting>
        <x14:conditionalFormatting xmlns:xm="http://schemas.microsoft.com/office/excel/2006/main">
          <x14:cfRule type="expression" priority="207" id="{B86BD717-C210-4F6C-AC8C-17FE1F76542B}">
            <xm:f>'Sprachen &amp; Rückgabewerte(5)'!$M$59=0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4" id="{495E19CE-75FC-4F71-93DC-9B612293AF29}">
            <xm:f>K$20='Sprachen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5" id="{C7853423-CD26-4E76-8C7D-684B1D8E65AA}">
            <xm:f>K$20='Sprachen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2" id="{57E76FCA-481D-4D2B-BC94-5096C9968291}">
            <xm:f>O$20='Sprachen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3" id="{C4F9B4B1-5574-4A24-B1EA-A42185D9F014}">
            <xm:f>O$20='Sprachen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00" id="{E231E628-F19F-4AA8-8788-B7B1B312531B}">
            <xm:f>S$20='Sprachen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1" id="{3F2C973B-F16D-4092-8B41-AB71B6F45757}">
            <xm:f>S$20='Sprachen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8" id="{AC0E214F-636E-4193-A56C-249A72D67094}">
            <xm:f>W$20='Sprachen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9" id="{98FC8A59-4A97-4586-9928-69BAD7370833}">
            <xm:f>W$20='Sprachen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6" id="{EC342D5C-1EC0-4E5A-A249-A88EA9618FC7}">
            <xm:f>AA$20='Sprachen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7" id="{1585773D-9ABF-431D-AEF5-93B86633E422}">
            <xm:f>AA$20='Sprachen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4" id="{C36AE8B6-2EBF-4255-A207-6393D1CE4A40}">
            <xm:f>AE$20='Sprachen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5" id="{382859E2-D081-4E79-B6C7-3FE2D48C1E01}">
            <xm:f>AE$20='Sprachen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2" id="{7DCD21BF-EC92-40D9-9A2B-6EA3379B536D}">
            <xm:f>AI$20='Sprachen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3" id="{2CD07664-2629-4469-9B07-EFC7898CC216}">
            <xm:f>AI$20='Sprachen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90" id="{919F66F9-8498-4CF1-A04E-7305C2A6792B}">
            <xm:f>AM$20='Sprachen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1" id="{72D07606-683C-483B-A3C7-334ED94EBDA6}">
            <xm:f>AM$20='Sprachen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9" id="{FECC0C93-02A5-4901-8845-EB5DA4FF0449}">
            <xm:f>'Sprachen &amp; Rückgabewerte(5)'!$M$59=0</xm:f>
            <x14:dxf>
              <border>
                <top style="thin">
                  <color rgb="FFFF0000"/>
                </top>
                <vertical/>
                <horizontal/>
              </border>
            </x14:dxf>
          </x14:cfRule>
          <xm:sqref>L86:AB86</xm:sqref>
        </x14:conditionalFormatting>
        <x14:conditionalFormatting xmlns:xm="http://schemas.microsoft.com/office/excel/2006/main">
          <x14:cfRule type="expression" priority="188" id="{CF828A94-8A2F-499A-91C0-8763B355572B}">
            <xm:f>'Sprachen &amp; Rückgabewerte(5)'!$M$59=0</xm:f>
            <x14:dxf>
              <border>
                <bottom style="thin">
                  <color rgb="FFFF0000"/>
                </bottom>
                <vertical/>
                <horizontal/>
              </border>
            </x14:dxf>
          </x14:cfRule>
          <xm:sqref>L97:AB97</xm:sqref>
        </x14:conditionalFormatting>
        <x14:conditionalFormatting xmlns:xm="http://schemas.microsoft.com/office/excel/2006/main">
          <x14:cfRule type="expression" priority="187" id="{68FD9CB1-B087-4190-8716-09AB7F279971}">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6" id="{5864EA26-C234-427A-BBC8-DCC5C50588E4}">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5" id="{75A8B16A-F307-4682-9D58-C81BAE8F1CF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4" id="{D881CF62-FADE-42C9-B963-95E17DED0827}">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3" id="{0FC9DF36-6DED-4641-B700-545304787A31}">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2" id="{9FE9DB25-E116-44D4-946D-E3FB819052C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1" id="{BA328D7C-B5E5-4927-A986-61A8C51E35A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80" id="{E138374A-87E8-4520-A002-A4A5A8D5D1CA}">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9" id="{291DE1E9-A5C9-481D-A1A3-9F94EBE1774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8" id="{D4E782AF-8FD7-4037-A781-384E090C7170}">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7" id="{5504D847-5C89-4A34-800C-46A56D91706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6" id="{3C52C89C-F522-4E70-80E0-71A6F85FA88D}">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5" id="{B284AD16-FDD6-4852-BED1-517674AC02D1}">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4" id="{3EEC493D-EB65-40C7-9877-96209870576A}">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3" id="{913BC96F-15A2-40E4-B523-AB70AF1B4F2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2" id="{F20CD417-2A75-4499-A70E-88B30320DEB0}">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1" id="{3C348394-72E7-49D5-8B5F-F142684D132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38" id="{5A48090B-2642-462E-978B-E5FC780B801A}">
            <xm:f>'Sprachen &amp; Rückgabewerte(5)'!$U$49=FALSE</xm:f>
            <x14:dxf>
              <border>
                <top style="thin">
                  <color rgb="FFFF0000"/>
                </top>
                <vertical/>
                <horizontal/>
              </border>
            </x14:dxf>
          </x14:cfRule>
          <x14:cfRule type="expression" priority="169" id="{8539503C-938C-4438-A6F6-9B8635A2CD22}">
            <xm:f>'Sprachen &amp; Rückgabewerte(5)'!$I$133=TRUE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14FE8C40-A9BB-440C-82B1-AB40140605F3}">
            <xm:f>AND($AL$39="",'Sprachen &amp; Rückgabewerte(5)'!$I$22=TRUE)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8" id="{B44C8256-630B-4FC0-80FD-F1EEF63FC411}">
            <xm:f>'Sprachen &amp; Rückgabewerte(5)'!$I$22=FALSE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6" id="{F4188D21-0F8E-406B-AC26-179C2684BA2E}">
            <xm:f>'Sprachen &amp; Rückgabewerte(5)'!$I$36=FALSE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3" id="{1A348E63-91B9-43ED-9E06-F4C1BF4D3635}">
            <xm:f>'Sprachen &amp; Rückgabewerte(5)'!$I$39=FALSE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5" id="{A7D595DA-4FB6-4C64-9504-9BD6B8F9E196}">
            <xm:f>AND('Sprachen &amp; Rückgabewerte(5)'!$I$36=FALSE,'Sprachen &amp; Rückgabewerte(5)'!$I$39=FALSE)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2" id="{4AE49B11-0A8E-4D1A-8767-13876C0DD169}">
            <xm:f>'Sprachen &amp; Rückgabewerte(5)'!$I$45=FALSE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2" id="{B0D1C94A-EA40-4CD3-987D-1C6FE33AFD7C}">
            <xm:f>'Sprachen &amp; Rückgabewerte(5)'!$L$67=TRUE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1" id="{F89E060D-1662-4611-938F-89B14C450BFE}">
            <xm:f>'Sprachen &amp; Rückgabewerte(5)'!$L$68=TRUE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5" id="{B88AC56C-8177-4559-B33D-3B5C3C2B9B8D}">
            <xm:f>AND($AY$43&lt;&gt;0,'Sprachen &amp; Rückgabewerte(5)'!$I$19=TRUE)</xm:f>
            <x14:dxf>
              <border>
                <left style="thin">
                  <color rgb="FFFF0000"/>
                </left>
                <bottom/>
                <vertical/>
                <horizontal/>
              </border>
            </x14:dxf>
          </x14:cfRule>
          <x14:cfRule type="expression" priority="160" id="{630C5DB1-60A8-4C79-ACAF-EAD59025A90C}">
            <xm:f>'Sprachen &amp; Rückgabewerte(5)'!$L$51=0</xm:f>
            <x14:dxf>
              <border>
                <left style="thin">
                  <color rgb="FFFF0000"/>
                </left>
                <vertical/>
                <horizontal/>
              </border>
            </x14:dxf>
          </x14:cfRule>
          <xm:sqref>AD32:AD40</xm:sqref>
        </x14:conditionalFormatting>
        <x14:conditionalFormatting xmlns:xm="http://schemas.microsoft.com/office/excel/2006/main">
          <x14:cfRule type="expression" priority="94" id="{0220E399-280D-4BB0-909E-B6C5863FC290}">
            <xm:f>AND($AY$43&lt;&gt;0,'Sprachen &amp; Rückgabewerte(5)'!$I$19=TRUE)</xm:f>
            <x14:dxf>
              <border>
                <bottom style="thin">
                  <color rgb="FFFF0000"/>
                </bottom>
                <vertical/>
                <horizontal/>
              </border>
            </x14:dxf>
          </x14:cfRule>
          <x14:cfRule type="expression" priority="159" id="{CC9FE8AD-819F-489B-9AB5-1ECAE988B50C}">
            <xm:f>'Sprachen &amp; Rückgabewerte(5)'!$L$51=0</xm:f>
            <x14:dxf>
              <border>
                <bottom style="thin">
                  <color rgb="FFFF0000"/>
                </bottom>
                <vertical/>
                <horizontal/>
              </border>
            </x14:dxf>
          </x14:cfRule>
          <xm:sqref>AD40</xm:sqref>
        </x14:conditionalFormatting>
        <x14:conditionalFormatting xmlns:xm="http://schemas.microsoft.com/office/excel/2006/main">
          <x14:cfRule type="expression" priority="158" id="{C375EC52-117D-4B63-B005-796F1AD8F57D}">
            <xm:f>'Sprachen &amp; Rückgabewerte(5)'!$L$51=0</xm:f>
            <x14:dxf>
              <border>
                <top style="thin">
                  <color rgb="FFFF0000"/>
                </top>
                <vertical/>
                <horizontal/>
              </border>
            </x14:dxf>
          </x14:cfRule>
          <xm:sqref>AD32</xm:sqref>
        </x14:conditionalFormatting>
        <x14:conditionalFormatting xmlns:xm="http://schemas.microsoft.com/office/excel/2006/main">
          <x14:cfRule type="expression" priority="157" id="{107B3CE6-8110-46A2-B6B9-5AC90770504C}">
            <xm:f>'Sprachen &amp; Rückgabewerte(5)'!$L$52=0</xm:f>
            <x14:dxf>
              <border>
                <left style="thin">
                  <color rgb="FFFF0000"/>
                </left>
                <vertical/>
                <horizontal/>
              </border>
            </x14:dxf>
          </x14:cfRule>
          <xm:sqref>AD42:AD50</xm:sqref>
        </x14:conditionalFormatting>
        <x14:conditionalFormatting xmlns:xm="http://schemas.microsoft.com/office/excel/2006/main">
          <x14:cfRule type="expression" priority="156" id="{7A8D0C07-8134-4967-B499-F9F4CE6E5172}">
            <xm:f>'Sprachen &amp; Rückgabewerte(5)'!$L$52=0</xm:f>
            <x14:dxf>
              <border>
                <top style="thin">
                  <color rgb="FFFF0000"/>
                </top>
                <vertical/>
                <horizontal/>
              </border>
            </x14:dxf>
          </x14:cfRule>
          <xm:sqref>AD42</xm:sqref>
        </x14:conditionalFormatting>
        <x14:conditionalFormatting xmlns:xm="http://schemas.microsoft.com/office/excel/2006/main">
          <x14:cfRule type="expression" priority="155" id="{11984091-1729-464C-AB02-3B5525D1E5C2}">
            <xm:f>'Sprachen &amp; Rückgabewerte(5)'!$L$52=0</xm:f>
            <x14:dxf>
              <border>
                <bottom style="thin">
                  <color rgb="FFFF0000"/>
                </bottom>
                <vertical/>
                <horizontal/>
              </border>
            </x14:dxf>
          </x14:cfRule>
          <xm:sqref>AD50</xm:sqref>
        </x14:conditionalFormatting>
        <x14:conditionalFormatting xmlns:xm="http://schemas.microsoft.com/office/excel/2006/main">
          <x14:cfRule type="expression" priority="154" id="{3C29F89F-B9E5-4317-B134-73EAF62E459B}">
            <xm:f>'Sprachen &amp; Rückgabewerte(5)'!$L$53=0</xm:f>
            <x14:dxf>
              <border>
                <left style="thin">
                  <color rgb="FFFF0000"/>
                </left>
                <vertical/>
                <horizontal/>
              </border>
            </x14:dxf>
          </x14:cfRule>
          <xm:sqref>AD52:AD58</xm:sqref>
        </x14:conditionalFormatting>
        <x14:conditionalFormatting xmlns:xm="http://schemas.microsoft.com/office/excel/2006/main">
          <x14:cfRule type="expression" priority="153" id="{DC8A2F8D-D1A6-4C6A-BB90-0786824FF415}">
            <xm:f>'Sprachen &amp; Rückgabewerte(5)'!$L$53=0</xm:f>
            <x14:dxf>
              <border>
                <top style="thin">
                  <color rgb="FFFF0000"/>
                </top>
                <vertical/>
                <horizontal/>
              </border>
            </x14:dxf>
          </x14:cfRule>
          <xm:sqref>AD52</xm:sqref>
        </x14:conditionalFormatting>
        <x14:conditionalFormatting xmlns:xm="http://schemas.microsoft.com/office/excel/2006/main">
          <x14:cfRule type="expression" priority="152" id="{E6782C68-00B1-4FB4-B54A-CD27A126518A}">
            <xm:f>'Sprachen &amp; Rückgabewerte(5)'!$L$53=0</xm:f>
            <x14:dxf>
              <border>
                <bottom style="thin">
                  <color rgb="FFFF0000"/>
                </bottom>
                <vertical/>
                <horizontal/>
              </border>
            </x14:dxf>
          </x14:cfRule>
          <xm:sqref>AD58</xm:sqref>
        </x14:conditionalFormatting>
        <x14:conditionalFormatting xmlns:xm="http://schemas.microsoft.com/office/excel/2006/main">
          <x14:cfRule type="expression" priority="151" id="{E455F3F7-3E9C-428C-B711-7D3B44C28654}">
            <xm:f>'Sprachen &amp; Rückgabewerte(5)'!$L$54=0</xm:f>
            <x14:dxf>
              <border>
                <left style="thin">
                  <color rgb="FFFF0000"/>
                </left>
                <vertical/>
                <horizontal/>
              </border>
            </x14:dxf>
          </x14:cfRule>
          <xm:sqref>AD60:AD71</xm:sqref>
        </x14:conditionalFormatting>
        <x14:conditionalFormatting xmlns:xm="http://schemas.microsoft.com/office/excel/2006/main">
          <x14:cfRule type="expression" priority="150" id="{FB7B1567-AC86-49B4-8EB5-6D933EC13ED6}">
            <xm:f>'Sprachen &amp; Rückgabewerte(5)'!$L$54=0</xm:f>
            <x14:dxf>
              <border>
                <top style="thin">
                  <color rgb="FFFF0000"/>
                </top>
                <vertical/>
                <horizontal/>
              </border>
            </x14:dxf>
          </x14:cfRule>
          <xm:sqref>AD60</xm:sqref>
        </x14:conditionalFormatting>
        <x14:conditionalFormatting xmlns:xm="http://schemas.microsoft.com/office/excel/2006/main">
          <x14:cfRule type="expression" priority="149" id="{F7DD929E-FAF4-43D7-A06D-5BD4D1F037C2}">
            <xm:f>'Sprachen &amp; Rückgabewerte(5)'!$L$54=0</xm:f>
            <x14:dxf>
              <border>
                <bottom style="thin">
                  <color rgb="FFFF0000"/>
                </bottom>
                <vertical/>
                <horizontal/>
              </border>
            </x14:dxf>
          </x14:cfRule>
          <xm:sqref>AD71</xm:sqref>
        </x14:conditionalFormatting>
        <x14:conditionalFormatting xmlns:xm="http://schemas.microsoft.com/office/excel/2006/main">
          <x14:cfRule type="expression" priority="132" id="{96F6B4DA-F7B9-45AA-812D-6F362A99139B}">
            <xm:f>'Sprachen &amp; Rückgabewerte(5)'!$C$64=0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7" id="{90712105-EF7A-4A9A-885B-EB5C2F890031}">
            <xm:f>'Sprachen &amp; Rückgabewerte(5)'!$L$55=0</xm:f>
            <x14:dxf>
              <border>
                <left style="thin">
                  <color rgb="FFFF0000"/>
                </left>
                <vertical/>
                <horizontal/>
              </border>
            </x14:dxf>
          </x14:cfRule>
          <xm:sqref>AD83:AD93</xm:sqref>
        </x14:conditionalFormatting>
        <x14:conditionalFormatting xmlns:xm="http://schemas.microsoft.com/office/excel/2006/main">
          <x14:cfRule type="expression" priority="146" id="{B5F0F6DE-02EC-4CD4-B5A7-7C9A4A9304D1}">
            <xm:f>'Sprachen &amp; Rückgabewerte(5)'!$L$55=0</xm:f>
            <x14:dxf>
              <border>
                <top style="thin">
                  <color rgb="FFFF0000"/>
                </top>
                <vertical/>
                <horizontal/>
              </border>
            </x14:dxf>
          </x14:cfRule>
          <xm:sqref>AD83</xm:sqref>
        </x14:conditionalFormatting>
        <x14:conditionalFormatting xmlns:xm="http://schemas.microsoft.com/office/excel/2006/main">
          <x14:cfRule type="expression" priority="145" id="{082FCF02-3537-41A7-BE73-94D858AA8AE6}">
            <xm:f>'Sprachen &amp; Rückgabewerte(5)'!$L$55=0</xm:f>
            <x14:dxf>
              <border>
                <bottom style="thin">
                  <color rgb="FFFF0000"/>
                </bottom>
                <vertical/>
                <horizontal/>
              </border>
            </x14:dxf>
          </x14:cfRule>
          <xm:sqref>AD93</xm:sqref>
        </x14:conditionalFormatting>
        <x14:conditionalFormatting xmlns:xm="http://schemas.microsoft.com/office/excel/2006/main">
          <x14:cfRule type="expression" priority="122" id="{05B27E06-16B7-42A4-8DA0-3A548B1637F7}">
            <xm:f>AND($AE$85="",$AE$84='Sprachen &amp; Rückgabewerte(5)'!$H$89)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9" id="{8E651C66-4848-4064-AA77-893666A7DA6E}">
            <xm:f>$AE$84='Sprachen &amp; Rückgabewerte(5)'!$H$89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4" id="{2B266CF1-97C5-4C15-95A2-BFD5C7A91A60}">
            <xm:f>'Sprachen &amp; Rückgabewerte(5)'!$M$62=2</xm:f>
            <x14:dxf>
              <border>
                <left style="thin">
                  <color rgb="FFFF0000"/>
                </left>
                <vertical/>
                <horizontal/>
              </border>
            </x14:dxf>
          </x14:cfRule>
          <x14:cfRule type="expression" priority="285" id="{DC61F336-E454-4C89-9343-E9FF31F9F3AF}">
            <xm:f>'Sprachen &amp; Rückgabewerte(5)'!$M$62=3</xm:f>
            <x14:dxf>
              <border>
                <left style="thin">
                  <color rgb="FFFF0000"/>
                </left>
                <vertical/>
                <horizontal/>
              </border>
            </x14:dxf>
          </x14:cfRule>
          <x14:cfRule type="expression" priority="286" id="{ADD87D16-0B4F-4D04-A160-7FC08951B38A}">
            <xm:f>'Sprachen &amp; Rückgabewerte(5)'!$M$59=0</xm:f>
            <x14:dxf>
              <border>
                <left style="thin">
                  <color rgb="FFFF0000"/>
                </left>
                <vertical/>
                <horizontal/>
              </border>
            </x14:dxf>
          </x14:cfRule>
          <xm:sqref>L86:L97</xm:sqref>
        </x14:conditionalFormatting>
        <x14:conditionalFormatting xmlns:xm="http://schemas.microsoft.com/office/excel/2006/main">
          <x14:cfRule type="expression" priority="287" id="{4451D3ED-3011-4838-A1F2-449FF69AB52F}">
            <xm:f>'Sprachen &amp; Rückgabewerte(5)'!$C$48=FALSE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9" id="{3FF2365F-F172-44F3-91D3-3975372B7D9A}">
            <xm:f>'Sprachen &amp; Rückgabewerte(5)'!$M$62=3</xm:f>
            <x14:dxf>
              <border>
                <left style="thin">
                  <color rgb="FFFF0000"/>
                </left>
                <vertical/>
                <horizontal/>
              </border>
            </x14:dxf>
          </x14:cfRule>
          <x14:cfRule type="expression" priority="290" id="{25A70B36-ECA3-4727-9E97-B3C045E40DFB}">
            <xm:f>'Sprachen &amp; Rückgabewerte(5)'!$M$62=2</xm:f>
            <x14:dxf>
              <border>
                <left style="thin">
                  <color rgb="FFFF0000"/>
                </left>
                <vertical/>
                <horizontal/>
              </border>
            </x14:dxf>
          </x14:cfRule>
          <xm:sqref>C73:C97</xm:sqref>
        </x14:conditionalFormatting>
        <x14:conditionalFormatting xmlns:xm="http://schemas.microsoft.com/office/excel/2006/main">
          <x14:cfRule type="expression" priority="291" id="{7F586D46-998D-46B4-A4B7-EB024E71FBBA}">
            <xm:f>'Sprachen &amp; Rückgabewerte(5)'!$M$62=2</xm:f>
            <x14:dxf>
              <border>
                <top style="thin">
                  <color rgb="FFFF0000"/>
                </top>
                <vertical/>
                <horizontal/>
              </border>
            </x14:dxf>
          </x14:cfRule>
          <x14:cfRule type="expression" priority="292" id="{768168B5-1D94-4285-B020-49B200A52787}">
            <xm:f>'Sprachen &amp; Rückgabewerte(5)'!$M$62=3</xm:f>
            <x14:dxf>
              <border>
                <top style="thin">
                  <color rgb="FFFF0000"/>
                </top>
                <vertical/>
                <horizontal/>
              </border>
            </x14:dxf>
          </x14:cfRule>
          <xm:sqref>C73:AB73</xm:sqref>
        </x14:conditionalFormatting>
        <x14:conditionalFormatting xmlns:xm="http://schemas.microsoft.com/office/excel/2006/main">
          <x14:cfRule type="expression" priority="293" id="{0F1EFE21-D7CD-4489-B4B3-71FEC8B43815}">
            <xm:f>'Sprachen &amp; Rückgabewerte(5)'!$M$62=2</xm:f>
            <x14:dxf>
              <border>
                <right style="thin">
                  <color rgb="FFFF0000"/>
                </right>
                <vertical/>
                <horizontal/>
              </border>
            </x14:dxf>
          </x14:cfRule>
          <x14:cfRule type="expression" priority="294" id="{16546D0C-3F50-4C63-9254-0550964429EC}">
            <xm:f>'Sprachen &amp; Rückgabewerte(5)'!$M$62=3</xm:f>
            <x14:dxf>
              <border>
                <right style="thin">
                  <color rgb="FFFF0000"/>
                </right>
                <vertical/>
                <horizontal/>
              </border>
            </x14:dxf>
          </x14:cfRule>
          <xm:sqref>AB73:AB85</xm:sqref>
        </x14:conditionalFormatting>
        <x14:conditionalFormatting xmlns:xm="http://schemas.microsoft.com/office/excel/2006/main">
          <x14:cfRule type="expression" priority="170" id="{3E9F91DC-81E1-458D-B040-3717C772B89C}">
            <xm:f>'Sprachen &amp; Rückgabewerte(5)'!$M$62=2</xm:f>
            <x14:dxf>
              <border>
                <bottom style="thin">
                  <color rgb="FFFF0000"/>
                </bottom>
                <vertical/>
                <horizontal/>
              </border>
            </x14:dxf>
          </x14:cfRule>
          <x14:cfRule type="expression" priority="206" id="{3B7C71C2-CEB1-42FD-98F4-E8A37D274E60}">
            <xm:f>'Sprachen &amp; Rückgabewerte(5)'!$M$62=3</xm:f>
            <x14:dxf>
              <border>
                <bottom style="thin">
                  <color rgb="FFFF0000"/>
                </bottom>
                <vertical/>
                <horizontal/>
              </border>
            </x14:dxf>
          </x14:cfRule>
          <xm:sqref>L85:AB85</xm:sqref>
        </x14:conditionalFormatting>
        <x14:conditionalFormatting xmlns:xm="http://schemas.microsoft.com/office/excel/2006/main">
          <x14:cfRule type="expression" priority="297" id="{5FDDE0BD-A995-4D99-ADCB-3E734AD1385E}">
            <xm:f>'Sprachen &amp; Rückgabewerte(5)'!$M$62=3</xm:f>
            <x14:dxf>
              <border>
                <bottom style="thin">
                  <color rgb="FFFF0000"/>
                </bottom>
                <vertical/>
                <horizontal/>
              </border>
            </x14:dxf>
          </x14:cfRule>
          <x14:cfRule type="expression" priority="298" id="{2D04A650-03C8-4F92-8F92-29F3CE5FE708}">
            <xm:f>'Sprachen &amp; Rückgabewerte(5)'!$M$62=2</xm:f>
            <x14:dxf>
              <border>
                <bottom style="thin">
                  <color rgb="FFFF0000"/>
                </bottom>
                <vertical/>
                <horizontal/>
              </border>
            </x14:dxf>
          </x14:cfRule>
          <xm:sqref>C97:K97</xm:sqref>
        </x14:conditionalFormatting>
        <x14:conditionalFormatting xmlns:xm="http://schemas.microsoft.com/office/excel/2006/main">
          <x14:cfRule type="expression" priority="299" id="{D5CE3014-80AB-4B48-BCBE-B682A81C4493}">
            <xm:f>'Sprachen &amp; Rückgabewerte(5)'!$M$60=0</xm:f>
            <x14:dxf>
              <border>
                <left style="thin">
                  <color rgb="FFFF0000"/>
                </left>
                <vertical/>
                <horizontal/>
              </border>
            </x14:dxf>
          </x14:cfRule>
          <xm:sqref>M73:M85</xm:sqref>
        </x14:conditionalFormatting>
        <x14:conditionalFormatting xmlns:xm="http://schemas.microsoft.com/office/excel/2006/main">
          <x14:cfRule type="expression" priority="300" id="{024691D5-EC0F-48D1-B9F2-7F63B7B53682}">
            <xm:f>'Sprachen &amp; Rückgabewerte(5)'!$M$60=0</xm:f>
            <x14:dxf>
              <border>
                <top style="thin">
                  <color rgb="FFFF0000"/>
                </top>
                <vertical/>
                <horizontal/>
              </border>
            </x14:dxf>
          </x14:cfRule>
          <xm:sqref>M73:S73</xm:sqref>
        </x14:conditionalFormatting>
        <x14:conditionalFormatting xmlns:xm="http://schemas.microsoft.com/office/excel/2006/main">
          <x14:cfRule type="expression" priority="301" id="{A3930F6A-17DE-46E3-8AB1-98C007326239}">
            <xm:f>'Sprachen &amp; Rückgabewerte(5)'!$M$60=0</xm:f>
            <x14:dxf>
              <border>
                <right style="thin">
                  <color rgb="FFFF0000"/>
                </right>
                <vertical/>
                <horizontal/>
              </border>
            </x14:dxf>
          </x14:cfRule>
          <xm:sqref>S73:S85</xm:sqref>
        </x14:conditionalFormatting>
        <x14:conditionalFormatting xmlns:xm="http://schemas.microsoft.com/office/excel/2006/main">
          <x14:cfRule type="expression" priority="295" id="{05E73942-36C5-424E-80B9-B18DFB8F8BAB}">
            <xm:f>'Sprachen &amp; Rückgabewerte(5)'!$M$60=0</xm:f>
            <x14:dxf>
              <border>
                <bottom style="thin">
                  <color rgb="FFFF0000"/>
                </bottom>
                <vertical/>
                <horizontal/>
              </border>
            </x14:dxf>
          </x14:cfRule>
          <xm:sqref>M85:S85</xm:sqref>
        </x14:conditionalFormatting>
        <x14:conditionalFormatting xmlns:xm="http://schemas.microsoft.com/office/excel/2006/main">
          <x14:cfRule type="expression" priority="303" id="{8B1ACB3E-94D6-46F8-9F9B-7BC421E127A9}">
            <xm:f>'Sprachen &amp; Rückgabewerte(5)'!$M$56=0</xm:f>
            <x14:dxf>
              <border>
                <left style="thin">
                  <color rgb="FFFF0000"/>
                </left>
                <vertical/>
                <horizontal/>
              </border>
            </x14:dxf>
          </x14:cfRule>
          <xm:sqref>C62:C72</xm:sqref>
        </x14:conditionalFormatting>
        <x14:conditionalFormatting xmlns:xm="http://schemas.microsoft.com/office/excel/2006/main">
          <x14:cfRule type="expression" priority="142" id="{D4F6E729-21F8-4322-A802-F4C1F28F594C}">
            <xm:f>'Sprachen &amp; Rückgabewerte(5)'!$M$56=0</xm:f>
            <x14:dxf>
              <border>
                <bottom style="thin">
                  <color rgb="FFFF0000"/>
                </bottom>
                <vertical/>
                <horizontal/>
              </border>
            </x14:dxf>
          </x14:cfRule>
          <xm:sqref>C72:AB72</xm:sqref>
        </x14:conditionalFormatting>
        <x14:conditionalFormatting xmlns:xm="http://schemas.microsoft.com/office/excel/2006/main">
          <x14:cfRule type="expression" priority="305" id="{79A0025B-9B11-4FDE-85F1-D31969B1648F}">
            <xm:f>'Sprachen &amp; Rückgabewerte(5)'!$M$56=0</xm:f>
            <x14:dxf>
              <border>
                <right style="thin">
                  <color rgb="FFFF0000"/>
                </right>
                <vertical/>
                <horizontal/>
              </border>
            </x14:dxf>
          </x14:cfRule>
          <xm:sqref>AB62:AB72</xm:sqref>
        </x14:conditionalFormatting>
        <x14:conditionalFormatting xmlns:xm="http://schemas.microsoft.com/office/excel/2006/main">
          <x14:cfRule type="expression" priority="306" id="{09CD5405-007F-419D-BF03-6B4BC3C8D5BF}">
            <xm:f>'Sprachen &amp; Rückgabewerte(5)'!$M$56=0</xm:f>
            <x14:dxf>
              <border>
                <top style="thin">
                  <color rgb="FFFF0000"/>
                </top>
                <vertical/>
                <horizontal/>
              </border>
            </x14:dxf>
          </x14:cfRule>
          <xm:sqref>C62:AB62</xm:sqref>
        </x14:conditionalFormatting>
        <x14:conditionalFormatting xmlns:xm="http://schemas.microsoft.com/office/excel/2006/main">
          <x14:cfRule type="expression" priority="127" id="{2D938CCF-18F1-454B-97EA-6EDE38DC90CD}">
            <xm:f>'Sprachen &amp; Rückgabewerte(5)'!$M$66=FALSE</xm:f>
            <x14:dxf>
              <border>
                <left style="thin">
                  <color rgb="FFFF0000"/>
                </left>
                <vertical/>
                <horizontal/>
              </border>
            </x14:dxf>
          </x14:cfRule>
          <xm:sqref>AD73:AD81</xm:sqref>
        </x14:conditionalFormatting>
        <x14:conditionalFormatting xmlns:xm="http://schemas.microsoft.com/office/excel/2006/main">
          <x14:cfRule type="expression" priority="126" id="{4F5454DC-F124-4C87-93AA-82969EAADB1D}">
            <xm:f>'Sprachen &amp; Rückgabewerte(5)'!$M$66=FALSE</xm:f>
            <x14:dxf>
              <border>
                <top style="thin">
                  <color rgb="FFFF0000"/>
                </top>
                <vertical/>
                <horizontal/>
              </border>
            </x14:dxf>
          </x14:cfRule>
          <xm:sqref>AD73:AT73</xm:sqref>
        </x14:conditionalFormatting>
        <x14:conditionalFormatting xmlns:xm="http://schemas.microsoft.com/office/excel/2006/main">
          <x14:cfRule type="expression" priority="125" id="{12B63788-835D-4176-ABBD-A8A509F2E2C9}">
            <xm:f>'Sprachen &amp; Rückgabewerte(5)'!$M$66=FALSE</xm:f>
            <x14:dxf>
              <border>
                <right style="thin">
                  <color rgb="FFFF0000"/>
                </right>
                <vertical/>
                <horizontal/>
              </border>
            </x14:dxf>
          </x14:cfRule>
          <xm:sqref>AT73:AT81</xm:sqref>
        </x14:conditionalFormatting>
        <x14:conditionalFormatting xmlns:xm="http://schemas.microsoft.com/office/excel/2006/main">
          <x14:cfRule type="expression" priority="124" id="{E868EB72-0CF9-4E2A-9C67-22F31D26DE70}">
            <xm:f>'Sprachen &amp; Rückgabewerte(5)'!$M$66=FALSE</xm:f>
            <x14:dxf>
              <border>
                <bottom style="thin">
                  <color rgb="FFFF0000"/>
                </bottom>
                <vertical/>
                <horizontal/>
              </border>
            </x14:dxf>
          </x14:cfRule>
          <xm:sqref>AD81:AT81</xm:sqref>
        </x14:conditionalFormatting>
        <x14:conditionalFormatting xmlns:xm="http://schemas.microsoft.com/office/excel/2006/main">
          <x14:cfRule type="expression" priority="119" id="{A7E58867-2FA8-4CF2-A3F1-DA6DDFC4006C}">
            <xm:f>'Sprachen &amp; Rückgabewerte(5)'!$I$5=FALSE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100" id="{083AE5DF-B911-40CD-B2BC-FDEF1CADED65}">
            <xm:f>'Sprachen &amp; Rückgabewerte(5)'!$I$19=FALSE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7" id="{BCA191D4-A1A3-47B4-B4A6-2478DDDFBBB2}">
            <xm:f>'Sprachen &amp; Rückgabewerte(5)'!$I$13=FALSE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99" id="{B23BA7C7-BEE9-49EF-B3E8-1F724FE33384}">
            <xm:f>AND($AY$43&lt;&gt;0,'Sprachen &amp; Rückgabewerte(5)'!$I$19=TRUE)</xm:f>
            <x14:dxf>
              <border>
                <top style="thin">
                  <color rgb="FFFF0000"/>
                </top>
                <vertical/>
                <horizontal/>
              </border>
            </x14:dxf>
          </x14:cfRule>
          <x14:cfRule type="expression" priority="104" id="{0CE67F9F-930A-4796-B5C0-8DCDFC1F77E6}">
            <xm:f>'Sprachen &amp; Rückgabewerte(5)'!$I$19=FALSE</xm:f>
            <x14:dxf>
              <border>
                <top/>
                <vertical/>
                <horizontal/>
              </border>
            </x14:dxf>
          </x14:cfRule>
          <xm:sqref>AU32:AV32</xm:sqref>
        </x14:conditionalFormatting>
        <x14:conditionalFormatting xmlns:xm="http://schemas.microsoft.com/office/excel/2006/main">
          <x14:cfRule type="expression" priority="103" id="{558F88E2-BAB0-474A-A5D8-3897D1EAFD28}">
            <xm:f>AND($AY$43&lt;&gt;0,'Sprachen &amp; Rückgabewerte(5)'!$I$19=TRUE)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2" id="{92D86406-A32B-489A-8565-119A6B1A5EC9}">
            <xm:f>AND($AY$43&lt;&gt;0,'Sprachen &amp; Rückgabewerte(5)'!$I$19=TRUE)</xm:f>
            <x14:dxf>
              <border>
                <right style="thin">
                  <color rgb="FFFF0000"/>
                </right>
                <vertical/>
                <horizontal/>
              </border>
            </x14:dxf>
          </x14:cfRule>
          <xm:sqref>BA33:BA43</xm:sqref>
        </x14:conditionalFormatting>
        <x14:conditionalFormatting xmlns:xm="http://schemas.microsoft.com/office/excel/2006/main">
          <x14:cfRule type="expression" priority="101" id="{9A07F1CD-376A-4CDB-B0A0-CB8AA7EB8179}">
            <xm:f>AND($AY$43&lt;&gt;0,'Sprachen &amp; Rückgabewerte(5)'!$I$19=TRUE)</xm:f>
            <x14:dxf>
              <border>
                <bottom style="thin">
                  <color rgb="FFFF0000"/>
                </bottom>
                <vertical/>
                <horizontal/>
              </border>
            </x14:dxf>
          </x14:cfRule>
          <xm:sqref>AW43:BA43</xm:sqref>
        </x14:conditionalFormatting>
        <x14:conditionalFormatting xmlns:xm="http://schemas.microsoft.com/office/excel/2006/main">
          <x14:cfRule type="expression" priority="105" id="{08C219AB-1D6D-4B84-BB04-2D0B63309A3D}">
            <xm:f>AND($AY$43&lt;&gt;0,'Sprachen &amp; Rückgabewerte(5)'!$I$19=TRUE)</xm:f>
            <x14:dxf>
              <border>
                <left style="thin">
                  <color rgb="FFFF0000"/>
                </left>
                <vertical/>
                <horizontal/>
              </border>
            </x14:dxf>
          </x14:cfRule>
          <xm:sqref>AW33:AW43</xm:sqref>
        </x14:conditionalFormatting>
        <x14:conditionalFormatting xmlns:xm="http://schemas.microsoft.com/office/excel/2006/main">
          <x14:cfRule type="expression" priority="98" id="{D8544C2D-7A21-4272-8236-358096A2FC64}">
            <xm:f>AND($AY$43&lt;&gt;0,'Sprachen &amp; Rückgabewerte(5)'!$I$19=TRUE)</xm:f>
            <x14:dxf>
              <border>
                <top style="thin">
                  <color rgb="FFFF0000"/>
                </top>
                <vertical/>
                <horizontal/>
              </border>
            </x14:dxf>
          </x14:cfRule>
          <xm:sqref>AD32:AT32</xm:sqref>
        </x14:conditionalFormatting>
        <x14:conditionalFormatting xmlns:xm="http://schemas.microsoft.com/office/excel/2006/main">
          <x14:cfRule type="expression" priority="96" id="{9504ACB9-1ECB-4E36-962D-D8268DA6341A}">
            <xm:f>AND($AY$43&lt;&gt;0,'Sprachen &amp; Rückgabewerte(5)'!$I$19=TRUE)</xm:f>
            <x14:dxf>
              <border>
                <bottom style="thin">
                  <color rgb="FFFF0000"/>
                </bottom>
                <vertical/>
                <horizontal/>
              </border>
            </x14:dxf>
          </x14:cfRule>
          <xm:sqref>AD40:AT40</xm:sqref>
        </x14:conditionalFormatting>
        <x14:conditionalFormatting xmlns:xm="http://schemas.microsoft.com/office/excel/2006/main">
          <x14:cfRule type="expression" priority="93" id="{56FE6960-8FC7-414E-9D1A-7FE77A393164}">
            <xm:f>AND('Sprachen &amp; Rückgabewerte(5)'!$I$50=TRUE,'Sprachen &amp; Rückgabewerte(5)'!$C$95&lt;&gt;0)</xm:f>
            <x14:dxf>
              <border>
                <top style="thin">
                  <color rgb="FFFF0000"/>
                </top>
                <vertical/>
                <horizontal/>
              </border>
            </x14:dxf>
          </x14:cfRule>
          <xm:sqref>B101:AU101</xm:sqref>
        </x14:conditionalFormatting>
        <x14:conditionalFormatting xmlns:xm="http://schemas.microsoft.com/office/excel/2006/main">
          <x14:cfRule type="expression" priority="92" id="{70867D12-AC2C-48C3-9679-B91F76CC896A}">
            <xm:f>AND('Sprachen &amp; Rückgabewerte(5)'!$I$50=TRUE,'Sprachen &amp; Rückgabewerte(5)'!$C$95&lt;&gt;0)</xm:f>
            <x14:dxf>
              <border>
                <right style="thin">
                  <color rgb="FFFF0000"/>
                </right>
                <vertical/>
                <horizontal/>
              </border>
            </x14:dxf>
          </x14:cfRule>
          <xm:sqref>AU101:AU136</xm:sqref>
        </x14:conditionalFormatting>
        <x14:conditionalFormatting xmlns:xm="http://schemas.microsoft.com/office/excel/2006/main">
          <x14:cfRule type="expression" priority="91" id="{33034CF1-4C5E-4967-8CD8-F2BFFE6BAA02}">
            <xm:f>AND('Sprachen &amp; Rückgabewerte(5)'!$I$50=TRUE,'Sprachen &amp; Rückgabewerte(5)'!$C$95&lt;&gt;0)</xm:f>
            <x14:dxf>
              <border>
                <bottom style="thin">
                  <color rgb="FFFF0000"/>
                </bottom>
                <vertical/>
                <horizontal/>
              </border>
            </x14:dxf>
          </x14:cfRule>
          <xm:sqref>B136:AU136</xm:sqref>
        </x14:conditionalFormatting>
        <x14:conditionalFormatting xmlns:xm="http://schemas.microsoft.com/office/excel/2006/main">
          <x14:cfRule type="expression" priority="90" id="{8AD92358-1E1B-4BAE-858B-0F28CEF41933}">
            <xm:f>AND('Sprachen &amp; Rückgabewerte(5)'!$I$50=TRUE,'Sprachen &amp; Rückgabewerte(5)'!$C$95&lt;&gt;0)</xm:f>
            <x14:dxf>
              <border>
                <left style="thin">
                  <color rgb="FFFF0000"/>
                </left>
                <vertical/>
                <horizontal/>
              </border>
            </x14:dxf>
          </x14:cfRule>
          <xm:sqref>B101:B136</xm:sqref>
        </x14:conditionalFormatting>
        <x14:conditionalFormatting xmlns:xm="http://schemas.microsoft.com/office/excel/2006/main">
          <x14:cfRule type="expression" priority="89" id="{306CCD78-EA8A-4FE0-A72C-FD2921B31A1B}">
            <xm:f>AND('Sprachen &amp; Rückgabewerte(5)'!$I$50=TRUE,'Sprachen &amp; Rückgabewerte(5)'!$C$95&lt;&gt;0)</xm:f>
            <x14:dxf>
              <border>
                <top style="thin">
                  <color rgb="FFFF0000"/>
                </top>
                <bottom/>
                <vertical/>
                <horizontal/>
              </border>
            </x14:dxf>
          </x14:cfRule>
          <xm:sqref>AV101</xm:sqref>
        </x14:conditionalFormatting>
        <x14:conditionalFormatting xmlns:xm="http://schemas.microsoft.com/office/excel/2006/main">
          <x14:cfRule type="expression" priority="85" id="{F28AEA35-BA17-4B2A-9EBC-EC46206463F6}">
            <xm:f>'Sprachen &amp; Rückgabewerte(5)'!$I$50=FALSE</xm:f>
            <x14:dxf>
              <border>
                <right/>
                <vertical/>
                <horizontal/>
              </border>
            </x14:dxf>
          </x14:cfRule>
          <x14:cfRule type="expression" priority="88" id="{06BE9E05-4E65-4DB5-B934-58D483E62A4B}">
            <xm:f>AND('Sprachen &amp; Rückgabewerte(5)'!$I$50=TRUE,'Sprachen &amp; Rückgabewerte(5)'!$C$95&lt;&gt;0)</xm:f>
            <x14:dxf>
              <border>
                <right style="thin">
                  <color rgb="FFFF0000"/>
                </right>
                <vertical/>
                <horizontal/>
              </border>
            </x14:dxf>
          </x14:cfRule>
          <xm:sqref>AV84:AV100</xm:sqref>
        </x14:conditionalFormatting>
        <x14:conditionalFormatting xmlns:xm="http://schemas.microsoft.com/office/excel/2006/main">
          <x14:cfRule type="expression" priority="86" id="{4681CC97-B840-40B7-8604-5F50BE4B99F6}">
            <xm:f>'Sprachen &amp; Rückgabewerte(5)'!$I$50=FALSE</xm:f>
            <x14:dxf>
              <border>
                <top/>
                <vertical/>
                <horizontal/>
              </border>
            </x14:dxf>
          </x14:cfRule>
          <x14:cfRule type="expression" priority="87" id="{0888AC09-2E85-4128-ACB6-2B552D2A3FBC}">
            <xm:f>AND('Sprachen &amp; Rückgabewerte(5)'!$I$50=TRUE,'Sprachen &amp; Rückgabewerte(5)'!$C$95&lt;&gt;0)</xm:f>
            <x14:dxf>
              <border>
                <top style="thin">
                  <color rgb="FFFF0000"/>
                </top>
                <vertical/>
                <horizontal/>
              </border>
            </x14:dxf>
          </x14:cfRule>
          <xm:sqref>AU84:AV84</xm:sqref>
        </x14:conditionalFormatting>
        <x14:conditionalFormatting xmlns:xm="http://schemas.microsoft.com/office/excel/2006/main">
          <x14:cfRule type="expression" priority="84" id="{C0CB05AB-6D1A-4EF9-B32E-B1843B48E55B}">
            <xm:f>'Sprachen &amp; Rückgabewerte(5)'!$I$50=FALSE</xm:f>
            <x14:dxf>
              <border>
                <bottom/>
                <vertical/>
                <horizontal/>
              </border>
            </x14:dxf>
          </x14:cfRule>
          <xm:sqref>AV100</xm:sqref>
        </x14:conditionalFormatting>
        <x14:conditionalFormatting xmlns:xm="http://schemas.microsoft.com/office/excel/2006/main">
          <x14:cfRule type="expression" priority="73" id="{B65341B6-76B7-428C-A5E6-39681F277C8F}">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C71AFCD5-1FAD-4AE5-BE4F-68449B4D7C52}">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8" id="{9F0C93E4-6E36-424E-97F3-66B246E66948}">
            <xm:f>'Sprachen &amp; Rückgabewerte(5)'!$S$41=1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9" id="{9A1FB95C-B0E5-4066-9019-1CC42BBE8F7D}">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10" id="{18A54E76-D4BF-4C94-9D50-CBEF75DCFA55}">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1" id="{0DA1DC04-ABF5-4796-96CB-068C66A05693}">
            <xm:f>'Sprachen &amp; Rückgabewerte(5)'!$S$41=3</xm:f>
            <x14:dxf>
              <font>
                <b/>
                <i val="0"/>
                <color theme="1"/>
              </font>
            </x14:dxf>
          </x14:cfRule>
          <x14:cfRule type="expression" priority="312" id="{D3D9AB0E-43AF-4A5D-AA85-091380470BE5}">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3" id="{EB977FE0-A52C-4770-A28E-BAE99051E8C4}">
            <xm:f>'Sprachen &amp; Rückgabewerte(5)'!$S$41=3</xm:f>
            <x14:dxf>
              <font>
                <b/>
                <i val="0"/>
                <color theme="1"/>
              </font>
            </x14:dxf>
          </x14:cfRule>
          <xm:sqref>L46</xm:sqref>
        </x14:conditionalFormatting>
        <x14:conditionalFormatting xmlns:xm="http://schemas.microsoft.com/office/excel/2006/main">
          <x14:cfRule type="expression" priority="314" id="{1668EDD5-C60D-4397-9C80-D379712AE42C}">
            <xm:f>'Sprachen &amp; Rückgabewerte(5)'!$S$41=2</xm:f>
            <x14:dxf>
              <font>
                <b/>
                <i val="0"/>
                <color theme="1"/>
              </font>
            </x14:dxf>
          </x14:cfRule>
          <x14:cfRule type="expression" priority="315" id="{05258A4B-6289-4169-875D-EEE94773FC45}">
            <xm:f>'Sprachen &amp; Rückgabewerte(5)'!$S$41=3</xm:f>
            <x14:dxf>
              <font>
                <b/>
                <i val="0"/>
                <color theme="1"/>
              </font>
            </x14:dxf>
          </x14:cfRule>
          <xm:sqref>L47</xm:sqref>
        </x14:conditionalFormatting>
        <x14:conditionalFormatting xmlns:xm="http://schemas.microsoft.com/office/excel/2006/main">
          <x14:cfRule type="expression" priority="316" id="{30402AB6-13F0-43A8-8B4D-CF51CA6D76A9}">
            <xm:f>'Sprachen &amp; Rückgabewerte(5)'!$S$41=3</xm:f>
            <x14:dxf>
              <font>
                <b/>
                <i val="0"/>
                <color theme="1"/>
              </font>
            </x14:dxf>
          </x14:cfRule>
          <x14:cfRule type="expression" priority="317" id="{0C540C10-2875-4642-BF5A-0DD5C2C6E50A}">
            <xm:f>'Sprachen &amp; Rückgabewerte(5)'!$S$41=2</xm:f>
            <x14:dxf>
              <font>
                <b/>
                <i val="0"/>
                <color theme="1"/>
              </font>
            </x14:dxf>
          </x14:cfRule>
          <x14:cfRule type="expression" priority="318" id="{DE581599-7CD9-4AA6-A36F-6CBCB9973097}">
            <xm:f>'Sprachen &amp; Rückgabewerte(5)'!$S$41=1</xm:f>
            <x14:dxf>
              <font>
                <b/>
                <i val="0"/>
                <color theme="1"/>
              </font>
            </x14:dxf>
          </x14:cfRule>
          <xm:sqref>L48</xm:sqref>
        </x14:conditionalFormatting>
        <x14:conditionalFormatting xmlns:xm="http://schemas.microsoft.com/office/excel/2006/main">
          <x14:cfRule type="expression" priority="81" id="{D45CD51C-97E9-43EC-BF42-8D98C69966F2}">
            <xm:f>'Sprachen &amp; Rückgabewerte(5)'!$M$71=0</xm:f>
            <x14:dxf>
              <border>
                <top style="thin">
                  <color rgb="FFFF0000"/>
                </top>
                <vertical/>
                <horizontal/>
              </border>
            </x14:dxf>
          </x14:cfRule>
          <xm:sqref>AW45:AX45</xm:sqref>
        </x14:conditionalFormatting>
        <x14:conditionalFormatting xmlns:xm="http://schemas.microsoft.com/office/excel/2006/main">
          <x14:cfRule type="expression" priority="80" id="{0B1079C7-5265-4803-8820-0959135C831C}">
            <xm:f>'Sprachen &amp; Rückgabewerte(5)'!$M$71=0</xm:f>
            <x14:dxf>
              <border>
                <right style="thin">
                  <color rgb="FFFF0000"/>
                </right>
                <vertical/>
                <horizontal/>
              </border>
            </x14:dxf>
          </x14:cfRule>
          <xm:sqref>AX45:AX47 AW48:AX48 AX49</xm:sqref>
        </x14:conditionalFormatting>
        <x14:conditionalFormatting xmlns:xm="http://schemas.microsoft.com/office/excel/2006/main">
          <x14:cfRule type="expression" priority="79" id="{3B1E9D8A-E73B-4F69-B2FC-52B1264D4947}">
            <xm:f>'Sprachen &amp; Rückgabewerte(5)'!$M$71=0</xm:f>
            <x14:dxf>
              <border>
                <bottom style="thin">
                  <color rgb="FFFF0000"/>
                </bottom>
                <vertical/>
                <horizontal/>
              </border>
            </x14:dxf>
          </x14:cfRule>
          <xm:sqref>AW49:AX49</xm:sqref>
        </x14:conditionalFormatting>
        <x14:conditionalFormatting xmlns:xm="http://schemas.microsoft.com/office/excel/2006/main">
          <x14:cfRule type="expression" priority="78" id="{4AB52166-4599-45E7-B734-5D0C98F86CD6}">
            <xm:f>'Sprachen &amp; Rückgabewerte(5)'!$M$71=0</xm:f>
            <x14:dxf>
              <border>
                <left style="thin">
                  <color rgb="FFFF0000"/>
                </left>
                <vertical/>
                <horizontal/>
              </border>
            </x14:dxf>
          </x14:cfRule>
          <xm:sqref>AW49 AW48:AX48 AW45:AW47</xm:sqref>
        </x14:conditionalFormatting>
        <x14:conditionalFormatting xmlns:xm="http://schemas.microsoft.com/office/excel/2006/main">
          <x14:cfRule type="expression" priority="75" id="{4A5A3901-C3AA-4472-AA0F-78B5F8C593B9}">
            <xm:f>'Sprachen &amp; Rückgabewerte(5)'!$L$71=1</xm:f>
            <x14:dxf>
              <font>
                <color theme="0" tint="-0.14996795556505021"/>
              </font>
              <fill>
                <patternFill>
                  <bgColor theme="0" tint="-0.14996795556505021"/>
                </patternFill>
              </fill>
              <border>
                <top/>
                <vertical/>
                <horizontal/>
              </border>
            </x14:dxf>
          </x14:cfRule>
          <x14:cfRule type="expression" priority="77" id="{702CC87B-9AAB-40DC-8873-0EDC1C214BF9}">
            <xm:f>'Sprachen &amp; Rückgabewerte(5)'!$M$71=0</xm:f>
            <x14:dxf>
              <border>
                <top style="thin">
                  <color rgb="FFFF0000"/>
                </top>
                <vertical/>
                <horizontal/>
              </border>
            </x14:dxf>
          </x14:cfRule>
          <xm:sqref>AU45:AV45</xm:sqref>
        </x14:conditionalFormatting>
        <x14:conditionalFormatting xmlns:xm="http://schemas.microsoft.com/office/excel/2006/main">
          <x14:cfRule type="expression" priority="76" id="{6888ACF1-0FB3-437C-BD49-D2B54C8B9C6D}">
            <xm:f>'Sprachen &amp; Rückgabewerte(5)'!$L$71=1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5" id="{E811DBE0-0D75-4C3A-9DAC-A31D92E8E4C5}">
            <xm:f>'Sprachen &amp; Rückgabewerte(5)'!$I$50=FALSE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4" id="{7858182C-A832-499A-B640-3D3BCF8A9F35}">
            <xm:f>'Sprachen &amp; Rückgabewerte(5)'!$I$50=FALSE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3" id="{2BD4FB00-4B69-4E61-BAFF-021290974FF3}">
            <xm:f>$AX$19='Sprachen &amp; Rückgabewerte(5)'!$H$155</xm:f>
            <x14:dxf>
              <font>
                <color rgb="FFFF0000"/>
              </font>
            </x14:dxf>
          </x14:cfRule>
          <xm:sqref>AX19:BA20</xm:sqref>
        </x14:conditionalFormatting>
        <x14:conditionalFormatting xmlns:xm="http://schemas.microsoft.com/office/excel/2006/main">
          <x14:cfRule type="expression" priority="50" id="{0BBDCBD2-1B72-4684-82DE-43859710707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3" id="{580A6AE3-666A-4D52-93E9-DE17C03CF279}">
            <xm:f>$AN$80&lt;&gt;'Sprachen &amp; Rückgabewerte(5)'!$H$85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2" id="{58F23647-5474-4F1B-AB77-CAC329DAC863}">
            <xm:f>$AN$80&lt;&gt;'Sprachen &amp; Rückgabewerte(5)'!$H$86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7" id="{810FF37D-F687-4F06-86E2-9FD433DC4005}">
            <xm:f>'Sprachen &amp; Rückgabewerte(5)'!$U$49=FALSE</xm:f>
            <x14:dxf>
              <border>
                <left style="thin">
                  <color rgb="FFFF0000"/>
                </left>
                <vertical/>
                <horizontal/>
              </border>
            </x14:dxf>
          </x14:cfRule>
          <xm:sqref>E22:H26</xm:sqref>
        </x14:conditionalFormatting>
        <x14:conditionalFormatting xmlns:xm="http://schemas.microsoft.com/office/excel/2006/main">
          <x14:cfRule type="expression" priority="35" id="{6FE07D35-08DA-48EB-8C0B-0F8A6C1F327D}">
            <xm:f>'Sprachen &amp; Rückgabewerte(5)'!$U$49=FALSE</xm:f>
            <x14:dxf>
              <border>
                <right style="thin">
                  <color rgb="FFFF0000"/>
                </right>
                <vertical/>
                <horizontal/>
              </border>
            </x14:dxf>
          </x14:cfRule>
          <xm:sqref>AO22:AR26</xm:sqref>
        </x14:conditionalFormatting>
        <x14:conditionalFormatting xmlns:xm="http://schemas.microsoft.com/office/excel/2006/main">
          <x14:cfRule type="expression" priority="34" id="{CF891ED3-3862-44C8-8AF1-AD8A5AD45BA8}">
            <xm:f>'Sprachen &amp; Rückgabewerte(5)'!$I$39=FALSE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1" id="{D2800DF4-2AF9-471E-AFB2-E80C3D369F45}">
            <xm:f>'Sprachen &amp; Rückgabewerte(5)'!$I$39=FALSE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0" id="{FF678DD5-45E3-46EF-A1BB-1BC136FD0682}">
            <xm:f>AND('Sprachen &amp; Rückgabewerte(5)'!$C$16=1,$F$16="")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9" id="{73B5EF10-A693-443B-9B85-32E79E089423}">
            <xm:f>AND('Sprachen &amp; Rückgabewerte(5)'!$C$17=1,$J$16="")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8" id="{A454447C-CCDE-416A-8FFB-41E691F5D499}">
            <xm:f>AND('Sprachen &amp; Rückgabewerte(5)'!$C$18=1,$N$16="")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7" id="{04F39391-005E-46BF-AB16-CFCE0DF88336}">
            <xm:f>AND('Sprachen &amp; Rückgabewerte(5)'!$C$19=1,$R$16="")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6" id="{D2F6F609-D647-4B3D-A296-428875C85D37}">
            <xm:f>AND('Sprachen &amp; Rückgabewerte(5)'!$C$20=1,$V$16="")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5" id="{EE8819EC-E9CE-43DE-BCA0-B209BAC4D883}">
            <xm:f>AND('Sprachen &amp; Rückgabewerte(5)'!$C$21=1,$Z$16="")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4" id="{53B8F31F-50A5-40A0-B628-4FBF22B95B98}">
            <xm:f>AND('Sprachen &amp; Rückgabewerte(5)'!$C$22=1,$AD$16="")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3" id="{8B18A605-9E69-426F-A9EF-CA3ED4AD24E1}">
            <xm:f>AND('Sprachen &amp; Rückgabewerte(5)'!$C$23=1,$AH$16="")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2" id="{85F593EE-60BD-4BF4-AAA0-B3A932DD5CF0}">
            <xm:f>AND('Sprachen &amp; Rückgabewerte(5)'!$C$24=1,$AL$16="")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1" id="{A4160263-7FA1-42A0-BD4E-54F5EDD5C74A}">
            <xm:f>AND('Sprachen &amp; Rückgabewerte(5)'!$C$25=1,$AP$16="")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0" id="{AE2D8938-933B-4AE4-B6F1-3E48C17E9E60}">
            <xm:f>'Sprachen &amp; Rückgabewerte(5)'!$I$71=FALSE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9" id="{DC4B30E2-028A-474B-9A8D-46631B14D477}">
            <xm:f>AND('Sprachen &amp; Rückgabewerte(5)'!$I$71=TRUE,$AP$74="",$AP$75="",$AP$76="")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9F119503-2C11-4043-9ED1-E5AD8DF72027}">
            <xm:f>OR($AQ$96='Sprachen &amp; Rückgabewerte(5)'!$H$96,$AQ$96="")</xm:f>
            <x14:dxf>
              <border>
                <bottom/>
                <vertical/>
                <horizontal/>
              </border>
            </x14:dxf>
          </x14:cfRule>
          <x14:cfRule type="expression" priority="17" id="{07003A0C-1BF0-4B91-B7D2-89E2C12205B4}">
            <xm:f>AND($AQ$96='Sprachen &amp; Rückgabewerte(5)'!$H$95,$AW$96="")</xm:f>
            <x14:dxf>
              <border>
                <bottom style="thin">
                  <color rgb="FFFF0000"/>
                </bottom>
                <vertical/>
                <horizontal/>
              </border>
            </x14:dxf>
          </x14:cfRule>
          <xm:sqref>AS96:AV96</xm:sqref>
        </x14:conditionalFormatting>
        <x14:conditionalFormatting xmlns:xm="http://schemas.microsoft.com/office/excel/2006/main">
          <x14:cfRule type="expression" priority="15" id="{E6376C4B-E42D-4627-854C-90F523B4D11A}">
            <xm:f>AND($AQ$96='Sprachen &amp; Rückgabewerte(5)'!$H$95,$AW$96="")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4" id="{4B565AA1-2A29-4274-AFBE-7A4052F3B1EB}">
            <xm:f>OR($AQ$96='Sprachen &amp; Rückgabewerte(5)'!$H$96,$AQ$96="")</xm:f>
            <x14:dxf>
              <font>
                <color theme="0" tint="-0.14996795556505021"/>
              </font>
              <fill>
                <patternFill>
                  <bgColor theme="0" tint="-0.14996795556505021"/>
                </patternFill>
              </fill>
              <border>
                <left/>
                <right/>
                <top/>
                <bottom/>
                <vertical/>
                <horizontal/>
              </border>
            </x14:dxf>
          </x14:cfRule>
          <xm:sqref>AW95:AX96</xm:sqref>
        </x14:conditionalFormatting>
        <x14:conditionalFormatting xmlns:xm="http://schemas.microsoft.com/office/excel/2006/main">
          <x14:cfRule type="expression" priority="13" id="{5F17F949-F892-4C9E-88E4-5885E3521CC6}">
            <xm:f>'Sprachen &amp; Rückgabewerte(5)'!$W$68&gt;0</xm:f>
            <x14:dxf>
              <border>
                <bottom style="thin">
                  <color rgb="FFFF0000"/>
                </bottom>
                <vertical/>
                <horizontal/>
              </border>
            </x14:dxf>
          </x14:cfRule>
          <xm:sqref>AD97:AT97</xm:sqref>
        </x14:conditionalFormatting>
        <x14:conditionalFormatting xmlns:xm="http://schemas.microsoft.com/office/excel/2006/main">
          <x14:cfRule type="expression" priority="12" id="{95275174-CA63-4AD1-ADC5-F12F770E8245}">
            <xm:f>'Sprachen &amp; Rückgabewerte(5)'!$W$68&gt;0</xm:f>
            <x14:dxf>
              <border>
                <top style="thin">
                  <color rgb="FFFF0000"/>
                </top>
                <vertical/>
                <horizontal/>
              </border>
            </x14:dxf>
          </x14:cfRule>
          <xm:sqref>AD95:AT95</xm:sqref>
        </x14:conditionalFormatting>
        <x14:conditionalFormatting xmlns:xm="http://schemas.microsoft.com/office/excel/2006/main">
          <x14:cfRule type="expression" priority="11" id="{15E23E4D-DD70-4A9C-9C69-5729AB3B3D73}">
            <xm:f>'Sprachen &amp; Rückgabewerte(5)'!$W$68&gt;0</xm:f>
            <x14:dxf>
              <border>
                <left style="thin">
                  <color rgb="FFFF0000"/>
                </left>
                <vertical/>
                <horizontal/>
              </border>
            </x14:dxf>
          </x14:cfRule>
          <xm:sqref>AD95:AD97</xm:sqref>
        </x14:conditionalFormatting>
        <x14:conditionalFormatting xmlns:xm="http://schemas.microsoft.com/office/excel/2006/main">
          <x14:cfRule type="expression" priority="10" id="{325CAD27-A03F-4DE9-A120-DA3FCA8CB918}">
            <xm:f>'Sprachen &amp; Rückgabewerte(5)'!$W$68&gt;0</xm:f>
            <x14:dxf>
              <border>
                <right style="thin">
                  <color rgb="FFFF0000"/>
                </right>
                <vertical/>
                <horizontal/>
              </border>
            </x14:dxf>
          </x14:cfRule>
          <xm:sqref>AT95:AT97</xm:sqref>
        </x14:conditionalFormatting>
        <x14:conditionalFormatting xmlns:xm="http://schemas.microsoft.com/office/excel/2006/main">
          <x14:cfRule type="expression" priority="7" id="{69A03F3F-5AA3-4177-8FD0-A880CC6E0D6E}">
            <xm:f>'Sprachen &amp; Rückgabewerte(5)'!$C$51=FALSE</xm:f>
            <x14:dxf>
              <font>
                <color theme="0" tint="-0.14996795556505021"/>
              </font>
              <fill>
                <patternFill>
                  <bgColor theme="0" tint="-0.14996795556505021"/>
                </patternFill>
              </fill>
              <border>
                <left/>
                <right/>
                <top/>
                <bottom/>
                <vertical/>
                <horizontal/>
              </border>
            </x14:dxf>
          </x14:cfRule>
          <x14:cfRule type="expression" priority="8" id="{7DE76D33-B7BA-4D2A-A1FA-CE0CB1FF5E2C}">
            <xm:f>'Sprachen &amp; Rückgabewerte(5)'!$U$65=FALSE</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V96:Y96</xm:sqref>
        </x14:conditionalFormatting>
        <x14:conditionalFormatting xmlns:xm="http://schemas.microsoft.com/office/excel/2006/main">
          <x14:cfRule type="expression" priority="4" id="{C8CD8572-67EC-475A-A59A-4C295E6AA7CE}">
            <xm:f>'Sprachen &amp; Rückgabewerte(5)'!$W$78&lt;&gt;0</xm:f>
            <x14:dxf>
              <border>
                <bottom style="thin">
                  <color rgb="FFFF0000"/>
                </bottom>
                <vertical/>
                <horizontal/>
              </border>
            </x14:dxf>
          </x14:cfRule>
          <xm:sqref>AW11:BB11</xm:sqref>
        </x14:conditionalFormatting>
        <x14:conditionalFormatting xmlns:xm="http://schemas.microsoft.com/office/excel/2006/main">
          <x14:cfRule type="expression" priority="3" id="{F03F37E0-42E3-4076-83C5-E987A1F82738}">
            <xm:f>'Sprachen &amp; Rückgabewerte(5)'!$W$78&lt;&gt;0</xm:f>
            <x14:dxf>
              <border>
                <top style="thin">
                  <color rgb="FFFF0000"/>
                </top>
                <vertical/>
                <horizontal/>
              </border>
            </x14:dxf>
          </x14:cfRule>
          <xm:sqref>AW6:BB6</xm:sqref>
        </x14:conditionalFormatting>
        <x14:conditionalFormatting xmlns:xm="http://schemas.microsoft.com/office/excel/2006/main">
          <x14:cfRule type="expression" priority="2" id="{F8AB8EF9-24B6-437C-AF1B-BF57140C3765}">
            <xm:f>'Sprachen &amp; Rückgabewerte(5)'!$W$78&lt;&gt;0</xm:f>
            <x14:dxf>
              <border>
                <left style="thin">
                  <color rgb="FFFF0000"/>
                </left>
                <vertical/>
                <horizontal/>
              </border>
            </x14:dxf>
          </x14:cfRule>
          <xm:sqref>AW6:AW11</xm:sqref>
        </x14:conditionalFormatting>
        <x14:conditionalFormatting xmlns:xm="http://schemas.microsoft.com/office/excel/2006/main">
          <x14:cfRule type="expression" priority="1" id="{214BE784-C16F-4C56-BE0F-B217350AF43E}">
            <xm:f>'Sprachen &amp; Rückgabewerte(5)'!$W$78&lt;&gt;0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4">
        <x14:dataValidation type="list" allowBlank="1" showInputMessage="1" showErrorMessage="1" xr:uid="{37D0AE05-91D0-4615-95FE-6B0C6CCE7E9C}">
          <x14:formula1>
            <xm:f>'Sprachen &amp; Rückgabewerte(5)'!$M$86:$M$138</xm:f>
          </x14:formula1>
          <xm:sqref>AM88:AR88</xm:sqref>
        </x14:dataValidation>
        <x14:dataValidation type="list" showInputMessage="1" showErrorMessage="1" xr:uid="{626C5D41-D697-4CF6-B457-65889E7818DC}">
          <x14:formula1>
            <xm:f>'Sprachen &amp; Rückgabewerte(5)'!$B$70:$B$72</xm:f>
          </x14:formula1>
          <xm:sqref>H85:K85 V85:Y85 O85:R85 X72:AA72</xm:sqref>
        </x14:dataValidation>
        <x14:dataValidation type="list" allowBlank="1" showInputMessage="1" showErrorMessage="1" xr:uid="{3C29AA87-8687-4AD6-B3CE-BDE44B1A1471}">
          <x14:formula1>
            <xm:f>'Sprachen &amp; Rückgabewerte(5)'!$H$103:$H$107</xm:f>
          </x14:formula1>
          <xm:sqref>G20:AP20</xm:sqref>
        </x14:dataValidation>
        <x14:dataValidation type="list" showInputMessage="1" showErrorMessage="1" xr:uid="{A98D48B3-6398-44B3-9516-8D26B7758D59}">
          <x14:formula1>
            <xm:f>'Sprachen &amp; Rückgabewerte(5)'!$B$33:$B$34</xm:f>
          </x14:formula1>
          <xm:sqref>E23:AR26</xm:sqref>
        </x14:dataValidation>
        <x14:dataValidation type="list" showInputMessage="1" showErrorMessage="1" xr:uid="{3B9A87BE-3003-4B3D-9D4A-9081D2E18C92}">
          <x14:formula1>
            <xm:f>'Sprachen &amp; Rückgabewerte(5)'!$A$11:$A$18</xm:f>
          </x14:formula1>
          <xm:sqref>AM43:AQ43</xm:sqref>
        </x14:dataValidation>
        <x14:dataValidation type="list" showInputMessage="1" showErrorMessage="1" xr:uid="{021F53E2-11DD-40EC-8C76-42DD407EABB2}">
          <x14:formula1>
            <xm:f>'Sprachen &amp; Rückgabewerte(5)'!$A$19:$A$21</xm:f>
          </x14:formula1>
          <xm:sqref>AR43:AS43</xm:sqref>
        </x14:dataValidation>
        <x14:dataValidation type="list" allowBlank="1" showInputMessage="1" showErrorMessage="1" xr:uid="{FA2E5C4D-1866-4025-84FE-09BAED6CAA44}">
          <x14:formula1>
            <xm:f>'Sprachen &amp; Rückgabewerte(5)'!$J$67:$J$69</xm:f>
          </x14:formula1>
          <xm:sqref>AN70:AS70</xm:sqref>
        </x14:dataValidation>
        <x14:dataValidation type="list" allowBlank="1" showInputMessage="1" showErrorMessage="1" xr:uid="{B23B1ED5-025A-47C5-BC6A-010BAE6F3BBC}">
          <x14:formula1>
            <xm:f>'Sprachen &amp; Rückgabewerte(5)'!$J$77:$J$79</xm:f>
          </x14:formula1>
          <xm:sqref>AN78:AP78</xm:sqref>
        </x14:dataValidation>
        <x14:dataValidation type="list" allowBlank="1" showInputMessage="1" showErrorMessage="1" xr:uid="{1B210CF2-DD41-4421-BBF7-872A52E286EA}">
          <x14:formula1>
            <xm:f>'Sprachen &amp; Rückgabewerte(5)'!$J$80:$J$82</xm:f>
          </x14:formula1>
          <xm:sqref>AN79:AP79</xm:sqref>
        </x14:dataValidation>
        <x14:dataValidation type="list" allowBlank="1" showInputMessage="1" showErrorMessage="1" xr:uid="{37F0BFDF-3017-4FB5-A100-575BEFC6DB3B}">
          <x14:formula1>
            <xm:f>'Sprachen &amp; Rückgabewerte(5)'!$J$84:$J$86</xm:f>
          </x14:formula1>
          <xm:sqref>AN80:AS80</xm:sqref>
        </x14:dataValidation>
        <x14:dataValidation type="list" allowBlank="1" showInputMessage="1" showErrorMessage="1" xr:uid="{0F085C1B-6725-4FA3-BD33-362969751D8E}">
          <x14:formula1>
            <xm:f>'Sprachen &amp; Rückgabewerte(5)'!$J$94:$J$96</xm:f>
          </x14:formula1>
          <xm:sqref>AO55:AP55</xm:sqref>
        </x14:dataValidation>
        <x14:dataValidation type="list" showInputMessage="1" showErrorMessage="1" xr:uid="{AD0DDD16-2BF3-481D-ADCD-B291BF8221C0}">
          <x14:formula1>
            <xm:f>'Sprachen &amp; Rückgabewerte(5)'!$B$73:$B$75</xm:f>
          </x14:formula1>
          <xm:sqref>H96:K96</xm:sqref>
        </x14:dataValidation>
        <x14:dataValidation type="list" showInputMessage="1" showErrorMessage="1" xr:uid="{7E55D402-C32C-4555-8A57-7A2A1266A9AF}">
          <x14:formula1>
            <xm:f>'Sprachen &amp; Rückgabewerte(5)'!$B$76:$B$78</xm:f>
          </x14:formula1>
          <xm:sqref>O96:R96</xm:sqref>
        </x14:dataValidation>
        <x14:dataValidation type="list" allowBlank="1" showInputMessage="1" showErrorMessage="1" xr:uid="{5A9A668F-4CB0-4C73-A408-624899B46AFB}">
          <x14:formula1>
            <xm:f>'Sprachen &amp; Rückgabewerte(5)'!$B$9:$B$14</xm:f>
          </x14:formula1>
          <xm:sqref>F10:G10 J10:K10 N10:O10 R10:S10 V10:W10 Z10:AA10 AD10:AE10 AH10:AI10 AL10:AM10 AP10:AQ10</xm:sqref>
        </x14:dataValidation>
        <x14:dataValidation type="list" allowBlank="1" showInputMessage="1" showErrorMessage="1" xr:uid="{DC1B5164-45AF-45C9-9BFA-DBC65C14DC92}">
          <x14:formula1>
            <xm:f>'Sprachen &amp; Rückgabewerte(5)'!$B$33:$B$34</xm:f>
          </x14:formula1>
          <xm:sqref>E22:AR22</xm:sqref>
        </x14:dataValidation>
        <x14:dataValidation type="list" showInputMessage="1" showErrorMessage="1" xr:uid="{526CACCB-95EE-4978-8C4D-AE350455202D}">
          <x14:formula1>
            <xm:f>'Sprachen &amp; Rückgabewerte(5)'!$B$67:$B$69</xm:f>
          </x14:formula1>
          <xm:sqref>F72:I72 L72:O72 R72:U72</xm:sqref>
        </x14:dataValidation>
        <x14:dataValidation type="list" allowBlank="1" showInputMessage="1" showErrorMessage="1" xr:uid="{7A757FE1-DE56-4414-B97F-FAD2BE1FFB97}">
          <x14:formula1>
            <xm:f>'Sprachen &amp; Rückgabewerte(5)'!$J$91:$J$93</xm:f>
          </x14:formula1>
          <xm:sqref>AM49:AP49</xm:sqref>
        </x14:dataValidation>
        <x14:dataValidation type="list" allowBlank="1" showInputMessage="1" showErrorMessage="1" xr:uid="{F063DCD6-4CF4-45D2-B220-E815DE661002}">
          <x14:formula1>
            <xm:f>'Sprachen &amp; Rückgabewerte(5)'!$N$78:$N$80</xm:f>
          </x14:formula1>
          <xm:sqref>AE70:AL70</xm:sqref>
        </x14:dataValidation>
        <x14:dataValidation type="list" allowBlank="1" showInputMessage="1" showErrorMessage="1" xr:uid="{9FE2E78D-926B-4514-B549-1D93A118C478}">
          <x14:formula1>
            <xm:f>'Sprachen &amp; Rückgabewerte(5)'!$J$133:$J$136</xm:f>
          </x14:formula1>
          <xm:sqref>AX33:AY42</xm:sqref>
        </x14:dataValidation>
        <x14:dataValidation type="list" allowBlank="1" showInputMessage="1" showErrorMessage="1" xr:uid="{C7668AC6-9177-407D-BC58-400F89E2CB6A}">
          <x14:formula1>
            <xm:f>'Sprachen &amp; Rückgabewerte(5)'!$B$81:$B$84</xm:f>
          </x14:formula1>
          <xm:sqref>T104</xm:sqref>
        </x14:dataValidation>
        <x14:dataValidation type="list" allowBlank="1" showInputMessage="1" showErrorMessage="1" xr:uid="{C552CC97-F333-4E66-8374-86CB14E41101}">
          <x14:formula1>
            <xm:f>'Sprachen &amp; Rückgabewerte(5)'!$J$142:$J$144</xm:f>
          </x14:formula1>
          <xm:sqref>T110</xm:sqref>
        </x14:dataValidation>
        <x14:dataValidation type="list" allowBlank="1" showInputMessage="1" showErrorMessage="1" xr:uid="{56D3F301-1C35-47C5-B5D4-7DB93561208E}">
          <x14:formula1>
            <xm:f>'Sprachen &amp; Rückgabewerte(5)'!$J$145:$J$147</xm:f>
          </x14:formula1>
          <xm:sqref>T114</xm:sqref>
        </x14:dataValidation>
        <x14:dataValidation type="list" showInputMessage="1" showErrorMessage="1" xr:uid="{82725B43-21B5-4C20-8CE0-47B11155795B}">
          <x14:formula1>
            <xm:f>'Sprachen &amp; Rückgabewerte(5)'!$R$41:$R$43</xm:f>
          </x14:formula1>
          <xm:sqref>AF11:AG11 AN11:AO11 X11:Y11 T11:U11 P11:Q11 L11:M11 AB11:AC11 AJ11:AK11 H11:I11</xm:sqref>
        </x14:dataValidation>
        <x14:dataValidation type="list" allowBlank="1" showInputMessage="1" showErrorMessage="1" xr:uid="{BC72047E-A7D4-4CE0-9CFA-1BAD812B50BE}">
          <x14:formula1>
            <xm:f>'Sprachen &amp; Rückgabewerte(5)'!$Q$41:$Q$51</xm:f>
          </x14:formula1>
          <xm:sqref>AP74:AP76</xm:sqref>
        </x14:dataValidation>
        <x14:dataValidation type="list" showInputMessage="1" showErrorMessage="1" errorTitle="SG-Typ auswählen" error="Bitte wählen Sie einen Sky-Glass Typ aus. Spezialaufbau bitte im Feld Speziell eingeben!" xr:uid="{71D8512A-7E52-43C4-A7A1-70E08D2DE582}">
          <x14:formula1>
            <xm:f>'Sprachen &amp; Rückgabewerte(5)'!$V$3:$V$35</xm:f>
          </x14:formula1>
          <xm:sqref>AE53:AG53</xm:sqref>
        </x14:dataValidation>
        <x14:dataValidation type="list" allowBlank="1" showInputMessage="1" showErrorMessage="1" xr:uid="{9BE64095-0E3A-42A9-8CAC-3431F4F358ED}">
          <x14:formula1>
            <xm:f>'Sprachen &amp; Rückgabewerte(5)'!$J$150:$J$153</xm:f>
          </x14:formula1>
          <xm:sqref>AW48:AX48</xm:sqref>
        </x14:dataValidation>
        <x14:dataValidation type="list" allowBlank="1" showInputMessage="1" showErrorMessage="1" xr:uid="{47E4F2FB-AC48-4BFA-BA18-FA45F3D52F4B}">
          <x14:formula1>
            <xm:f>'Sprachen &amp; Rückgabewerte(5)'!$J$87:$J$89</xm:f>
          </x14:formula1>
          <xm:sqref>AE84:AL84</xm:sqref>
        </x14:dataValidation>
        <x14:dataValidation type="list" allowBlank="1" showInputMessage="1" showErrorMessage="1" xr:uid="{D45FA839-4D8D-407F-AD85-E83C60EB3E06}">
          <x14:formula1>
            <xm:f>'Sprachen &amp; Rückgabewerte(5)'!$J$174:$J$175</xm:f>
          </x14:formula1>
          <xm:sqref>AM46:AS46</xm:sqref>
        </x14:dataValidation>
        <x14:dataValidation type="list" allowBlank="1" showInputMessage="1" showErrorMessage="1" xr:uid="{959C9637-2C00-4704-917E-62DBBDB4B238}">
          <x14:formula1>
            <xm:f>'Sprachen &amp; Rückgabewerte(5)'!$J$177:$J$178</xm:f>
          </x14:formula1>
          <xm:sqref>AM47:AS47</xm:sqref>
        </x14:dataValidation>
        <x14:dataValidation type="list" allowBlank="1" showInputMessage="1" showErrorMessage="1" xr:uid="{588E1BDE-559C-43C3-A17E-0FC178760AC1}">
          <x14:formula1>
            <xm:f>'Sprachen &amp; Rückgabewerte(5)'!$A$28:$A$30</xm:f>
          </x14:formula1>
          <xm:sqref>F16:G17 AL16:AM17 J16:K17 N16:O17 R16:S17 V16:W17 Z16:AA17 AD16:AE17 AH16:AI17 AP16:AQ17</xm:sqref>
        </x14:dataValidation>
        <x14:dataValidation type="list" allowBlank="1" showInputMessage="1" showErrorMessage="1" xr:uid="{B6B27886-522C-4A49-9266-B912A6B351DC}">
          <x14:formula1>
            <xm:f>'Sprachen &amp; Rückgabewerte(5)'!$H$95:$H$96</xm:f>
          </x14:formula1>
          <xm:sqref>AQ96:AR96</xm:sqref>
        </x14:dataValidation>
        <x14:dataValidation type="list" allowBlank="1" showInputMessage="1" showErrorMessage="1" xr:uid="{161F1A3F-C78D-4EB1-962B-9798EBB3A14A}">
          <x14:formula1>
            <xm:f>'Sprachen &amp; Rückgabewerte(5)'!$H$191:$H$192</xm:f>
          </x14:formula1>
          <xm:sqref>V96:Y96</xm:sqref>
        </x14:dataValidation>
        <x14:dataValidation type="list" allowBlank="1" showInputMessage="1" showErrorMessage="1" xr:uid="{0ABA30BF-7D9B-42E8-A5D7-FFE5586FCCB5}">
          <x14:formula1>
            <xm:f>'Sprachen &amp; Rückgabewerte(5)'!$H$198:$H$199</xm:f>
          </x14:formula1>
          <xm:sqref>AZ9:BA9</xm:sqref>
        </x14:dataValidation>
        <x14:dataValidation type="list" allowBlank="1" showInputMessage="1" showErrorMessage="1" xr:uid="{B30EA227-877B-43F6-8675-41C079819F53}">
          <x14:formula1>
            <xm:f>'Sprachen &amp; Rückgabewerte(5)'!$H$196:$H$197</xm:f>
          </x14:formula1>
          <xm:sqref>AZ10:BA10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B1:I63"/>
  <sheetViews>
    <sheetView zoomScaleNormal="100" workbookViewId="0">
      <selection activeCell="G17" sqref="G17"/>
    </sheetView>
  </sheetViews>
  <sheetFormatPr baseColWidth="10" defaultColWidth="11.42578125" defaultRowHeight="12.75" x14ac:dyDescent="0.2"/>
  <cols>
    <col min="1" max="1" width="12.42578125" style="335" customWidth="1"/>
    <col min="2" max="2" width="3.7109375" style="335" customWidth="1"/>
    <col min="3" max="3" width="67.42578125" style="336" customWidth="1"/>
    <col min="4" max="4" width="1.42578125" style="335" customWidth="1"/>
    <col min="5" max="6" width="11.42578125" style="335"/>
    <col min="7" max="7" width="10.7109375" style="335" customWidth="1"/>
    <col min="8" max="8" width="6.85546875" style="335" customWidth="1"/>
    <col min="9" max="9" width="36" style="335" customWidth="1"/>
    <col min="10" max="10" width="11.42578125" style="335"/>
    <col min="11" max="11" width="15.7109375" style="335" customWidth="1"/>
    <col min="12" max="16384" width="11.42578125" style="335"/>
  </cols>
  <sheetData>
    <row r="1" spans="2:9" ht="13.5" customHeight="1" x14ac:dyDescent="0.2"/>
    <row r="2" spans="2:9" ht="13.5" customHeight="1" x14ac:dyDescent="0.2">
      <c r="B2" s="337"/>
      <c r="C2" s="338"/>
      <c r="D2" s="338"/>
      <c r="E2" s="338"/>
      <c r="F2" s="338"/>
      <c r="G2" s="338"/>
      <c r="H2" s="338"/>
      <c r="I2" s="339"/>
    </row>
    <row r="3" spans="2:9" ht="36.75" customHeight="1" x14ac:dyDescent="0.2">
      <c r="B3" s="340"/>
      <c r="C3" s="341"/>
      <c r="D3" s="341"/>
      <c r="E3" s="341"/>
      <c r="F3" s="341"/>
      <c r="G3" s="341"/>
      <c r="H3" s="341"/>
      <c r="I3" s="342"/>
    </row>
    <row r="4" spans="2:9" ht="20.25" customHeight="1" x14ac:dyDescent="0.2">
      <c r="B4" s="432"/>
      <c r="C4" s="731" t="str">
        <f>'Sprachen &amp; Rückgabewerte'!$H$129</f>
        <v>Anleitung:</v>
      </c>
      <c r="D4" s="433"/>
      <c r="E4" s="433"/>
      <c r="F4" s="433"/>
      <c r="G4" s="433"/>
      <c r="H4" s="433"/>
      <c r="I4" s="434"/>
    </row>
    <row r="5" spans="2:9" ht="20.25" customHeight="1" x14ac:dyDescent="0.2">
      <c r="B5" s="435"/>
      <c r="C5" s="732"/>
      <c r="D5" s="436"/>
      <c r="E5" s="436"/>
      <c r="F5" s="436"/>
      <c r="G5" s="436"/>
      <c r="H5" s="436"/>
      <c r="I5" s="437"/>
    </row>
    <row r="6" spans="2:9" ht="12.75" customHeight="1" x14ac:dyDescent="0.3">
      <c r="B6" s="344"/>
      <c r="C6" s="430"/>
      <c r="D6" s="336"/>
      <c r="E6" s="336"/>
      <c r="F6" s="336"/>
      <c r="G6" s="336"/>
      <c r="H6" s="336"/>
      <c r="I6" s="343"/>
    </row>
    <row r="7" spans="2:9" ht="12.75" customHeight="1" x14ac:dyDescent="0.2">
      <c r="B7" s="431" t="str">
        <f>"1."</f>
        <v>1.</v>
      </c>
      <c r="C7" s="336" t="str">
        <f>'Sprachen &amp; Rückgabewerte'!$H$126</f>
        <v>Bestellung vollständig ausfüllen.</v>
      </c>
      <c r="D7" s="336"/>
      <c r="E7" s="336"/>
      <c r="F7" s="336"/>
      <c r="G7" s="336"/>
      <c r="H7" s="336"/>
      <c r="I7" s="343"/>
    </row>
    <row r="8" spans="2:9" ht="12.75" customHeight="1" x14ac:dyDescent="0.2">
      <c r="B8" s="431" t="str">
        <f>"2."</f>
        <v>2.</v>
      </c>
      <c r="C8" s="336" t="str">
        <f>'Sprachen &amp; Rückgabewerte'!$H$127</f>
        <v>Überprüfen ob keine roten Rahmen aufleuchten.</v>
      </c>
      <c r="D8" s="336"/>
      <c r="E8" s="336"/>
      <c r="F8" s="336"/>
      <c r="G8" s="336"/>
      <c r="H8" s="336"/>
      <c r="I8" s="343"/>
    </row>
    <row r="9" spans="2:9" ht="12.75" customHeight="1" x14ac:dyDescent="0.2">
      <c r="B9" s="431" t="str">
        <f>"3."</f>
        <v>3.</v>
      </c>
      <c r="C9" s="336" t="str">
        <f>'Sprachen &amp; Rückgabewerte'!$H$128</f>
        <v>Bestellung senden an:</v>
      </c>
      <c r="D9" s="336"/>
      <c r="E9" s="336"/>
      <c r="F9" s="336"/>
      <c r="G9" s="336"/>
      <c r="H9" s="336"/>
      <c r="I9" s="343"/>
    </row>
    <row r="10" spans="2:9" ht="12.75" customHeight="1" x14ac:dyDescent="0.2">
      <c r="B10" s="344"/>
      <c r="C10" s="246" t="s">
        <v>173</v>
      </c>
      <c r="D10" s="336"/>
      <c r="E10" s="336"/>
      <c r="F10" s="336"/>
      <c r="G10" s="336"/>
      <c r="H10" s="336"/>
      <c r="I10" s="343"/>
    </row>
    <row r="11" spans="2:9" ht="12.75" customHeight="1" x14ac:dyDescent="0.2">
      <c r="B11" s="344"/>
      <c r="C11" s="246"/>
      <c r="D11" s="336"/>
      <c r="E11" s="336"/>
      <c r="F11" s="336"/>
      <c r="G11" s="336"/>
      <c r="H11" s="336"/>
      <c r="I11" s="343"/>
    </row>
    <row r="12" spans="2:9" ht="20.25" customHeight="1" x14ac:dyDescent="0.2">
      <c r="B12" s="432"/>
      <c r="C12" s="731" t="str">
        <f>'Sprachen &amp; Rückgabewerte'!H165</f>
        <v>Hinweise:</v>
      </c>
      <c r="D12" s="433"/>
      <c r="E12" s="433"/>
      <c r="F12" s="433"/>
      <c r="G12" s="433"/>
      <c r="H12" s="433"/>
      <c r="I12" s="434"/>
    </row>
    <row r="13" spans="2:9" ht="20.25" customHeight="1" x14ac:dyDescent="0.2">
      <c r="B13" s="435"/>
      <c r="C13" s="732"/>
      <c r="D13" s="436"/>
      <c r="E13" s="436"/>
      <c r="F13" s="436"/>
      <c r="G13" s="436"/>
      <c r="H13" s="436"/>
      <c r="I13" s="437"/>
    </row>
    <row r="14" spans="2:9" x14ac:dyDescent="0.2">
      <c r="B14" s="344"/>
      <c r="G14" s="336"/>
      <c r="I14" s="343"/>
    </row>
    <row r="15" spans="2:9" x14ac:dyDescent="0.2">
      <c r="B15" s="345" t="s">
        <v>526</v>
      </c>
      <c r="C15" s="346" t="str">
        <f>'Sprachen &amp; Rückgabewerte'!H166</f>
        <v>Angabe erstöffnender Flügel</v>
      </c>
      <c r="G15" s="336"/>
      <c r="I15" s="343"/>
    </row>
    <row r="16" spans="2:9" ht="60.75" customHeight="1" x14ac:dyDescent="0.2">
      <c r="B16" s="344"/>
      <c r="C16" s="347" t="str">
        <f>'Sprachen &amp; Rückgabewerte'!H167</f>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G16" s="336"/>
      <c r="I16" s="343"/>
    </row>
    <row r="17" spans="2:9" ht="131.25" customHeight="1" x14ac:dyDescent="0.2">
      <c r="B17" s="344"/>
      <c r="G17" s="336"/>
      <c r="I17" s="343"/>
    </row>
    <row r="18" spans="2:9" ht="45" customHeight="1" x14ac:dyDescent="0.2">
      <c r="B18" s="340"/>
      <c r="C18" s="341"/>
      <c r="D18" s="341"/>
      <c r="E18" s="341"/>
      <c r="F18" s="341"/>
      <c r="G18" s="341"/>
      <c r="H18" s="341"/>
      <c r="I18" s="342"/>
    </row>
    <row r="19" spans="2:9" x14ac:dyDescent="0.2">
      <c r="B19" s="344"/>
      <c r="I19" s="343"/>
    </row>
    <row r="20" spans="2:9" x14ac:dyDescent="0.2">
      <c r="B20" s="345" t="s">
        <v>527</v>
      </c>
      <c r="C20" s="346" t="str">
        <f>'Sprachen &amp; Rückgabewerte'!H168</f>
        <v>Eingabe Ecke ≠ 90° (von 60° - 160°)</v>
      </c>
      <c r="I20" s="343"/>
    </row>
    <row r="21" spans="2:9" ht="50.25" customHeight="1" x14ac:dyDescent="0.2">
      <c r="B21" s="344"/>
      <c r="C21" s="348" t="str">
        <f>'Sprachen &amp; Rückgabewerte'!H169</f>
        <v xml:space="preserve">Um eine Ecke auszuwählen, welche grösser oder kleiner wie 90° ist, muss das dementsprechende Feld ausgewählt werden. Danach muss der gewünschte Wert angegeben werden. </v>
      </c>
      <c r="I21" s="343"/>
    </row>
    <row r="22" spans="2:9" ht="75.75" customHeight="1" x14ac:dyDescent="0.2">
      <c r="B22" s="344"/>
      <c r="I22" s="343"/>
    </row>
    <row r="23" spans="2:9" ht="45" customHeight="1" x14ac:dyDescent="0.2">
      <c r="B23" s="340"/>
      <c r="C23" s="341"/>
      <c r="D23" s="341"/>
      <c r="E23" s="341"/>
      <c r="F23" s="341"/>
      <c r="G23" s="341"/>
      <c r="H23" s="341"/>
      <c r="I23" s="342"/>
    </row>
    <row r="24" spans="2:9" x14ac:dyDescent="0.2">
      <c r="B24" s="344"/>
      <c r="I24" s="343"/>
    </row>
    <row r="25" spans="2:9" x14ac:dyDescent="0.2">
      <c r="B25" s="345" t="s">
        <v>836</v>
      </c>
      <c r="C25" s="346" t="str">
        <f>'Sprachen &amp; Rückgabewerte'!H170</f>
        <v>Breitenangabe bei Eckanlagen</v>
      </c>
      <c r="I25" s="343"/>
    </row>
    <row r="26" spans="2:9" ht="63.75" customHeight="1" x14ac:dyDescent="0.2">
      <c r="B26" s="344"/>
      <c r="C26" s="348" t="str">
        <f>'Sprachen &amp; Rückgabewerte'!H171</f>
        <v>Wird eine Eckanlage eingegeben, erscheint bei der Angabe "Breite" automatisch ein neues Eingabefeld. Die Länge der einzelnen Fronten muss hier separat angegeben werden (Rahmenaussenmass). Die verschiedenen Fronten sind von links nach rechts anzugeben:</v>
      </c>
      <c r="I26" s="343"/>
    </row>
    <row r="27" spans="2:9" ht="135" customHeight="1" x14ac:dyDescent="0.2">
      <c r="B27" s="344"/>
      <c r="I27" s="343"/>
    </row>
    <row r="28" spans="2:9" ht="45" customHeight="1" x14ac:dyDescent="0.2">
      <c r="B28" s="340"/>
      <c r="C28" s="341"/>
      <c r="D28" s="341"/>
      <c r="E28" s="341"/>
      <c r="F28" s="341"/>
      <c r="G28" s="341"/>
      <c r="H28" s="341"/>
      <c r="I28" s="342"/>
    </row>
    <row r="29" spans="2:9" x14ac:dyDescent="0.2">
      <c r="B29" s="344"/>
      <c r="I29" s="343"/>
    </row>
    <row r="30" spans="2:9" x14ac:dyDescent="0.2">
      <c r="B30" s="345" t="s">
        <v>837</v>
      </c>
      <c r="C30" s="346" t="str">
        <f>'Sprachen &amp; Rückgabewerte'!H172</f>
        <v>Rinnenlänge angeben</v>
      </c>
      <c r="I30" s="343"/>
    </row>
    <row r="31" spans="2:9" ht="76.5" customHeight="1" thickBot="1" x14ac:dyDescent="0.25">
      <c r="B31" s="344"/>
      <c r="C31" s="348" t="str">
        <f>'Sprachen &amp; Rückgabewerte'!H173</f>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31" s="343"/>
    </row>
    <row r="32" spans="2:9" x14ac:dyDescent="0.2">
      <c r="B32" s="344"/>
      <c r="E32" s="349"/>
      <c r="F32" s="350"/>
      <c r="G32" s="350"/>
      <c r="H32" s="351"/>
      <c r="I32" s="343"/>
    </row>
    <row r="33" spans="2:9" x14ac:dyDescent="0.2">
      <c r="B33" s="344"/>
      <c r="E33" s="352" t="str">
        <f>'Sprachen &amp; Rückgabewerte'!H139</f>
        <v>Wahl des Rinnensystems:</v>
      </c>
      <c r="F33" s="336"/>
      <c r="G33" s="336"/>
      <c r="H33" s="353"/>
      <c r="I33" s="343"/>
    </row>
    <row r="34" spans="2:9" x14ac:dyDescent="0.2">
      <c r="B34" s="344"/>
      <c r="E34" s="352"/>
      <c r="F34" s="336"/>
      <c r="G34" s="336"/>
      <c r="H34" s="353"/>
      <c r="I34" s="343"/>
    </row>
    <row r="35" spans="2:9" x14ac:dyDescent="0.2">
      <c r="B35" s="344"/>
      <c r="E35" s="352" t="str">
        <f>'Sprachen &amp; Rückgabewerte'!H140</f>
        <v>Einzug an der linken Anlagenseite:</v>
      </c>
      <c r="F35" s="336"/>
      <c r="G35" s="336"/>
      <c r="H35" s="353"/>
      <c r="I35" s="343"/>
    </row>
    <row r="36" spans="2:9" x14ac:dyDescent="0.2">
      <c r="B36" s="344"/>
      <c r="E36" s="352"/>
      <c r="F36" s="336"/>
      <c r="G36" s="336"/>
      <c r="H36" s="353"/>
      <c r="I36" s="343"/>
    </row>
    <row r="37" spans="2:9" x14ac:dyDescent="0.2">
      <c r="B37" s="344"/>
      <c r="E37" s="352" t="str">
        <f>'Sprachen &amp; Rückgabewerte'!H141</f>
        <v>Einzug an der rechten Anlagenseite:</v>
      </c>
      <c r="F37" s="336"/>
      <c r="G37" s="336"/>
      <c r="H37" s="353"/>
      <c r="I37" s="343"/>
    </row>
    <row r="38" spans="2:9" ht="13.5" thickBot="1" x14ac:dyDescent="0.25">
      <c r="B38" s="344"/>
      <c r="E38" s="354"/>
      <c r="F38" s="355"/>
      <c r="G38" s="355"/>
      <c r="H38" s="356"/>
      <c r="I38" s="343"/>
    </row>
    <row r="39" spans="2:9" ht="70.5" customHeight="1" x14ac:dyDescent="0.2">
      <c r="B39" s="344"/>
      <c r="I39" s="343"/>
    </row>
    <row r="40" spans="2:9" ht="42.75" customHeight="1" x14ac:dyDescent="0.2">
      <c r="B40" s="340"/>
      <c r="C40" s="341"/>
      <c r="D40" s="341"/>
      <c r="E40" s="341"/>
      <c r="F40" s="341"/>
      <c r="G40" s="341"/>
      <c r="H40" s="341"/>
      <c r="I40" s="342"/>
    </row>
    <row r="41" spans="2:9" x14ac:dyDescent="0.2">
      <c r="B41" s="337"/>
      <c r="C41" s="338"/>
      <c r="D41" s="338"/>
      <c r="E41" s="338"/>
      <c r="F41" s="338"/>
      <c r="G41" s="338"/>
      <c r="H41" s="338"/>
      <c r="I41" s="339"/>
    </row>
    <row r="42" spans="2:9" x14ac:dyDescent="0.2">
      <c r="B42" s="421" t="str">
        <f>"5."</f>
        <v>5.</v>
      </c>
      <c r="C42" s="346" t="str">
        <f>'Sprachen &amp; Rückgabewerte'!H186</f>
        <v>Bemassung Bahnhof</v>
      </c>
      <c r="D42" s="336"/>
      <c r="E42" s="336"/>
      <c r="F42" s="336"/>
      <c r="G42" s="336"/>
      <c r="H42" s="336"/>
      <c r="I42" s="343"/>
    </row>
    <row r="43" spans="2:9" ht="51" x14ac:dyDescent="0.2">
      <c r="B43" s="344"/>
      <c r="C43" s="420" t="str">
        <f>'Sprachen &amp; Rückgabewerte'!H187</f>
        <v>Die Vermassung von Bahnhofanlagen funktioniert gleich wie bei normalen Rahmen. Bitte geben Sie uns als Rahmenmass das komplette Mass von Aussenkant Rahmen an. Für die Vermassung der Labyrinthposition geben Sie bitte das Mass bis Achse Labyrinth an.</v>
      </c>
      <c r="D43" s="336"/>
      <c r="E43" s="336"/>
      <c r="F43" s="336"/>
      <c r="G43" s="336"/>
      <c r="H43" s="336"/>
      <c r="I43" s="343"/>
    </row>
    <row r="44" spans="2:9" x14ac:dyDescent="0.2">
      <c r="B44" s="344"/>
      <c r="D44" s="336"/>
      <c r="E44" s="336"/>
      <c r="F44" s="336"/>
      <c r="G44" s="336"/>
      <c r="H44" s="336"/>
      <c r="I44" s="343"/>
    </row>
    <row r="45" spans="2:9" x14ac:dyDescent="0.2">
      <c r="B45" s="344"/>
      <c r="D45" s="336"/>
      <c r="E45" s="336"/>
      <c r="F45" s="336"/>
      <c r="G45" s="336"/>
      <c r="H45" s="336"/>
      <c r="I45" s="343"/>
    </row>
    <row r="46" spans="2:9" x14ac:dyDescent="0.2">
      <c r="B46" s="344"/>
      <c r="D46" s="336"/>
      <c r="E46" s="336"/>
      <c r="F46" s="336"/>
      <c r="G46" s="336"/>
      <c r="H46" s="336"/>
      <c r="I46" s="343"/>
    </row>
    <row r="47" spans="2:9" x14ac:dyDescent="0.2">
      <c r="B47" s="344"/>
      <c r="D47" s="336"/>
      <c r="E47" s="336"/>
      <c r="F47" s="336"/>
      <c r="G47" s="336"/>
      <c r="H47" s="336"/>
      <c r="I47" s="343"/>
    </row>
    <row r="48" spans="2:9" x14ac:dyDescent="0.2">
      <c r="B48" s="344"/>
      <c r="D48" s="336"/>
      <c r="E48" s="336"/>
      <c r="F48" s="336"/>
      <c r="G48" s="336"/>
      <c r="H48" s="336"/>
      <c r="I48" s="343"/>
    </row>
    <row r="49" spans="2:9" x14ac:dyDescent="0.2">
      <c r="B49" s="344"/>
      <c r="D49" s="336"/>
      <c r="E49" s="336"/>
      <c r="F49" s="336"/>
      <c r="G49" s="336"/>
      <c r="H49" s="336"/>
      <c r="I49" s="343"/>
    </row>
    <row r="50" spans="2:9" x14ac:dyDescent="0.2">
      <c r="B50" s="344"/>
      <c r="D50" s="336"/>
      <c r="E50" s="336"/>
      <c r="F50" s="336"/>
      <c r="G50" s="336"/>
      <c r="H50" s="336"/>
      <c r="I50" s="343"/>
    </row>
    <row r="51" spans="2:9" x14ac:dyDescent="0.2">
      <c r="B51" s="344"/>
      <c r="D51" s="336"/>
      <c r="E51" s="336"/>
      <c r="F51" s="336"/>
      <c r="G51" s="336"/>
      <c r="H51" s="336"/>
      <c r="I51" s="343"/>
    </row>
    <row r="52" spans="2:9" x14ac:dyDescent="0.2">
      <c r="B52" s="344"/>
      <c r="D52" s="336"/>
      <c r="E52" s="336"/>
      <c r="F52" s="336"/>
      <c r="G52" s="336"/>
      <c r="H52" s="336"/>
      <c r="I52" s="343"/>
    </row>
    <row r="53" spans="2:9" x14ac:dyDescent="0.2">
      <c r="B53" s="344"/>
      <c r="D53" s="336"/>
      <c r="E53" s="336"/>
      <c r="F53" s="336"/>
      <c r="G53" s="336"/>
      <c r="H53" s="336"/>
      <c r="I53" s="343"/>
    </row>
    <row r="54" spans="2:9" x14ac:dyDescent="0.2">
      <c r="B54" s="344"/>
      <c r="D54" s="336"/>
      <c r="E54" s="336"/>
      <c r="F54" s="336"/>
      <c r="G54" s="336"/>
      <c r="H54" s="336"/>
      <c r="I54" s="343"/>
    </row>
    <row r="55" spans="2:9" x14ac:dyDescent="0.2">
      <c r="B55" s="344"/>
      <c r="D55" s="336"/>
      <c r="E55" s="336"/>
      <c r="F55" s="336"/>
      <c r="G55" s="336"/>
      <c r="H55" s="336"/>
      <c r="I55" s="343"/>
    </row>
    <row r="56" spans="2:9" x14ac:dyDescent="0.2">
      <c r="B56" s="344"/>
      <c r="D56" s="336"/>
      <c r="E56" s="336"/>
      <c r="F56" s="336"/>
      <c r="G56" s="336"/>
      <c r="H56" s="336"/>
      <c r="I56" s="343"/>
    </row>
    <row r="57" spans="2:9" x14ac:dyDescent="0.2">
      <c r="B57" s="344"/>
      <c r="D57" s="336"/>
      <c r="E57" s="336"/>
      <c r="F57" s="336"/>
      <c r="G57" s="336"/>
      <c r="H57" s="336"/>
      <c r="I57" s="343"/>
    </row>
    <row r="58" spans="2:9" x14ac:dyDescent="0.2">
      <c r="B58" s="344"/>
      <c r="D58" s="336"/>
      <c r="E58" s="336"/>
      <c r="F58" s="336"/>
      <c r="G58" s="336"/>
      <c r="H58" s="336"/>
      <c r="I58" s="343"/>
    </row>
    <row r="59" spans="2:9" x14ac:dyDescent="0.2">
      <c r="B59" s="344"/>
      <c r="D59" s="336"/>
      <c r="E59" s="336"/>
      <c r="F59" s="336"/>
      <c r="G59" s="336"/>
      <c r="H59" s="336"/>
      <c r="I59" s="343"/>
    </row>
    <row r="60" spans="2:9" x14ac:dyDescent="0.2">
      <c r="B60" s="344"/>
      <c r="D60" s="336"/>
      <c r="E60" s="336"/>
      <c r="F60" s="336"/>
      <c r="G60" s="336"/>
      <c r="H60" s="336"/>
      <c r="I60" s="343"/>
    </row>
    <row r="61" spans="2:9" x14ac:dyDescent="0.2">
      <c r="B61" s="344"/>
      <c r="D61" s="336"/>
      <c r="E61" s="336"/>
      <c r="F61" s="336"/>
      <c r="G61" s="336"/>
      <c r="H61" s="336"/>
      <c r="I61" s="343"/>
    </row>
    <row r="62" spans="2:9" ht="45" customHeight="1" x14ac:dyDescent="0.2">
      <c r="B62" s="340"/>
      <c r="C62" s="341"/>
      <c r="D62" s="341"/>
      <c r="E62" s="341"/>
      <c r="F62" s="341"/>
      <c r="G62" s="341"/>
      <c r="H62" s="341"/>
      <c r="I62" s="342"/>
    </row>
    <row r="63" spans="2:9" ht="45" customHeight="1" x14ac:dyDescent="0.2">
      <c r="B63" s="417"/>
      <c r="C63" s="418"/>
      <c r="D63" s="418"/>
      <c r="E63" s="418"/>
      <c r="F63" s="418"/>
      <c r="G63" s="418"/>
      <c r="H63" s="418"/>
      <c r="I63" s="419" t="str">
        <f>'Pos. 1'!AT98</f>
        <v>Version 09-07-2018</v>
      </c>
    </row>
  </sheetData>
  <sheetProtection algorithmName="SHA-512" hashValue="RNdtpw4t7sdHhXudZ9N73ysdXcPcFt84SCUatBI5puN9l+KnE25oOmlubenqhUDTbsuo/PIJQB+xUOOYL5c7iQ==" saltValue="pnal4tZ7oyzPP8e0sOzN8Q==" spinCount="100000" sheet="1" objects="1" selectLockedCells="1" selectUnlockedCells="1"/>
  <mergeCells count="2">
    <mergeCell ref="C4:C5"/>
    <mergeCell ref="C12:C13"/>
  </mergeCells>
  <hyperlinks>
    <hyperlink ref="C10" r:id="rId1" xr:uid="{FBB02D39-88F1-4695-AF27-E4042211654C}"/>
  </hyperlinks>
  <pageMargins left="0.25" right="0.25" top="0.75" bottom="0.75" header="0.3" footer="0.3"/>
  <pageSetup paperSize="9" scale="6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pageSetUpPr fitToPage="1"/>
  </sheetPr>
  <dimension ref="A1:P87"/>
  <sheetViews>
    <sheetView tabSelected="1" zoomScale="85" zoomScaleNormal="85" workbookViewId="0">
      <selection activeCell="P78" sqref="P78"/>
    </sheetView>
  </sheetViews>
  <sheetFormatPr baseColWidth="10" defaultRowHeight="14.25" x14ac:dyDescent="0.2"/>
  <cols>
    <col min="1" max="1" width="12.42578125" style="383" customWidth="1"/>
    <col min="2" max="2" width="3.7109375" style="383" customWidth="1"/>
    <col min="3" max="11" width="11.42578125" style="383"/>
    <col min="12" max="12" width="16.28515625" style="383" customWidth="1"/>
    <col min="13" max="13" width="5.5703125" style="383" customWidth="1"/>
    <col min="14" max="14" width="8.140625" style="383" customWidth="1"/>
    <col min="15" max="16384" width="11.42578125" style="383"/>
  </cols>
  <sheetData>
    <row r="1" spans="1:14" ht="13.5" customHeight="1" x14ac:dyDescent="0.2"/>
    <row r="2" spans="1:14" ht="13.5" customHeight="1" x14ac:dyDescent="0.2">
      <c r="B2" s="384"/>
      <c r="C2" s="385"/>
      <c r="D2" s="385"/>
      <c r="E2" s="385"/>
      <c r="F2" s="385"/>
      <c r="G2" s="385"/>
      <c r="H2" s="385"/>
      <c r="I2" s="385"/>
      <c r="J2" s="385"/>
      <c r="K2" s="385"/>
      <c r="L2" s="385"/>
      <c r="M2" s="385"/>
      <c r="N2" s="386"/>
    </row>
    <row r="3" spans="1:14" ht="36.75" customHeight="1" x14ac:dyDescent="0.2">
      <c r="B3" s="387"/>
      <c r="C3" s="388"/>
      <c r="D3" s="388"/>
      <c r="E3" s="388"/>
      <c r="F3" s="388"/>
      <c r="G3" s="388"/>
      <c r="H3" s="388"/>
      <c r="I3" s="388"/>
      <c r="J3" s="388"/>
      <c r="K3" s="388"/>
      <c r="L3" s="388"/>
      <c r="M3" s="143" t="str">
        <f>'Pos. 1'!AT3</f>
        <v>Sky-Frame 2</v>
      </c>
      <c r="N3" s="389"/>
    </row>
    <row r="4" spans="1:14" ht="7.5" customHeight="1" x14ac:dyDescent="0.2">
      <c r="B4" s="384"/>
      <c r="N4" s="390"/>
    </row>
    <row r="5" spans="1:14" ht="20.25" customHeight="1" x14ac:dyDescent="0.3">
      <c r="B5" s="391"/>
      <c r="C5" s="392" t="str">
        <f>'Sprachen &amp; Rückgabewerte'!H179</f>
        <v>Übersicht:</v>
      </c>
      <c r="N5" s="390"/>
    </row>
    <row r="6" spans="1:14" ht="3" customHeight="1" x14ac:dyDescent="0.2">
      <c r="B6" s="391"/>
      <c r="N6" s="390"/>
    </row>
    <row r="7" spans="1:14" ht="3.75" customHeight="1" x14ac:dyDescent="0.2">
      <c r="B7" s="391"/>
      <c r="N7" s="389"/>
    </row>
    <row r="8" spans="1:14" ht="15" customHeight="1" x14ac:dyDescent="0.25">
      <c r="B8" s="384"/>
      <c r="C8" s="393" t="s">
        <v>883</v>
      </c>
      <c r="D8" s="385"/>
      <c r="E8" s="394" t="str">
        <f>'Pos. 1'!$AX$19</f>
        <v>Bestellformular unvollständig!</v>
      </c>
      <c r="F8" s="385"/>
      <c r="G8" s="385"/>
      <c r="H8" s="385"/>
      <c r="I8" s="385"/>
      <c r="J8" s="385"/>
      <c r="K8" s="385"/>
      <c r="L8" s="385"/>
      <c r="M8" s="385"/>
      <c r="N8" s="395" t="str">
        <f>'Pos. 1'!$BB$2</f>
        <v>0m²</v>
      </c>
    </row>
    <row r="9" spans="1:14" x14ac:dyDescent="0.2">
      <c r="B9" s="391"/>
      <c r="C9" s="396"/>
      <c r="D9" s="396"/>
      <c r="E9" s="396"/>
      <c r="F9" s="396"/>
      <c r="G9" s="396"/>
      <c r="H9" s="396"/>
      <c r="I9" s="396"/>
      <c r="J9" s="396"/>
      <c r="K9" s="396"/>
      <c r="L9" s="396"/>
      <c r="M9" s="396"/>
      <c r="N9" s="390"/>
    </row>
    <row r="10" spans="1:14" ht="12" customHeight="1" x14ac:dyDescent="0.25">
      <c r="B10" s="391"/>
      <c r="C10" s="397" t="str">
        <f>'Pos. 1'!$AH$5</f>
        <v>Pos:</v>
      </c>
      <c r="D10" s="396"/>
      <c r="E10" s="398">
        <f>'Pos. 1'!$AJ$5</f>
        <v>0</v>
      </c>
      <c r="F10" s="396"/>
      <c r="G10" s="396"/>
      <c r="H10" s="396"/>
      <c r="I10" s="396"/>
      <c r="J10" s="396"/>
      <c r="K10" s="399" t="str">
        <f>'Sprachen &amp; Rückgabewerte'!$H$134</f>
        <v>Features</v>
      </c>
      <c r="L10" s="396"/>
      <c r="M10" s="396"/>
      <c r="N10" s="390"/>
    </row>
    <row r="11" spans="1:14" ht="12" customHeight="1" x14ac:dyDescent="0.25">
      <c r="B11" s="391"/>
      <c r="C11" s="397"/>
      <c r="D11" s="396"/>
      <c r="E11" s="396"/>
      <c r="F11" s="396"/>
      <c r="G11" s="396"/>
      <c r="H11" s="396"/>
      <c r="I11" s="396"/>
      <c r="J11" s="400" t="str">
        <f>IF(K11&lt;&gt;"","-","")</f>
        <v/>
      </c>
      <c r="K11" s="396" t="str">
        <f>IF('Sprachen &amp; Rückgabewerte'!$I$16=TRUE,'Sprachen &amp; Rückgabewerte'!$H$16,"")</f>
        <v/>
      </c>
      <c r="L11" s="396"/>
      <c r="M11" s="396"/>
      <c r="N11" s="390"/>
    </row>
    <row r="12" spans="1:14" ht="12" customHeight="1" x14ac:dyDescent="0.25">
      <c r="B12" s="391"/>
      <c r="C12" s="397" t="str">
        <f>'Pos. 1'!$AH$6</f>
        <v>Stück:</v>
      </c>
      <c r="D12" s="396"/>
      <c r="E12" s="401">
        <f>'Pos. 1'!$AJ$6</f>
        <v>0</v>
      </c>
      <c r="F12" s="396"/>
      <c r="G12" s="396"/>
      <c r="H12" s="396"/>
      <c r="I12" s="396"/>
      <c r="J12" s="400" t="str">
        <f t="shared" ref="J12:J22" si="0">IF(K12&lt;&gt;"","-","")</f>
        <v/>
      </c>
      <c r="K12" s="396" t="str">
        <f>IF('Sprachen &amp; Rückgabewerte'!$I$17=TRUE,'Sprachen &amp; Rückgabewerte'!$H$17,"")</f>
        <v/>
      </c>
      <c r="L12" s="396"/>
      <c r="M12" s="396"/>
      <c r="N12" s="390"/>
    </row>
    <row r="13" spans="1:14" ht="12" customHeight="1" x14ac:dyDescent="0.25">
      <c r="B13" s="391"/>
      <c r="C13" s="397"/>
      <c r="D13" s="396"/>
      <c r="E13" s="396"/>
      <c r="F13" s="396"/>
      <c r="G13" s="396"/>
      <c r="H13" s="396"/>
      <c r="I13" s="396"/>
      <c r="J13" s="400" t="str">
        <f t="shared" si="0"/>
        <v/>
      </c>
      <c r="K13" s="396" t="str">
        <f>IF('Sprachen &amp; Rückgabewerte'!$I$18=TRUE,'Sprachen &amp; Rückgabewerte'!$H$18,"")</f>
        <v/>
      </c>
      <c r="L13" s="396"/>
      <c r="M13" s="396"/>
      <c r="N13" s="390"/>
    </row>
    <row r="14" spans="1:14" ht="12" customHeight="1" x14ac:dyDescent="0.25">
      <c r="A14" s="396"/>
      <c r="B14" s="391"/>
      <c r="C14" s="397" t="str">
        <f>'Pos. 1'!$AX$14</f>
        <v>Bemerkungen:</v>
      </c>
      <c r="D14" s="396"/>
      <c r="E14" s="535" t="str">
        <f>'Pos. 1'!$AX$15</f>
        <v>-
-
-
-</v>
      </c>
      <c r="F14" s="535"/>
      <c r="G14" s="535"/>
      <c r="H14" s="535"/>
      <c r="I14" s="535"/>
      <c r="J14" s="400" t="str">
        <f t="shared" si="0"/>
        <v/>
      </c>
      <c r="K14" s="396" t="str">
        <f>IF('Sprachen &amp; Rückgabewerte'!$I$19=TRUE,'Sprachen &amp; Rückgabewerte'!$H$19,"")</f>
        <v/>
      </c>
      <c r="L14" s="396"/>
      <c r="M14" s="396"/>
      <c r="N14" s="390"/>
    </row>
    <row r="15" spans="1:14" ht="12" customHeight="1" x14ac:dyDescent="0.2">
      <c r="A15" s="396"/>
      <c r="B15" s="391"/>
      <c r="C15" s="396"/>
      <c r="D15" s="396"/>
      <c r="E15" s="535"/>
      <c r="F15" s="535"/>
      <c r="G15" s="535"/>
      <c r="H15" s="535"/>
      <c r="I15" s="535"/>
      <c r="J15" s="400" t="str">
        <f t="shared" si="0"/>
        <v/>
      </c>
      <c r="K15" s="396" t="str">
        <f>IF('Sprachen &amp; Rückgabewerte'!$I$20=TRUE,'Sprachen &amp; Rückgabewerte'!$H$20,"")</f>
        <v/>
      </c>
      <c r="L15" s="396"/>
      <c r="M15" s="402" t="str">
        <f>IF('Pos. 1'!$AM$38&gt;0,'Pos. 1'!$AM$38,"")</f>
        <v/>
      </c>
      <c r="N15" s="390"/>
    </row>
    <row r="16" spans="1:14" ht="12" customHeight="1" x14ac:dyDescent="0.2">
      <c r="A16" s="396"/>
      <c r="B16" s="391"/>
      <c r="C16" s="396"/>
      <c r="D16" s="396"/>
      <c r="E16" s="535"/>
      <c r="F16" s="535"/>
      <c r="G16" s="535"/>
      <c r="H16" s="535"/>
      <c r="I16" s="535"/>
      <c r="J16" s="400" t="str">
        <f t="shared" si="0"/>
        <v/>
      </c>
      <c r="K16" s="402" t="str">
        <f>IF('Sprachen &amp; Rückgabewerte'!$I$22=TRUE,'Pos. 1'!$AL$39,"")</f>
        <v/>
      </c>
      <c r="L16" s="396"/>
      <c r="M16" s="396"/>
      <c r="N16" s="390"/>
    </row>
    <row r="17" spans="1:16" ht="12" customHeight="1" x14ac:dyDescent="0.2">
      <c r="A17" s="396"/>
      <c r="B17" s="391"/>
      <c r="C17" s="396"/>
      <c r="D17" s="396"/>
      <c r="E17" s="535"/>
      <c r="F17" s="535"/>
      <c r="G17" s="535"/>
      <c r="H17" s="535"/>
      <c r="I17" s="535"/>
      <c r="J17" s="400" t="str">
        <f t="shared" si="0"/>
        <v/>
      </c>
      <c r="K17" s="396" t="str">
        <f>IF('Sprachen &amp; Rückgabewerte'!$I$25=TRUE,'Sprachen &amp; Rückgabewerte'!$H$25,"")</f>
        <v/>
      </c>
      <c r="L17" s="396"/>
      <c r="M17" s="396"/>
      <c r="N17" s="390"/>
    </row>
    <row r="18" spans="1:16" ht="12" customHeight="1" x14ac:dyDescent="0.2">
      <c r="A18" s="396"/>
      <c r="B18" s="391"/>
      <c r="C18" s="396"/>
      <c r="D18" s="396"/>
      <c r="E18" s="535"/>
      <c r="F18" s="535"/>
      <c r="G18" s="535"/>
      <c r="H18" s="535"/>
      <c r="I18" s="535"/>
      <c r="J18" s="400" t="str">
        <f t="shared" si="0"/>
        <v/>
      </c>
      <c r="K18" s="396" t="str">
        <f>IF('Sprachen &amp; Rückgabewerte'!$I$26=TRUE,'Sprachen &amp; Rückgabewerte'!$H$26,"")</f>
        <v/>
      </c>
      <c r="L18" s="396"/>
      <c r="M18" s="396"/>
      <c r="N18" s="390"/>
    </row>
    <row r="19" spans="1:16" ht="12" customHeight="1" x14ac:dyDescent="0.2">
      <c r="A19" s="396"/>
      <c r="B19" s="391"/>
      <c r="C19" s="396"/>
      <c r="D19" s="396"/>
      <c r="E19" s="535"/>
      <c r="F19" s="535"/>
      <c r="G19" s="535"/>
      <c r="H19" s="535"/>
      <c r="I19" s="535"/>
      <c r="J19" s="400" t="str">
        <f t="shared" si="0"/>
        <v/>
      </c>
      <c r="K19" s="396" t="str">
        <f>IF('Sprachen &amp; Rückgabewerte'!$I$27=TRUE,'Sprachen &amp; Rückgabewerte'!$H$27,"")</f>
        <v/>
      </c>
      <c r="L19" s="396"/>
      <c r="M19" s="396"/>
      <c r="N19" s="390"/>
    </row>
    <row r="20" spans="1:16" ht="12" customHeight="1" x14ac:dyDescent="0.2">
      <c r="A20" s="396"/>
      <c r="B20" s="391"/>
      <c r="C20" s="396"/>
      <c r="D20" s="396"/>
      <c r="E20" s="535"/>
      <c r="F20" s="535"/>
      <c r="G20" s="535"/>
      <c r="H20" s="535"/>
      <c r="I20" s="535"/>
      <c r="J20" s="400" t="str">
        <f t="shared" si="0"/>
        <v/>
      </c>
      <c r="K20" s="396" t="str">
        <f>IF('Sprachen &amp; Rückgabewerte'!$I$28=TRUE,'Sprachen &amp; Rückgabewerte'!$H$28,"")</f>
        <v/>
      </c>
      <c r="L20" s="396"/>
      <c r="M20" s="396"/>
      <c r="N20" s="390"/>
    </row>
    <row r="21" spans="1:16" ht="12" customHeight="1" x14ac:dyDescent="0.2">
      <c r="B21" s="391"/>
      <c r="C21" s="396"/>
      <c r="D21" s="396"/>
      <c r="E21" s="535"/>
      <c r="F21" s="535"/>
      <c r="G21" s="535"/>
      <c r="H21" s="535"/>
      <c r="I21" s="535"/>
      <c r="J21" s="400" t="str">
        <f t="shared" si="0"/>
        <v/>
      </c>
      <c r="K21" s="396" t="str">
        <f>IF('Sprachen &amp; Rückgabewerte'!$I$29=TRUE,'Sprachen &amp; Rückgabewerte'!$H$29,"")</f>
        <v/>
      </c>
      <c r="L21" s="396"/>
      <c r="M21" s="396"/>
      <c r="N21" s="390"/>
    </row>
    <row r="22" spans="1:16" ht="15" x14ac:dyDescent="0.25">
      <c r="B22" s="391"/>
      <c r="C22" s="403"/>
      <c r="E22" s="535"/>
      <c r="F22" s="535"/>
      <c r="G22" s="535"/>
      <c r="H22" s="535"/>
      <c r="I22" s="535"/>
      <c r="J22" s="400" t="str">
        <f t="shared" si="0"/>
        <v/>
      </c>
      <c r="K22" s="396" t="str">
        <f>IF('Sprachen &amp; Rückgabewerte'!$I$125=TRUE,'Sprachen &amp; Rückgabewerte'!$H$125,"")</f>
        <v/>
      </c>
      <c r="N22" s="390"/>
    </row>
    <row r="23" spans="1:16" ht="15" x14ac:dyDescent="0.25">
      <c r="B23" s="387"/>
      <c r="C23" s="388"/>
      <c r="D23" s="388"/>
      <c r="E23" s="388"/>
      <c r="F23" s="388"/>
      <c r="G23" s="388"/>
      <c r="H23" s="388"/>
      <c r="I23" s="388"/>
      <c r="J23" s="388"/>
      <c r="K23" s="388"/>
      <c r="L23" s="388"/>
      <c r="M23" s="388"/>
      <c r="N23" s="389"/>
      <c r="P23" s="404"/>
    </row>
    <row r="24" spans="1:16" ht="15" customHeight="1" x14ac:dyDescent="0.25">
      <c r="B24" s="384"/>
      <c r="C24" s="393" t="s">
        <v>884</v>
      </c>
      <c r="D24" s="385"/>
      <c r="E24" s="394" t="str">
        <f>'Pos. 2'!$AX$19</f>
        <v>Bestellformular unvollständig!</v>
      </c>
      <c r="F24" s="385"/>
      <c r="G24" s="385"/>
      <c r="H24" s="385"/>
      <c r="I24" s="385"/>
      <c r="J24" s="385"/>
      <c r="K24" s="385"/>
      <c r="L24" s="385"/>
      <c r="M24" s="385"/>
      <c r="N24" s="395" t="str">
        <f>'Pos. 2'!$BB$2</f>
        <v>0m²</v>
      </c>
    </row>
    <row r="25" spans="1:16" ht="12" customHeight="1" x14ac:dyDescent="0.2">
      <c r="B25" s="391"/>
      <c r="C25" s="396"/>
      <c r="D25" s="396"/>
      <c r="E25" s="396"/>
      <c r="F25" s="396"/>
      <c r="G25" s="396"/>
      <c r="H25" s="396"/>
      <c r="I25" s="396"/>
      <c r="J25" s="396"/>
      <c r="K25" s="396"/>
      <c r="L25" s="396"/>
      <c r="M25" s="396"/>
      <c r="N25" s="390"/>
    </row>
    <row r="26" spans="1:16" ht="12" customHeight="1" x14ac:dyDescent="0.25">
      <c r="B26" s="391"/>
      <c r="C26" s="397" t="str">
        <f>'Pos. 1'!$AH$5</f>
        <v>Pos:</v>
      </c>
      <c r="D26" s="396"/>
      <c r="E26" s="398">
        <f>'Pos. 2'!$AJ$5</f>
        <v>0</v>
      </c>
      <c r="F26" s="396"/>
      <c r="G26" s="396"/>
      <c r="H26" s="396"/>
      <c r="I26" s="396"/>
      <c r="J26" s="396"/>
      <c r="K26" s="399" t="str">
        <f>'Sprachen &amp; Rückgabewerte'!$H$134</f>
        <v>Features</v>
      </c>
      <c r="L26" s="396"/>
      <c r="M26" s="396"/>
      <c r="N26" s="390"/>
    </row>
    <row r="27" spans="1:16" ht="12" customHeight="1" x14ac:dyDescent="0.25">
      <c r="B27" s="391"/>
      <c r="C27" s="397"/>
      <c r="D27" s="396"/>
      <c r="E27" s="396"/>
      <c r="F27" s="396"/>
      <c r="G27" s="396"/>
      <c r="H27" s="396"/>
      <c r="I27" s="396"/>
      <c r="J27" s="400" t="str">
        <f>IF(K27&lt;&gt;"","-","")</f>
        <v/>
      </c>
      <c r="K27" s="396" t="str">
        <f>IF('Sprachen &amp; Rückgabewerte(2)'!$I$16=TRUE,'Sprachen &amp; Rückgabewerte(2)'!$H$16,"")</f>
        <v/>
      </c>
      <c r="L27" s="396"/>
      <c r="M27" s="396"/>
      <c r="N27" s="390"/>
    </row>
    <row r="28" spans="1:16" ht="12" customHeight="1" x14ac:dyDescent="0.25">
      <c r="A28" s="396"/>
      <c r="B28" s="391"/>
      <c r="C28" s="397" t="str">
        <f>'Pos. 2'!$AH$6</f>
        <v>Stück:</v>
      </c>
      <c r="D28" s="396"/>
      <c r="E28" s="401">
        <f>'Pos. 2'!$AJ$6</f>
        <v>0</v>
      </c>
      <c r="F28" s="396"/>
      <c r="G28" s="396"/>
      <c r="H28" s="396"/>
      <c r="I28" s="396"/>
      <c r="J28" s="400" t="str">
        <f t="shared" ref="J28:J38" si="1">IF(K28&lt;&gt;"","-","")</f>
        <v/>
      </c>
      <c r="K28" s="396" t="str">
        <f>IF('Sprachen &amp; Rückgabewerte(2)'!$I$17=TRUE,'Sprachen &amp; Rückgabewerte(2)'!$H$17,"")</f>
        <v/>
      </c>
      <c r="L28" s="396"/>
      <c r="M28" s="396"/>
      <c r="N28" s="390"/>
    </row>
    <row r="29" spans="1:16" ht="12" customHeight="1" x14ac:dyDescent="0.25">
      <c r="A29" s="396"/>
      <c r="B29" s="391"/>
      <c r="C29" s="397"/>
      <c r="D29" s="396"/>
      <c r="E29" s="396"/>
      <c r="F29" s="396"/>
      <c r="G29" s="396"/>
      <c r="H29" s="396"/>
      <c r="I29" s="396"/>
      <c r="J29" s="400" t="str">
        <f t="shared" si="1"/>
        <v/>
      </c>
      <c r="K29" s="396" t="str">
        <f>IF('Sprachen &amp; Rückgabewerte(2)'!$I$18=TRUE,'Sprachen &amp; Rückgabewerte(2)'!$H$18,"")</f>
        <v/>
      </c>
      <c r="L29" s="396"/>
      <c r="M29" s="396"/>
      <c r="N29" s="390"/>
    </row>
    <row r="30" spans="1:16" ht="12" customHeight="1" x14ac:dyDescent="0.25">
      <c r="A30" s="396"/>
      <c r="B30" s="391"/>
      <c r="C30" s="397" t="str">
        <f>'Pos. 2'!$AX$14</f>
        <v>Bemerkungen:</v>
      </c>
      <c r="D30" s="396"/>
      <c r="E30" s="535" t="str">
        <f>'Pos. 2'!$AX$15</f>
        <v>-
-
-
-</v>
      </c>
      <c r="F30" s="535"/>
      <c r="G30" s="535"/>
      <c r="H30" s="535"/>
      <c r="I30" s="535"/>
      <c r="J30" s="400" t="str">
        <f t="shared" si="1"/>
        <v/>
      </c>
      <c r="K30" s="396" t="str">
        <f>IF('Sprachen &amp; Rückgabewerte(2)'!$I$19=TRUE,'Sprachen &amp; Rückgabewerte(2)'!$H$19,"")</f>
        <v/>
      </c>
      <c r="L30" s="396"/>
      <c r="M30" s="396"/>
      <c r="N30" s="390"/>
    </row>
    <row r="31" spans="1:16" ht="12" customHeight="1" x14ac:dyDescent="0.2">
      <c r="A31" s="396"/>
      <c r="B31" s="391"/>
      <c r="C31" s="396"/>
      <c r="D31" s="396"/>
      <c r="E31" s="535"/>
      <c r="F31" s="535"/>
      <c r="G31" s="535"/>
      <c r="H31" s="535"/>
      <c r="I31" s="535"/>
      <c r="J31" s="400" t="str">
        <f t="shared" si="1"/>
        <v/>
      </c>
      <c r="K31" s="396" t="str">
        <f>IF('Sprachen &amp; Rückgabewerte(2)'!$I$20=TRUE,'Sprachen &amp; Rückgabewerte(2)'!$H$20,"")</f>
        <v/>
      </c>
      <c r="L31" s="396"/>
      <c r="M31" s="402" t="str">
        <f>IF('Pos. 2'!$AM$38&gt;0,'Pos. 2'!$AM$38,"")</f>
        <v/>
      </c>
      <c r="N31" s="390"/>
    </row>
    <row r="32" spans="1:16" ht="12" customHeight="1" x14ac:dyDescent="0.2">
      <c r="A32" s="396"/>
      <c r="B32" s="391"/>
      <c r="C32" s="396"/>
      <c r="D32" s="396"/>
      <c r="E32" s="535"/>
      <c r="F32" s="535"/>
      <c r="G32" s="535"/>
      <c r="H32" s="535"/>
      <c r="I32" s="535"/>
      <c r="J32" s="400" t="str">
        <f t="shared" si="1"/>
        <v/>
      </c>
      <c r="K32" s="402" t="str">
        <f>IF('Sprachen &amp; Rückgabewerte(2)'!$I$22=TRUE,'Pos. 2'!$AL$39,"")</f>
        <v/>
      </c>
      <c r="L32" s="396"/>
      <c r="M32" s="396"/>
      <c r="N32" s="390"/>
    </row>
    <row r="33" spans="1:14" ht="12" customHeight="1" x14ac:dyDescent="0.2">
      <c r="A33" s="396"/>
      <c r="B33" s="391"/>
      <c r="C33" s="396"/>
      <c r="D33" s="396"/>
      <c r="E33" s="535"/>
      <c r="F33" s="535"/>
      <c r="G33" s="535"/>
      <c r="H33" s="535"/>
      <c r="I33" s="535"/>
      <c r="J33" s="400" t="str">
        <f t="shared" si="1"/>
        <v/>
      </c>
      <c r="K33" s="396" t="str">
        <f>IF('Sprachen &amp; Rückgabewerte(2)'!$I$25=TRUE,'Sprachen &amp; Rückgabewerte(2)'!$H$25,"")</f>
        <v/>
      </c>
      <c r="L33" s="396"/>
      <c r="M33" s="396"/>
      <c r="N33" s="390"/>
    </row>
    <row r="34" spans="1:14" ht="12" customHeight="1" x14ac:dyDescent="0.2">
      <c r="A34" s="396"/>
      <c r="B34" s="391"/>
      <c r="C34" s="396"/>
      <c r="D34" s="396"/>
      <c r="E34" s="535"/>
      <c r="F34" s="535"/>
      <c r="G34" s="535"/>
      <c r="H34" s="535"/>
      <c r="I34" s="535"/>
      <c r="J34" s="400" t="str">
        <f t="shared" si="1"/>
        <v/>
      </c>
      <c r="K34" s="396" t="str">
        <f>IF('Sprachen &amp; Rückgabewerte(2)'!$I$26=TRUE,'Sprachen &amp; Rückgabewerte(2)'!$H$26,"")</f>
        <v/>
      </c>
      <c r="L34" s="396"/>
      <c r="M34" s="396"/>
      <c r="N34" s="390"/>
    </row>
    <row r="35" spans="1:14" ht="12" customHeight="1" x14ac:dyDescent="0.2">
      <c r="B35" s="391"/>
      <c r="C35" s="396"/>
      <c r="D35" s="396"/>
      <c r="E35" s="535"/>
      <c r="F35" s="535"/>
      <c r="G35" s="535"/>
      <c r="H35" s="535"/>
      <c r="I35" s="535"/>
      <c r="J35" s="400" t="str">
        <f t="shared" si="1"/>
        <v/>
      </c>
      <c r="K35" s="396" t="str">
        <f>IF('Sprachen &amp; Rückgabewerte(2)'!$I$27=TRUE,'Sprachen &amp; Rückgabewerte(2)'!$H$27,"")</f>
        <v/>
      </c>
      <c r="L35" s="396"/>
      <c r="M35" s="396"/>
      <c r="N35" s="390"/>
    </row>
    <row r="36" spans="1:14" ht="12" customHeight="1" x14ac:dyDescent="0.2">
      <c r="B36" s="391"/>
      <c r="C36" s="396"/>
      <c r="D36" s="396"/>
      <c r="E36" s="535"/>
      <c r="F36" s="535"/>
      <c r="G36" s="535"/>
      <c r="H36" s="535"/>
      <c r="I36" s="535"/>
      <c r="J36" s="400" t="str">
        <f t="shared" si="1"/>
        <v/>
      </c>
      <c r="K36" s="396" t="str">
        <f>IF('Sprachen &amp; Rückgabewerte(2)'!$I$28=TRUE,'Sprachen &amp; Rückgabewerte(2)'!$H$28,"")</f>
        <v/>
      </c>
      <c r="L36" s="396"/>
      <c r="M36" s="396"/>
      <c r="N36" s="390"/>
    </row>
    <row r="37" spans="1:14" ht="12" customHeight="1" x14ac:dyDescent="0.2">
      <c r="B37" s="391"/>
      <c r="C37" s="396"/>
      <c r="D37" s="396"/>
      <c r="E37" s="535"/>
      <c r="F37" s="535"/>
      <c r="G37" s="535"/>
      <c r="H37" s="535"/>
      <c r="I37" s="535"/>
      <c r="J37" s="400" t="str">
        <f t="shared" si="1"/>
        <v/>
      </c>
      <c r="K37" s="396" t="str">
        <f>IF('Sprachen &amp; Rückgabewerte(2)'!$I$29=TRUE,'Sprachen &amp; Rückgabewerte(2)'!$H$29,"")</f>
        <v/>
      </c>
      <c r="L37" s="396"/>
      <c r="M37" s="396"/>
      <c r="N37" s="390"/>
    </row>
    <row r="38" spans="1:14" ht="12" customHeight="1" x14ac:dyDescent="0.25">
      <c r="B38" s="391"/>
      <c r="C38" s="403"/>
      <c r="E38" s="535"/>
      <c r="F38" s="535"/>
      <c r="G38" s="535"/>
      <c r="H38" s="535"/>
      <c r="I38" s="535"/>
      <c r="J38" s="400" t="str">
        <f t="shared" si="1"/>
        <v/>
      </c>
      <c r="K38" s="396" t="str">
        <f>IF('Sprachen &amp; Rückgabewerte(2)'!$I$125=TRUE,'Sprachen &amp; Rückgabewerte(2)'!$H$125,"")</f>
        <v/>
      </c>
      <c r="N38" s="390"/>
    </row>
    <row r="39" spans="1:14" ht="12" customHeight="1" x14ac:dyDescent="0.2">
      <c r="B39" s="387"/>
      <c r="C39" s="388"/>
      <c r="D39" s="388"/>
      <c r="E39" s="388"/>
      <c r="F39" s="388"/>
      <c r="G39" s="388"/>
      <c r="H39" s="388"/>
      <c r="I39" s="388"/>
      <c r="J39" s="388"/>
      <c r="K39" s="388"/>
      <c r="L39" s="388"/>
      <c r="M39" s="388"/>
      <c r="N39" s="389"/>
    </row>
    <row r="40" spans="1:14" ht="15" customHeight="1" x14ac:dyDescent="0.25">
      <c r="B40" s="384"/>
      <c r="C40" s="393" t="s">
        <v>885</v>
      </c>
      <c r="D40" s="385"/>
      <c r="E40" s="394" t="str">
        <f>'Pos. 3'!$AX$19</f>
        <v>Bestellformular unvollständig!</v>
      </c>
      <c r="F40" s="385"/>
      <c r="G40" s="385"/>
      <c r="H40" s="385"/>
      <c r="I40" s="385"/>
      <c r="J40" s="385"/>
      <c r="K40" s="385"/>
      <c r="L40" s="385"/>
      <c r="M40" s="385"/>
      <c r="N40" s="395" t="str">
        <f>'Pos. 3'!$BB$2</f>
        <v>0m²</v>
      </c>
    </row>
    <row r="41" spans="1:14" ht="12" customHeight="1" x14ac:dyDescent="0.2">
      <c r="B41" s="391"/>
      <c r="C41" s="396"/>
      <c r="D41" s="396"/>
      <c r="E41" s="396"/>
      <c r="F41" s="396"/>
      <c r="G41" s="396"/>
      <c r="H41" s="396"/>
      <c r="I41" s="396"/>
      <c r="J41" s="396"/>
      <c r="K41" s="396"/>
      <c r="L41" s="396"/>
      <c r="M41" s="396"/>
      <c r="N41" s="390"/>
    </row>
    <row r="42" spans="1:14" ht="12" customHeight="1" x14ac:dyDescent="0.25">
      <c r="B42" s="391"/>
      <c r="C42" s="397" t="str">
        <f>'Pos. 3'!$AH$5</f>
        <v>Pos:</v>
      </c>
      <c r="D42" s="396"/>
      <c r="E42" s="398">
        <f>'Pos. 3'!$AJ$5</f>
        <v>0</v>
      </c>
      <c r="F42" s="396"/>
      <c r="G42" s="396"/>
      <c r="H42" s="396"/>
      <c r="I42" s="396"/>
      <c r="J42" s="396"/>
      <c r="K42" s="399" t="str">
        <f>'Sprachen &amp; Rückgabewerte(3)'!$H$134</f>
        <v>Features</v>
      </c>
      <c r="L42" s="396"/>
      <c r="M42" s="396"/>
      <c r="N42" s="390"/>
    </row>
    <row r="43" spans="1:14" ht="12" customHeight="1" x14ac:dyDescent="0.25">
      <c r="B43" s="391"/>
      <c r="C43" s="397"/>
      <c r="D43" s="396"/>
      <c r="E43" s="396"/>
      <c r="F43" s="396"/>
      <c r="G43" s="396"/>
      <c r="H43" s="396"/>
      <c r="I43" s="396"/>
      <c r="J43" s="400" t="str">
        <f>IF(K43&lt;&gt;"","-","")</f>
        <v/>
      </c>
      <c r="K43" s="396" t="str">
        <f>IF('Sprachen &amp; Rückgabewerte(3)'!$I$16=TRUE,'Sprachen &amp; Rückgabewerte(3)'!$H$16,"")</f>
        <v/>
      </c>
      <c r="L43" s="396"/>
      <c r="M43" s="396"/>
      <c r="N43" s="390"/>
    </row>
    <row r="44" spans="1:14" ht="12" customHeight="1" x14ac:dyDescent="0.25">
      <c r="B44" s="391"/>
      <c r="C44" s="397" t="str">
        <f>'Pos. 3'!$AH$6</f>
        <v>Stück:</v>
      </c>
      <c r="D44" s="396"/>
      <c r="E44" s="401">
        <f>'Pos. 3'!$AJ$6</f>
        <v>0</v>
      </c>
      <c r="F44" s="396"/>
      <c r="G44" s="396"/>
      <c r="H44" s="396"/>
      <c r="I44" s="396"/>
      <c r="J44" s="400" t="str">
        <f t="shared" ref="J44:J54" si="2">IF(K44&lt;&gt;"","-","")</f>
        <v/>
      </c>
      <c r="K44" s="396" t="str">
        <f>IF('Sprachen &amp; Rückgabewerte(3)'!$I$17=TRUE,'Sprachen &amp; Rückgabewerte(3)'!$H$17,"")</f>
        <v/>
      </c>
      <c r="L44" s="396"/>
      <c r="M44" s="396"/>
      <c r="N44" s="390"/>
    </row>
    <row r="45" spans="1:14" ht="12" customHeight="1" x14ac:dyDescent="0.25">
      <c r="B45" s="391"/>
      <c r="C45" s="397"/>
      <c r="D45" s="396"/>
      <c r="E45" s="396"/>
      <c r="F45" s="396"/>
      <c r="G45" s="396"/>
      <c r="H45" s="396"/>
      <c r="I45" s="396"/>
      <c r="J45" s="400" t="str">
        <f t="shared" si="2"/>
        <v/>
      </c>
      <c r="K45" s="396" t="str">
        <f>IF('Sprachen &amp; Rückgabewerte(3)'!$I$18=TRUE,'Sprachen &amp; Rückgabewerte(3)'!$H$18,"")</f>
        <v/>
      </c>
      <c r="L45" s="396"/>
      <c r="M45" s="396"/>
      <c r="N45" s="390"/>
    </row>
    <row r="46" spans="1:14" ht="12" customHeight="1" x14ac:dyDescent="0.25">
      <c r="B46" s="391"/>
      <c r="C46" s="397" t="str">
        <f>'Pos. 3'!$AX$14</f>
        <v>Bemerkungen:</v>
      </c>
      <c r="D46" s="396"/>
      <c r="E46" s="535" t="str">
        <f>'Pos. 3'!$AX$15</f>
        <v>-
-
-
-</v>
      </c>
      <c r="F46" s="535"/>
      <c r="G46" s="535"/>
      <c r="H46" s="535"/>
      <c r="I46" s="535"/>
      <c r="J46" s="400" t="str">
        <f t="shared" si="2"/>
        <v/>
      </c>
      <c r="K46" s="396" t="str">
        <f>IF('Sprachen &amp; Rückgabewerte(3)'!$I$19=TRUE,'Sprachen &amp; Rückgabewerte(3)'!$H$19,"")</f>
        <v/>
      </c>
      <c r="L46" s="396"/>
      <c r="M46" s="396"/>
      <c r="N46" s="390"/>
    </row>
    <row r="47" spans="1:14" ht="12" customHeight="1" x14ac:dyDescent="0.2">
      <c r="B47" s="391"/>
      <c r="C47" s="396"/>
      <c r="D47" s="396"/>
      <c r="E47" s="535"/>
      <c r="F47" s="535"/>
      <c r="G47" s="535"/>
      <c r="H47" s="535"/>
      <c r="I47" s="535"/>
      <c r="J47" s="400" t="str">
        <f t="shared" si="2"/>
        <v/>
      </c>
      <c r="K47" s="396" t="str">
        <f>IF('Sprachen &amp; Rückgabewerte(3)'!$I$20=TRUE,'Sprachen &amp; Rückgabewerte(3)'!$H$20,"")</f>
        <v/>
      </c>
      <c r="L47" s="396"/>
      <c r="M47" s="402" t="str">
        <f>IF('Pos. 3'!$AM$38&gt;0,'Pos. 3'!$AM$38,"")</f>
        <v/>
      </c>
      <c r="N47" s="390"/>
    </row>
    <row r="48" spans="1:14" ht="12" customHeight="1" x14ac:dyDescent="0.2">
      <c r="B48" s="391"/>
      <c r="C48" s="396"/>
      <c r="D48" s="396"/>
      <c r="E48" s="535"/>
      <c r="F48" s="535"/>
      <c r="G48" s="535"/>
      <c r="H48" s="535"/>
      <c r="I48" s="535"/>
      <c r="J48" s="400" t="str">
        <f t="shared" si="2"/>
        <v/>
      </c>
      <c r="K48" s="402" t="str">
        <f>IF('Sprachen &amp; Rückgabewerte(3)'!$I$22=TRUE,'Pos. 3'!$AL$39,"")</f>
        <v/>
      </c>
      <c r="L48" s="396"/>
      <c r="M48" s="396"/>
      <c r="N48" s="390"/>
    </row>
    <row r="49" spans="2:14" ht="12" customHeight="1" x14ac:dyDescent="0.2">
      <c r="B49" s="391"/>
      <c r="C49" s="396"/>
      <c r="D49" s="396"/>
      <c r="E49" s="535"/>
      <c r="F49" s="535"/>
      <c r="G49" s="535"/>
      <c r="H49" s="535"/>
      <c r="I49" s="535"/>
      <c r="J49" s="400" t="str">
        <f t="shared" si="2"/>
        <v/>
      </c>
      <c r="K49" s="396" t="str">
        <f>IF('Sprachen &amp; Rückgabewerte(3)'!$I$25=TRUE,'Sprachen &amp; Rückgabewerte(3)'!$H$25,"")</f>
        <v/>
      </c>
      <c r="L49" s="396"/>
      <c r="M49" s="396"/>
      <c r="N49" s="390"/>
    </row>
    <row r="50" spans="2:14" ht="12" customHeight="1" x14ac:dyDescent="0.2">
      <c r="B50" s="391"/>
      <c r="C50" s="396"/>
      <c r="D50" s="396"/>
      <c r="E50" s="535"/>
      <c r="F50" s="535"/>
      <c r="G50" s="535"/>
      <c r="H50" s="535"/>
      <c r="I50" s="535"/>
      <c r="J50" s="400" t="str">
        <f t="shared" si="2"/>
        <v/>
      </c>
      <c r="K50" s="396" t="str">
        <f>IF('Sprachen &amp; Rückgabewerte(3)'!$I$26=TRUE,'Sprachen &amp; Rückgabewerte(3)'!$H$26,"")</f>
        <v/>
      </c>
      <c r="L50" s="396"/>
      <c r="M50" s="396"/>
      <c r="N50" s="390"/>
    </row>
    <row r="51" spans="2:14" ht="12" customHeight="1" x14ac:dyDescent="0.2">
      <c r="B51" s="391"/>
      <c r="C51" s="396"/>
      <c r="D51" s="396"/>
      <c r="E51" s="535"/>
      <c r="F51" s="535"/>
      <c r="G51" s="535"/>
      <c r="H51" s="535"/>
      <c r="I51" s="535"/>
      <c r="J51" s="400" t="str">
        <f t="shared" si="2"/>
        <v/>
      </c>
      <c r="K51" s="396" t="str">
        <f>IF('Sprachen &amp; Rückgabewerte(3)'!$I$27=TRUE,'Sprachen &amp; Rückgabewerte(3)'!$H$27,"")</f>
        <v/>
      </c>
      <c r="L51" s="396"/>
      <c r="M51" s="396"/>
      <c r="N51" s="390"/>
    </row>
    <row r="52" spans="2:14" ht="12" customHeight="1" x14ac:dyDescent="0.2">
      <c r="B52" s="391"/>
      <c r="C52" s="396"/>
      <c r="D52" s="396"/>
      <c r="E52" s="535"/>
      <c r="F52" s="535"/>
      <c r="G52" s="535"/>
      <c r="H52" s="535"/>
      <c r="I52" s="535"/>
      <c r="J52" s="400" t="str">
        <f t="shared" si="2"/>
        <v/>
      </c>
      <c r="K52" s="396" t="str">
        <f>IF('Sprachen &amp; Rückgabewerte(3)'!$I$28=TRUE,'Sprachen &amp; Rückgabewerte(3)'!$H$28,"")</f>
        <v/>
      </c>
      <c r="L52" s="396"/>
      <c r="M52" s="396"/>
      <c r="N52" s="390"/>
    </row>
    <row r="53" spans="2:14" ht="12" customHeight="1" x14ac:dyDescent="0.2">
      <c r="B53" s="391"/>
      <c r="C53" s="396"/>
      <c r="D53" s="396"/>
      <c r="E53" s="535"/>
      <c r="F53" s="535"/>
      <c r="G53" s="535"/>
      <c r="H53" s="535"/>
      <c r="I53" s="535"/>
      <c r="J53" s="400" t="str">
        <f t="shared" si="2"/>
        <v/>
      </c>
      <c r="K53" s="396" t="str">
        <f>IF('Sprachen &amp; Rückgabewerte(3)'!$I$29=TRUE,'Sprachen &amp; Rückgabewerte(3)'!$H$29,"")</f>
        <v/>
      </c>
      <c r="L53" s="396"/>
      <c r="M53" s="396"/>
      <c r="N53" s="390"/>
    </row>
    <row r="54" spans="2:14" ht="12" customHeight="1" x14ac:dyDescent="0.25">
      <c r="B54" s="391"/>
      <c r="C54" s="403"/>
      <c r="E54" s="535"/>
      <c r="F54" s="535"/>
      <c r="G54" s="535"/>
      <c r="H54" s="535"/>
      <c r="I54" s="535"/>
      <c r="J54" s="400" t="str">
        <f t="shared" si="2"/>
        <v/>
      </c>
      <c r="K54" s="396" t="str">
        <f>IF('Sprachen &amp; Rückgabewerte(3)'!$I$125=TRUE,'Sprachen &amp; Rückgabewerte(3)'!$H$125,"")</f>
        <v/>
      </c>
      <c r="N54" s="390"/>
    </row>
    <row r="55" spans="2:14" ht="12" customHeight="1" x14ac:dyDescent="0.2">
      <c r="B55" s="387"/>
      <c r="C55" s="388"/>
      <c r="D55" s="388"/>
      <c r="E55" s="388"/>
      <c r="F55" s="388"/>
      <c r="G55" s="388"/>
      <c r="H55" s="388"/>
      <c r="I55" s="388"/>
      <c r="J55" s="388"/>
      <c r="K55" s="388"/>
      <c r="L55" s="388"/>
      <c r="M55" s="388"/>
      <c r="N55" s="389"/>
    </row>
    <row r="56" spans="2:14" ht="15" customHeight="1" x14ac:dyDescent="0.25">
      <c r="B56" s="384"/>
      <c r="C56" s="393" t="s">
        <v>886</v>
      </c>
      <c r="D56" s="385"/>
      <c r="E56" s="394" t="str">
        <f>'Pos. 4'!$AX$19</f>
        <v>Bestellformular unvollständig!</v>
      </c>
      <c r="F56" s="385"/>
      <c r="G56" s="385"/>
      <c r="H56" s="385"/>
      <c r="I56" s="385"/>
      <c r="J56" s="385"/>
      <c r="K56" s="385"/>
      <c r="L56" s="385"/>
      <c r="M56" s="385"/>
      <c r="N56" s="395" t="str">
        <f>'Pos. 4'!$BB$2</f>
        <v>0m²</v>
      </c>
    </row>
    <row r="57" spans="2:14" ht="12" customHeight="1" x14ac:dyDescent="0.2">
      <c r="B57" s="391"/>
      <c r="C57" s="396"/>
      <c r="D57" s="396"/>
      <c r="E57" s="396"/>
      <c r="F57" s="396"/>
      <c r="G57" s="396"/>
      <c r="H57" s="396"/>
      <c r="I57" s="396"/>
      <c r="J57" s="396"/>
      <c r="K57" s="396"/>
      <c r="L57" s="396"/>
      <c r="M57" s="396"/>
      <c r="N57" s="390"/>
    </row>
    <row r="58" spans="2:14" ht="12" customHeight="1" x14ac:dyDescent="0.25">
      <c r="B58" s="391"/>
      <c r="C58" s="397" t="str">
        <f>'Pos. 4'!$AH$5</f>
        <v>Pos:</v>
      </c>
      <c r="D58" s="396"/>
      <c r="E58" s="398">
        <f>'Pos. 4'!$AJ$5</f>
        <v>0</v>
      </c>
      <c r="F58" s="396"/>
      <c r="G58" s="396"/>
      <c r="H58" s="396"/>
      <c r="I58" s="396"/>
      <c r="J58" s="396"/>
      <c r="K58" s="399" t="str">
        <f>'Sprachen &amp; Rückgabewerte(4)'!$H$134</f>
        <v>Features</v>
      </c>
      <c r="L58" s="396"/>
      <c r="M58" s="396"/>
      <c r="N58" s="390"/>
    </row>
    <row r="59" spans="2:14" ht="12" customHeight="1" x14ac:dyDescent="0.25">
      <c r="B59" s="391"/>
      <c r="C59" s="397"/>
      <c r="D59" s="396"/>
      <c r="E59" s="396"/>
      <c r="F59" s="396"/>
      <c r="G59" s="396"/>
      <c r="H59" s="396"/>
      <c r="I59" s="396"/>
      <c r="J59" s="400" t="str">
        <f>IF(K59&lt;&gt;"","-","")</f>
        <v/>
      </c>
      <c r="K59" s="396" t="str">
        <f>IF('Sprachen &amp; Rückgabewerte(4)'!$I$16=TRUE,'Sprachen &amp; Rückgabewerte(4)'!$H$16,"")</f>
        <v/>
      </c>
      <c r="L59" s="396"/>
      <c r="M59" s="396"/>
      <c r="N59" s="390"/>
    </row>
    <row r="60" spans="2:14" ht="12" customHeight="1" x14ac:dyDescent="0.25">
      <c r="B60" s="391"/>
      <c r="C60" s="397" t="str">
        <f>'Pos. 4'!$AH$6</f>
        <v>Stück:</v>
      </c>
      <c r="D60" s="396"/>
      <c r="E60" s="401">
        <f>'Pos. 4'!$AJ$6</f>
        <v>0</v>
      </c>
      <c r="F60" s="396"/>
      <c r="G60" s="396"/>
      <c r="H60" s="396"/>
      <c r="I60" s="396"/>
      <c r="J60" s="400" t="str">
        <f t="shared" ref="J60:J70" si="3">IF(K60&lt;&gt;"","-","")</f>
        <v/>
      </c>
      <c r="K60" s="396" t="str">
        <f>IF('Sprachen &amp; Rückgabewerte(4)'!$I$17=TRUE,'Sprachen &amp; Rückgabewerte(4)'!$H$17,"")</f>
        <v/>
      </c>
      <c r="L60" s="396"/>
      <c r="M60" s="396"/>
      <c r="N60" s="390"/>
    </row>
    <row r="61" spans="2:14" ht="12" customHeight="1" x14ac:dyDescent="0.25">
      <c r="B61" s="391"/>
      <c r="C61" s="397"/>
      <c r="D61" s="396"/>
      <c r="E61" s="396"/>
      <c r="F61" s="396"/>
      <c r="G61" s="396"/>
      <c r="H61" s="396"/>
      <c r="I61" s="396"/>
      <c r="J61" s="400" t="str">
        <f t="shared" si="3"/>
        <v/>
      </c>
      <c r="K61" s="396" t="str">
        <f>IF('Sprachen &amp; Rückgabewerte(4)'!$I$18=TRUE,'Sprachen &amp; Rückgabewerte(4)'!$H$18,"")</f>
        <v/>
      </c>
      <c r="L61" s="396"/>
      <c r="M61" s="396"/>
      <c r="N61" s="390"/>
    </row>
    <row r="62" spans="2:14" ht="12" customHeight="1" x14ac:dyDescent="0.25">
      <c r="B62" s="391"/>
      <c r="C62" s="397" t="str">
        <f>'Pos. 4'!$AX$14</f>
        <v>Bemerkungen:</v>
      </c>
      <c r="D62" s="396"/>
      <c r="E62" s="535" t="str">
        <f>'Pos. 4'!$AX$15</f>
        <v>-
-
-
-</v>
      </c>
      <c r="F62" s="535"/>
      <c r="G62" s="535"/>
      <c r="H62" s="535"/>
      <c r="I62" s="535"/>
      <c r="J62" s="400" t="str">
        <f t="shared" si="3"/>
        <v/>
      </c>
      <c r="K62" s="396" t="str">
        <f>IF('Sprachen &amp; Rückgabewerte(4)'!$I$19=TRUE,'Sprachen &amp; Rückgabewerte(4)'!$H$19,"")</f>
        <v/>
      </c>
      <c r="L62" s="396"/>
      <c r="M62" s="396"/>
      <c r="N62" s="390"/>
    </row>
    <row r="63" spans="2:14" ht="12" customHeight="1" x14ac:dyDescent="0.2">
      <c r="B63" s="391"/>
      <c r="C63" s="396"/>
      <c r="D63" s="396"/>
      <c r="E63" s="535"/>
      <c r="F63" s="535"/>
      <c r="G63" s="535"/>
      <c r="H63" s="535"/>
      <c r="I63" s="535"/>
      <c r="J63" s="400" t="str">
        <f t="shared" si="3"/>
        <v/>
      </c>
      <c r="K63" s="396" t="str">
        <f>IF('Sprachen &amp; Rückgabewerte(4)'!$I$20=TRUE,'Sprachen &amp; Rückgabewerte(4)'!$H$20,"")</f>
        <v/>
      </c>
      <c r="L63" s="396"/>
      <c r="M63" s="402" t="str">
        <f>IF('Pos. 4'!$AM$38&gt;0,'Pos. 4'!$AM$38,"")</f>
        <v/>
      </c>
      <c r="N63" s="390"/>
    </row>
    <row r="64" spans="2:14" ht="12" customHeight="1" x14ac:dyDescent="0.2">
      <c r="B64" s="391"/>
      <c r="C64" s="396"/>
      <c r="D64" s="396"/>
      <c r="E64" s="535"/>
      <c r="F64" s="535"/>
      <c r="G64" s="535"/>
      <c r="H64" s="535"/>
      <c r="I64" s="535"/>
      <c r="J64" s="400" t="str">
        <f t="shared" si="3"/>
        <v/>
      </c>
      <c r="K64" s="402" t="str">
        <f>IF('Sprachen &amp; Rückgabewerte(4)'!$I$22=TRUE,'Pos. 4'!$AL$39,"")</f>
        <v/>
      </c>
      <c r="L64" s="396"/>
      <c r="M64" s="396"/>
      <c r="N64" s="390"/>
    </row>
    <row r="65" spans="2:14" ht="12" customHeight="1" x14ac:dyDescent="0.2">
      <c r="B65" s="391"/>
      <c r="C65" s="396"/>
      <c r="D65" s="396"/>
      <c r="E65" s="535"/>
      <c r="F65" s="535"/>
      <c r="G65" s="535"/>
      <c r="H65" s="535"/>
      <c r="I65" s="535"/>
      <c r="J65" s="400" t="str">
        <f t="shared" si="3"/>
        <v/>
      </c>
      <c r="K65" s="396" t="str">
        <f>IF('Sprachen &amp; Rückgabewerte(4)'!$I$25=TRUE,'Sprachen &amp; Rückgabewerte(4)'!$H$25,"")</f>
        <v/>
      </c>
      <c r="L65" s="396"/>
      <c r="M65" s="396"/>
      <c r="N65" s="390"/>
    </row>
    <row r="66" spans="2:14" ht="12" customHeight="1" x14ac:dyDescent="0.2">
      <c r="B66" s="391"/>
      <c r="C66" s="396"/>
      <c r="D66" s="396"/>
      <c r="E66" s="535"/>
      <c r="F66" s="535"/>
      <c r="G66" s="535"/>
      <c r="H66" s="535"/>
      <c r="I66" s="535"/>
      <c r="J66" s="400" t="str">
        <f t="shared" si="3"/>
        <v/>
      </c>
      <c r="K66" s="396" t="str">
        <f>IF('Sprachen &amp; Rückgabewerte(4)'!$I$26=TRUE,'Sprachen &amp; Rückgabewerte(4)'!$H$26,"")</f>
        <v/>
      </c>
      <c r="L66" s="396"/>
      <c r="M66" s="396"/>
      <c r="N66" s="390"/>
    </row>
    <row r="67" spans="2:14" ht="12" customHeight="1" x14ac:dyDescent="0.2">
      <c r="B67" s="391"/>
      <c r="C67" s="396"/>
      <c r="D67" s="396"/>
      <c r="E67" s="535"/>
      <c r="F67" s="535"/>
      <c r="G67" s="535"/>
      <c r="H67" s="535"/>
      <c r="I67" s="535"/>
      <c r="J67" s="400" t="str">
        <f t="shared" si="3"/>
        <v/>
      </c>
      <c r="K67" s="396" t="str">
        <f>IF('Sprachen &amp; Rückgabewerte(4)'!$I$27=TRUE,'Sprachen &amp; Rückgabewerte(4)'!$H$27,"")</f>
        <v/>
      </c>
      <c r="L67" s="396"/>
      <c r="M67" s="396"/>
      <c r="N67" s="390"/>
    </row>
    <row r="68" spans="2:14" ht="12" customHeight="1" x14ac:dyDescent="0.2">
      <c r="B68" s="391"/>
      <c r="C68" s="396"/>
      <c r="D68" s="396"/>
      <c r="E68" s="535"/>
      <c r="F68" s="535"/>
      <c r="G68" s="535"/>
      <c r="H68" s="535"/>
      <c r="I68" s="535"/>
      <c r="J68" s="400" t="str">
        <f t="shared" si="3"/>
        <v/>
      </c>
      <c r="K68" s="396" t="str">
        <f>IF('Sprachen &amp; Rückgabewerte(4)'!$I$28=TRUE,'Sprachen &amp; Rückgabewerte(4)'!$H$28,"")</f>
        <v/>
      </c>
      <c r="L68" s="396"/>
      <c r="M68" s="396"/>
      <c r="N68" s="390"/>
    </row>
    <row r="69" spans="2:14" ht="12" customHeight="1" x14ac:dyDescent="0.2">
      <c r="B69" s="391"/>
      <c r="C69" s="396"/>
      <c r="D69" s="396"/>
      <c r="E69" s="535"/>
      <c r="F69" s="535"/>
      <c r="G69" s="535"/>
      <c r="H69" s="535"/>
      <c r="I69" s="535"/>
      <c r="J69" s="400" t="str">
        <f t="shared" si="3"/>
        <v/>
      </c>
      <c r="K69" s="396" t="str">
        <f>IF('Sprachen &amp; Rückgabewerte(4)'!$I$29=TRUE,'Sprachen &amp; Rückgabewerte(4)'!$H$29,"")</f>
        <v/>
      </c>
      <c r="L69" s="396"/>
      <c r="M69" s="396"/>
      <c r="N69" s="390"/>
    </row>
    <row r="70" spans="2:14" ht="12" customHeight="1" x14ac:dyDescent="0.25">
      <c r="B70" s="391"/>
      <c r="C70" s="403"/>
      <c r="E70" s="535"/>
      <c r="F70" s="535"/>
      <c r="G70" s="535"/>
      <c r="H70" s="535"/>
      <c r="I70" s="535"/>
      <c r="J70" s="400" t="str">
        <f t="shared" si="3"/>
        <v/>
      </c>
      <c r="K70" s="396" t="str">
        <f>IF('Sprachen &amp; Rückgabewerte(4)'!$I$125=TRUE,'Sprachen &amp; Rückgabewerte(4)'!$H$125,"")</f>
        <v/>
      </c>
      <c r="N70" s="390"/>
    </row>
    <row r="71" spans="2:14" ht="12" customHeight="1" x14ac:dyDescent="0.2">
      <c r="B71" s="387"/>
      <c r="C71" s="388"/>
      <c r="D71" s="388"/>
      <c r="E71" s="388"/>
      <c r="F71" s="388"/>
      <c r="G71" s="388"/>
      <c r="H71" s="388"/>
      <c r="I71" s="388"/>
      <c r="J71" s="388"/>
      <c r="K71" s="388"/>
      <c r="L71" s="388"/>
      <c r="M71" s="388"/>
      <c r="N71" s="389"/>
    </row>
    <row r="72" spans="2:14" ht="15" customHeight="1" x14ac:dyDescent="0.25">
      <c r="B72" s="384"/>
      <c r="C72" s="393" t="s">
        <v>887</v>
      </c>
      <c r="D72" s="385"/>
      <c r="E72" s="394" t="str">
        <f>'Pos. 5'!$AX$19</f>
        <v>Bestellformular unvollständig!</v>
      </c>
      <c r="F72" s="385"/>
      <c r="G72" s="385"/>
      <c r="H72" s="385"/>
      <c r="I72" s="385"/>
      <c r="J72" s="385"/>
      <c r="K72" s="385"/>
      <c r="L72" s="385"/>
      <c r="M72" s="385"/>
      <c r="N72" s="395" t="str">
        <f>'Pos. 5'!$BB$2</f>
        <v>0m²</v>
      </c>
    </row>
    <row r="73" spans="2:14" ht="12" customHeight="1" x14ac:dyDescent="0.2">
      <c r="B73" s="391"/>
      <c r="C73" s="396"/>
      <c r="D73" s="396"/>
      <c r="E73" s="396"/>
      <c r="F73" s="396"/>
      <c r="G73" s="396"/>
      <c r="H73" s="396"/>
      <c r="I73" s="396"/>
      <c r="J73" s="396"/>
      <c r="K73" s="396"/>
      <c r="L73" s="396"/>
      <c r="M73" s="396"/>
      <c r="N73" s="390"/>
    </row>
    <row r="74" spans="2:14" ht="12" customHeight="1" x14ac:dyDescent="0.25">
      <c r="B74" s="391"/>
      <c r="C74" s="397" t="str">
        <f>'Pos. 5'!$AH$5</f>
        <v>Pos:</v>
      </c>
      <c r="D74" s="396"/>
      <c r="E74" s="398">
        <f>'Pos. 5'!$AJ$5</f>
        <v>0</v>
      </c>
      <c r="F74" s="396"/>
      <c r="G74" s="396"/>
      <c r="H74" s="396"/>
      <c r="I74" s="396"/>
      <c r="J74" s="396"/>
      <c r="K74" s="399" t="str">
        <f>'Sprachen &amp; Rückgabewerte(5)'!$H$134</f>
        <v>Features</v>
      </c>
      <c r="L74" s="396"/>
      <c r="M74" s="396"/>
      <c r="N74" s="390"/>
    </row>
    <row r="75" spans="2:14" ht="12" customHeight="1" x14ac:dyDescent="0.25">
      <c r="B75" s="391"/>
      <c r="C75" s="397"/>
      <c r="D75" s="396"/>
      <c r="E75" s="396"/>
      <c r="F75" s="396"/>
      <c r="G75" s="396"/>
      <c r="H75" s="396"/>
      <c r="I75" s="396"/>
      <c r="J75" s="400" t="str">
        <f>IF(K75&lt;&gt;"","-","")</f>
        <v/>
      </c>
      <c r="K75" s="396" t="str">
        <f>IF('Sprachen &amp; Rückgabewerte(5)'!$I$16=TRUE,'Sprachen &amp; Rückgabewerte(5)'!$H$16,"")</f>
        <v/>
      </c>
      <c r="L75" s="396"/>
      <c r="M75" s="396"/>
      <c r="N75" s="390"/>
    </row>
    <row r="76" spans="2:14" ht="12" customHeight="1" x14ac:dyDescent="0.25">
      <c r="B76" s="391"/>
      <c r="C76" s="397" t="str">
        <f>'Pos. 5'!$AH$6</f>
        <v>Stück:</v>
      </c>
      <c r="D76" s="396"/>
      <c r="E76" s="401">
        <f>'Pos. 5'!$AJ$6</f>
        <v>0</v>
      </c>
      <c r="F76" s="396"/>
      <c r="G76" s="396"/>
      <c r="H76" s="396"/>
      <c r="I76" s="396"/>
      <c r="J76" s="400" t="str">
        <f t="shared" ref="J76:J86" si="4">IF(K76&lt;&gt;"","-","")</f>
        <v/>
      </c>
      <c r="K76" s="396" t="str">
        <f>IF('Sprachen &amp; Rückgabewerte(5)'!$I$17=TRUE,'Sprachen &amp; Rückgabewerte(5)'!$H$17,"")</f>
        <v/>
      </c>
      <c r="L76" s="396"/>
      <c r="M76" s="396"/>
      <c r="N76" s="390"/>
    </row>
    <row r="77" spans="2:14" ht="12" customHeight="1" x14ac:dyDescent="0.25">
      <c r="B77" s="391"/>
      <c r="C77" s="397"/>
      <c r="D77" s="396"/>
      <c r="E77" s="396"/>
      <c r="F77" s="396"/>
      <c r="G77" s="396"/>
      <c r="H77" s="396"/>
      <c r="I77" s="396"/>
      <c r="J77" s="400" t="str">
        <f t="shared" si="4"/>
        <v/>
      </c>
      <c r="K77" s="396" t="str">
        <f>IF('Sprachen &amp; Rückgabewerte(5)'!$I$18=TRUE,'Sprachen &amp; Rückgabewerte(5)'!$H$18,"")</f>
        <v/>
      </c>
      <c r="L77" s="396"/>
      <c r="M77" s="396"/>
      <c r="N77" s="390"/>
    </row>
    <row r="78" spans="2:14" ht="12" customHeight="1" x14ac:dyDescent="0.25">
      <c r="B78" s="391"/>
      <c r="C78" s="397" t="str">
        <f>'Pos. 5'!$AX$14</f>
        <v>Bemerkungen:</v>
      </c>
      <c r="D78" s="396"/>
      <c r="E78" s="535" t="str">
        <f>'Pos. 5'!$AX$15</f>
        <v>-
-
-
-</v>
      </c>
      <c r="F78" s="535"/>
      <c r="G78" s="535"/>
      <c r="H78" s="535"/>
      <c r="I78" s="535"/>
      <c r="J78" s="400" t="str">
        <f t="shared" si="4"/>
        <v/>
      </c>
      <c r="K78" s="396" t="str">
        <f>IF('Sprachen &amp; Rückgabewerte(5)'!$I$19=TRUE,'Sprachen &amp; Rückgabewerte(5)'!$H$19,"")</f>
        <v/>
      </c>
      <c r="L78" s="396"/>
      <c r="M78" s="396"/>
      <c r="N78" s="390"/>
    </row>
    <row r="79" spans="2:14" ht="12" customHeight="1" x14ac:dyDescent="0.2">
      <c r="B79" s="391"/>
      <c r="C79" s="396"/>
      <c r="D79" s="396"/>
      <c r="E79" s="535"/>
      <c r="F79" s="535"/>
      <c r="G79" s="535"/>
      <c r="H79" s="535"/>
      <c r="I79" s="535"/>
      <c r="J79" s="400" t="str">
        <f t="shared" si="4"/>
        <v/>
      </c>
      <c r="K79" s="396" t="str">
        <f>IF('Sprachen &amp; Rückgabewerte(5)'!$I$20=TRUE,'Sprachen &amp; Rückgabewerte(5)'!$H$20,"")</f>
        <v/>
      </c>
      <c r="L79" s="396"/>
      <c r="M79" s="402" t="str">
        <f>IF('Pos. 5'!$AM$38&gt;0,'Pos. 5'!$AM$38,"")</f>
        <v/>
      </c>
      <c r="N79" s="390"/>
    </row>
    <row r="80" spans="2:14" ht="12" customHeight="1" x14ac:dyDescent="0.2">
      <c r="B80" s="391"/>
      <c r="C80" s="396"/>
      <c r="D80" s="396"/>
      <c r="E80" s="535"/>
      <c r="F80" s="535"/>
      <c r="G80" s="535"/>
      <c r="H80" s="535"/>
      <c r="I80" s="535"/>
      <c r="J80" s="400" t="str">
        <f t="shared" si="4"/>
        <v/>
      </c>
      <c r="K80" s="402" t="str">
        <f>IF('Sprachen &amp; Rückgabewerte(5)'!$I$22=TRUE,'Pos. 5'!$AL$39,"")</f>
        <v/>
      </c>
      <c r="L80" s="396"/>
      <c r="M80" s="396"/>
      <c r="N80" s="390"/>
    </row>
    <row r="81" spans="2:14" ht="12" customHeight="1" x14ac:dyDescent="0.2">
      <c r="B81" s="391"/>
      <c r="C81" s="396"/>
      <c r="D81" s="396"/>
      <c r="E81" s="535"/>
      <c r="F81" s="535"/>
      <c r="G81" s="535"/>
      <c r="H81" s="535"/>
      <c r="I81" s="535"/>
      <c r="J81" s="400" t="str">
        <f t="shared" si="4"/>
        <v/>
      </c>
      <c r="K81" s="396" t="str">
        <f>IF('Sprachen &amp; Rückgabewerte(5)'!$I$25=TRUE,'Sprachen &amp; Rückgabewerte(5)'!$H$25,"")</f>
        <v/>
      </c>
      <c r="L81" s="396"/>
      <c r="M81" s="396"/>
      <c r="N81" s="390"/>
    </row>
    <row r="82" spans="2:14" ht="12" customHeight="1" x14ac:dyDescent="0.2">
      <c r="B82" s="391"/>
      <c r="C82" s="396"/>
      <c r="D82" s="396"/>
      <c r="E82" s="535"/>
      <c r="F82" s="535"/>
      <c r="G82" s="535"/>
      <c r="H82" s="535"/>
      <c r="I82" s="535"/>
      <c r="J82" s="400" t="str">
        <f t="shared" si="4"/>
        <v/>
      </c>
      <c r="K82" s="396" t="str">
        <f>IF('Sprachen &amp; Rückgabewerte(5)'!$I$26=TRUE,'Sprachen &amp; Rückgabewerte(5)'!$H$26,"")</f>
        <v/>
      </c>
      <c r="L82" s="396"/>
      <c r="M82" s="396"/>
      <c r="N82" s="390"/>
    </row>
    <row r="83" spans="2:14" ht="12" customHeight="1" x14ac:dyDescent="0.2">
      <c r="B83" s="391"/>
      <c r="C83" s="396"/>
      <c r="D83" s="396"/>
      <c r="E83" s="535"/>
      <c r="F83" s="535"/>
      <c r="G83" s="535"/>
      <c r="H83" s="535"/>
      <c r="I83" s="535"/>
      <c r="J83" s="400" t="str">
        <f t="shared" si="4"/>
        <v/>
      </c>
      <c r="K83" s="396" t="str">
        <f>IF('Sprachen &amp; Rückgabewerte(5)'!$I$27=TRUE,'Sprachen &amp; Rückgabewerte(5)'!$H$27,"")</f>
        <v/>
      </c>
      <c r="L83" s="396"/>
      <c r="M83" s="396"/>
      <c r="N83" s="390"/>
    </row>
    <row r="84" spans="2:14" ht="12" customHeight="1" x14ac:dyDescent="0.2">
      <c r="B84" s="391"/>
      <c r="C84" s="396"/>
      <c r="D84" s="396"/>
      <c r="E84" s="535"/>
      <c r="F84" s="535"/>
      <c r="G84" s="535"/>
      <c r="H84" s="535"/>
      <c r="I84" s="535"/>
      <c r="J84" s="400" t="str">
        <f t="shared" si="4"/>
        <v/>
      </c>
      <c r="K84" s="396" t="str">
        <f>IF('Sprachen &amp; Rückgabewerte(5)'!$I$28=TRUE,'Sprachen &amp; Rückgabewerte(5)'!$H$28,"")</f>
        <v/>
      </c>
      <c r="L84" s="396"/>
      <c r="M84" s="396"/>
      <c r="N84" s="390"/>
    </row>
    <row r="85" spans="2:14" ht="12" customHeight="1" x14ac:dyDescent="0.2">
      <c r="B85" s="391"/>
      <c r="C85" s="396"/>
      <c r="D85" s="396"/>
      <c r="E85" s="535"/>
      <c r="F85" s="535"/>
      <c r="G85" s="535"/>
      <c r="H85" s="535"/>
      <c r="I85" s="535"/>
      <c r="J85" s="400" t="str">
        <f t="shared" si="4"/>
        <v/>
      </c>
      <c r="K85" s="396" t="str">
        <f>IF('Sprachen &amp; Rückgabewerte(5)'!$I$29=TRUE,'Sprachen &amp; Rückgabewerte(5)'!$H$29,"")</f>
        <v/>
      </c>
      <c r="L85" s="396"/>
      <c r="M85" s="396"/>
      <c r="N85" s="390"/>
    </row>
    <row r="86" spans="2:14" ht="12" customHeight="1" x14ac:dyDescent="0.25">
      <c r="B86" s="391"/>
      <c r="C86" s="403"/>
      <c r="E86" s="535"/>
      <c r="F86" s="535"/>
      <c r="G86" s="535"/>
      <c r="H86" s="535"/>
      <c r="I86" s="535"/>
      <c r="J86" s="400" t="str">
        <f t="shared" si="4"/>
        <v/>
      </c>
      <c r="K86" s="396" t="str">
        <f>IF('Sprachen &amp; Rückgabewerte(5)'!$I$125=TRUE,'Sprachen &amp; Rückgabewerte(5)'!$H$125,"")</f>
        <v/>
      </c>
      <c r="N86" s="390"/>
    </row>
    <row r="87" spans="2:14" ht="12" customHeight="1" x14ac:dyDescent="0.2">
      <c r="B87" s="387"/>
      <c r="C87" s="388"/>
      <c r="D87" s="388"/>
      <c r="E87" s="388"/>
      <c r="F87" s="388"/>
      <c r="G87" s="388"/>
      <c r="H87" s="388"/>
      <c r="I87" s="388"/>
      <c r="J87" s="388"/>
      <c r="K87" s="388"/>
      <c r="L87" s="388"/>
      <c r="M87" s="388"/>
      <c r="N87" s="389"/>
    </row>
  </sheetData>
  <sheetProtection algorithmName="SHA-512" hashValue="DFzeoNxUXYm3I0JC1lCGY9tgKFDPxT3JVfKkXD79EJ+fYU3/Mg+IcqXHMhnD/moM0kfCvqmktrPlHrkyoK89Ng==" saltValue="8IEyy9wfes9JpAsAf5IE4Q==" spinCount="100000" sheet="1" objects="1" scenarios="1"/>
  <mergeCells count="5">
    <mergeCell ref="E14:I22"/>
    <mergeCell ref="E30:I38"/>
    <mergeCell ref="E46:I54"/>
    <mergeCell ref="E62:I70"/>
    <mergeCell ref="E78:I86"/>
  </mergeCells>
  <pageMargins left="0.39370078740157483" right="0.31496062992125984" top="0.59055118110236227" bottom="0.39370078740157483" header="0.31496062992125984" footer="0.31496062992125984"/>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erechnungen"/>
  <dimension ref="A1:AF205"/>
  <sheetViews>
    <sheetView showGridLines="0" topLeftCell="A170" zoomScale="70" zoomScaleNormal="70" workbookViewId="0">
      <selection activeCell="AX25" sqref="AX25:AZ26"/>
    </sheetView>
  </sheetViews>
  <sheetFormatPr baseColWidth="10" defaultColWidth="11.42578125" defaultRowHeight="12.75" x14ac:dyDescent="0.2"/>
  <cols>
    <col min="1" max="1" width="19.140625" style="1" customWidth="1"/>
    <col min="2" max="2" width="16.7109375" style="1" customWidth="1"/>
    <col min="3" max="3" width="11.42578125" style="1" customWidth="1"/>
    <col min="4" max="7" width="40.7109375" style="1" customWidth="1"/>
    <col min="8" max="8" width="34.28515625" style="1" customWidth="1"/>
    <col min="9" max="9" width="30.42578125" style="1" customWidth="1"/>
    <col min="10" max="10" width="25.7109375" style="1" customWidth="1"/>
    <col min="11" max="11" width="15.5703125" style="1" customWidth="1"/>
    <col min="12" max="12" width="13.42578125" style="1" customWidth="1"/>
    <col min="13" max="13" width="16.140625" style="1" customWidth="1"/>
    <col min="14" max="17" width="11.42578125" style="1"/>
    <col min="18" max="18" width="12.5703125" style="1" customWidth="1"/>
    <col min="19" max="19" width="10.140625" style="1" customWidth="1"/>
    <col min="20" max="20" width="10.28515625" style="1" customWidth="1"/>
    <col min="21" max="21" width="21.5703125" style="1" customWidth="1"/>
    <col min="22" max="26" width="11.42578125" style="1"/>
    <col min="27" max="27" width="12.28515625" style="1" customWidth="1"/>
    <col min="28" max="28" width="11.42578125" style="1"/>
    <col min="29" max="31" width="26.42578125" style="1" customWidth="1"/>
    <col min="32" max="16384" width="11.42578125" style="1"/>
  </cols>
  <sheetData>
    <row r="1" spans="1:32" ht="13.5" thickBot="1" x14ac:dyDescent="0.25">
      <c r="H1" s="46" t="s">
        <v>214</v>
      </c>
      <c r="L1" s="1" t="s">
        <v>181</v>
      </c>
      <c r="M1" s="1" t="s">
        <v>182</v>
      </c>
      <c r="N1" s="1" t="s">
        <v>183</v>
      </c>
      <c r="R1" s="1" t="s">
        <v>623</v>
      </c>
      <c r="S1" s="1" t="s">
        <v>624</v>
      </c>
      <c r="T1" s="1" t="s">
        <v>625</v>
      </c>
      <c r="W1" s="3" t="str">
        <f>IF($I$125=TRUE,R1,L1)</f>
        <v>Ug=</v>
      </c>
      <c r="X1" s="51" t="str">
        <f>IF($I$125=TRUE,S1,M1)</f>
        <v>Lt=</v>
      </c>
      <c r="Y1" s="51" t="str">
        <f>IF($I$125=TRUE,T1,N1)</f>
        <v>g=</v>
      </c>
    </row>
    <row r="2" spans="1:32" x14ac:dyDescent="0.2">
      <c r="B2" s="29" t="s">
        <v>178</v>
      </c>
      <c r="C2" s="30" t="s">
        <v>91</v>
      </c>
      <c r="D2" s="16" t="s">
        <v>457</v>
      </c>
      <c r="E2" s="17" t="s">
        <v>458</v>
      </c>
      <c r="F2" s="17" t="s">
        <v>459</v>
      </c>
      <c r="G2" s="18" t="s">
        <v>460</v>
      </c>
      <c r="H2" s="31" t="str">
        <f>IF($B$3=$A$3,D2,IF($B$3=$A$4,E2,IF($B$3=$A$5,F2,IF($B$3=$A$6,G2,""))))</f>
        <v>Sprache:</v>
      </c>
      <c r="I2" s="46" t="s">
        <v>194</v>
      </c>
      <c r="K2" s="34" t="s">
        <v>626</v>
      </c>
      <c r="L2" s="50"/>
      <c r="M2" s="50"/>
      <c r="N2" s="50"/>
      <c r="O2" s="50"/>
      <c r="P2" s="39"/>
      <c r="Q2" s="34" t="s">
        <v>627</v>
      </c>
      <c r="R2" s="50"/>
      <c r="S2" s="50"/>
      <c r="T2" s="50"/>
      <c r="U2" s="39"/>
      <c r="V2" s="34" t="s">
        <v>628</v>
      </c>
      <c r="W2" s="50"/>
      <c r="X2" s="50"/>
      <c r="Y2" s="50"/>
      <c r="Z2" s="50"/>
      <c r="AA2" s="39"/>
      <c r="AB2" s="33"/>
      <c r="AC2" s="33"/>
      <c r="AD2" s="33"/>
      <c r="AE2" s="33"/>
      <c r="AF2" s="33"/>
    </row>
    <row r="3" spans="1:32" x14ac:dyDescent="0.2">
      <c r="A3" s="1">
        <v>1</v>
      </c>
      <c r="B3" s="26">
        <v>1</v>
      </c>
      <c r="C3" s="25" t="s">
        <v>92</v>
      </c>
      <c r="D3" s="19" t="s">
        <v>92</v>
      </c>
      <c r="E3" s="20" t="s">
        <v>93</v>
      </c>
      <c r="F3" s="20" t="s">
        <v>94</v>
      </c>
      <c r="G3" s="21" t="s">
        <v>95</v>
      </c>
      <c r="H3" s="31" t="str">
        <f>IF($B$3=$A$3,D3,IF($B$3=$A$4,E3,IF($B$3=$A$5,F3,IF($B$3=$A$6,G3,""))))</f>
        <v>DEUTSCH</v>
      </c>
      <c r="I3" s="41"/>
      <c r="K3" s="23" t="s">
        <v>232</v>
      </c>
      <c r="L3" s="51">
        <v>1.1000000000000001</v>
      </c>
      <c r="M3" s="51">
        <v>81</v>
      </c>
      <c r="N3" s="51">
        <v>64</v>
      </c>
      <c r="O3" s="51" t="s">
        <v>233</v>
      </c>
      <c r="P3" s="45"/>
      <c r="Q3" s="23" t="s">
        <v>232</v>
      </c>
      <c r="R3" s="210">
        <v>0.34</v>
      </c>
      <c r="S3" s="51">
        <v>0.49</v>
      </c>
      <c r="T3" s="51">
        <v>0.67</v>
      </c>
      <c r="U3" s="45" t="s">
        <v>658</v>
      </c>
      <c r="V3" s="23" t="str">
        <f t="shared" ref="V3:Z25" si="0">IF($I$125=TRUE,Q3,K3)</f>
        <v>SG-01</v>
      </c>
      <c r="W3" s="3">
        <f t="shared" si="0"/>
        <v>1.1000000000000001</v>
      </c>
      <c r="X3" s="51">
        <f t="shared" si="0"/>
        <v>81</v>
      </c>
      <c r="Y3" s="51">
        <f t="shared" si="0"/>
        <v>64</v>
      </c>
      <c r="Z3" s="51" t="str">
        <f t="shared" si="0"/>
        <v>ESG 6 / 18 / ESG 6</v>
      </c>
      <c r="AA3" s="45"/>
      <c r="AB3" s="33"/>
      <c r="AC3" s="208"/>
      <c r="AD3" s="208"/>
      <c r="AE3" s="208"/>
      <c r="AF3" s="33"/>
    </row>
    <row r="4" spans="1:32" x14ac:dyDescent="0.2">
      <c r="A4" s="1">
        <v>2</v>
      </c>
      <c r="B4" s="27"/>
      <c r="C4" s="22" t="s">
        <v>93</v>
      </c>
      <c r="D4" s="23" t="s">
        <v>96</v>
      </c>
      <c r="E4" s="14" t="s">
        <v>97</v>
      </c>
      <c r="F4" s="14" t="s">
        <v>98</v>
      </c>
      <c r="G4" s="15" t="s">
        <v>99</v>
      </c>
      <c r="H4" s="31" t="str">
        <f>IF($B$3=$A$3,D4,IF($B$3=$A$4,E4,IF($B$3=$A$5,F4,IF($B$3=$A$6,G4,""))))</f>
        <v>BESTELLUNG</v>
      </c>
      <c r="I4" s="41"/>
      <c r="K4" s="2" t="s">
        <v>234</v>
      </c>
      <c r="L4" s="3">
        <v>1.1000000000000001</v>
      </c>
      <c r="M4" s="3">
        <v>80</v>
      </c>
      <c r="N4" s="3">
        <v>63</v>
      </c>
      <c r="O4" s="3" t="s">
        <v>235</v>
      </c>
      <c r="P4" s="4"/>
      <c r="Q4" s="2" t="s">
        <v>234</v>
      </c>
      <c r="R4" s="3">
        <v>0.34</v>
      </c>
      <c r="S4" s="3">
        <v>0.48</v>
      </c>
      <c r="T4" s="3">
        <v>0.66</v>
      </c>
      <c r="U4" s="4" t="s">
        <v>659</v>
      </c>
      <c r="V4" s="2" t="str">
        <f t="shared" si="0"/>
        <v>SG-02</v>
      </c>
      <c r="W4" s="3">
        <f t="shared" si="0"/>
        <v>1.1000000000000001</v>
      </c>
      <c r="X4" s="3">
        <f t="shared" si="0"/>
        <v>80</v>
      </c>
      <c r="Y4" s="3">
        <f t="shared" si="0"/>
        <v>63</v>
      </c>
      <c r="Z4" s="3" t="str">
        <f t="shared" si="0"/>
        <v>ESG 8 / 14 / ESG 8</v>
      </c>
      <c r="AA4" s="4"/>
      <c r="AB4" s="539"/>
      <c r="AC4" s="209"/>
      <c r="AD4" s="209"/>
      <c r="AE4" s="209"/>
      <c r="AF4" s="33"/>
    </row>
    <row r="5" spans="1:32" x14ac:dyDescent="0.2">
      <c r="A5" s="1">
        <v>3</v>
      </c>
      <c r="B5" s="27"/>
      <c r="C5" s="22" t="s">
        <v>94</v>
      </c>
      <c r="D5" s="2" t="s">
        <v>0</v>
      </c>
      <c r="E5" s="3" t="s">
        <v>1</v>
      </c>
      <c r="F5" s="3" t="s">
        <v>101</v>
      </c>
      <c r="G5" s="4" t="s">
        <v>100</v>
      </c>
      <c r="H5" s="31" t="str">
        <f>IF($B$3=$A$3,D5,IF($B$3=$A$4,E5,IF($B$3=$A$5,F5,IF($B$3=$A$6,G5,""))))</f>
        <v>Gemäss Zeichnung Nr.:</v>
      </c>
      <c r="I5" s="41" t="b">
        <v>0</v>
      </c>
      <c r="K5" s="2" t="s">
        <v>236</v>
      </c>
      <c r="L5" s="3">
        <v>1.1000000000000001</v>
      </c>
      <c r="M5" s="3">
        <v>80</v>
      </c>
      <c r="N5" s="3">
        <v>64</v>
      </c>
      <c r="O5" s="3" t="s">
        <v>237</v>
      </c>
      <c r="P5" s="4"/>
      <c r="Q5" s="2" t="s">
        <v>236</v>
      </c>
      <c r="R5" s="3">
        <v>0.34</v>
      </c>
      <c r="S5" s="3">
        <v>0.49</v>
      </c>
      <c r="T5" s="3">
        <v>0.68</v>
      </c>
      <c r="U5" s="4" t="s">
        <v>660</v>
      </c>
      <c r="V5" s="2" t="str">
        <f t="shared" si="0"/>
        <v>SG-03</v>
      </c>
      <c r="W5" s="3">
        <f t="shared" si="0"/>
        <v>1.1000000000000001</v>
      </c>
      <c r="X5" s="3">
        <f t="shared" si="0"/>
        <v>80</v>
      </c>
      <c r="Y5" s="3">
        <f t="shared" si="0"/>
        <v>64</v>
      </c>
      <c r="Z5" s="3" t="str">
        <f t="shared" si="0"/>
        <v>ESG 8 / 16 / ESG 6</v>
      </c>
      <c r="AA5" s="4"/>
      <c r="AB5" s="539"/>
      <c r="AC5" s="209"/>
      <c r="AD5" s="209"/>
      <c r="AE5" s="209"/>
      <c r="AF5" s="33"/>
    </row>
    <row r="6" spans="1:32" ht="13.5" thickBot="1" x14ac:dyDescent="0.25">
      <c r="A6" s="1">
        <v>4</v>
      </c>
      <c r="B6" s="28"/>
      <c r="C6" s="24" t="s">
        <v>95</v>
      </c>
      <c r="D6" s="2" t="s">
        <v>102</v>
      </c>
      <c r="E6" s="3" t="s">
        <v>103</v>
      </c>
      <c r="F6" s="3" t="s">
        <v>104</v>
      </c>
      <c r="G6" s="4" t="s">
        <v>376</v>
      </c>
      <c r="H6" s="31" t="str">
        <f>IF($B$3=$A$3,D6,IF($B$3=$A$4,E6,IF($B$3=$A$5,F6,IF($B$3=$A$6,G6,""))))</f>
        <v>Gemäss Skizze: (Ansicht von Aussen)</v>
      </c>
      <c r="I6" s="41" t="b">
        <v>0</v>
      </c>
      <c r="K6" s="2" t="s">
        <v>238</v>
      </c>
      <c r="L6" s="3">
        <v>1.1000000000000001</v>
      </c>
      <c r="M6" s="3">
        <v>80</v>
      </c>
      <c r="N6" s="3">
        <v>62</v>
      </c>
      <c r="O6" s="3" t="s">
        <v>239</v>
      </c>
      <c r="P6" s="4"/>
      <c r="Q6" s="2" t="s">
        <v>238</v>
      </c>
      <c r="R6" s="3">
        <v>0.34</v>
      </c>
      <c r="S6" s="3">
        <v>0.48</v>
      </c>
      <c r="T6" s="3">
        <v>0.66</v>
      </c>
      <c r="U6" s="4" t="s">
        <v>661</v>
      </c>
      <c r="V6" s="2" t="str">
        <f t="shared" si="0"/>
        <v>SG-04</v>
      </c>
      <c r="W6" s="3">
        <f t="shared" si="0"/>
        <v>1.1000000000000001</v>
      </c>
      <c r="X6" s="3">
        <f t="shared" si="0"/>
        <v>80</v>
      </c>
      <c r="Y6" s="3">
        <f t="shared" si="0"/>
        <v>62</v>
      </c>
      <c r="Z6" s="3" t="str">
        <f t="shared" si="0"/>
        <v>ESG 10 / 14 / ESG 6</v>
      </c>
      <c r="AA6" s="4"/>
      <c r="AB6" s="539"/>
      <c r="AC6" s="209"/>
      <c r="AD6" s="209"/>
      <c r="AE6" s="209"/>
      <c r="AF6" s="33"/>
    </row>
    <row r="7" spans="1:32" ht="13.5" thickBot="1" x14ac:dyDescent="0.25">
      <c r="D7" s="2" t="s">
        <v>513</v>
      </c>
      <c r="E7" s="3" t="s">
        <v>514</v>
      </c>
      <c r="F7" s="3" t="s">
        <v>515</v>
      </c>
      <c r="G7" s="4" t="s">
        <v>516</v>
      </c>
      <c r="H7" s="31" t="str">
        <f t="shared" ref="H7:H71" si="1">IF($B$3=$A$3,D7,IF($B$3=$A$4,E7,IF($B$3=$A$5,F7,IF($B$3=$A$6,G7,""))))</f>
        <v xml:space="preserve">Objekt: </v>
      </c>
      <c r="I7" s="41"/>
      <c r="K7" s="2" t="s">
        <v>240</v>
      </c>
      <c r="L7" s="3">
        <v>1.1000000000000001</v>
      </c>
      <c r="M7" s="3">
        <v>80</v>
      </c>
      <c r="N7" s="316" t="s">
        <v>800</v>
      </c>
      <c r="O7" s="3" t="s">
        <v>241</v>
      </c>
      <c r="P7" s="4"/>
      <c r="Q7" s="2" t="s">
        <v>240</v>
      </c>
      <c r="R7" s="3">
        <v>0.34</v>
      </c>
      <c r="S7" s="3">
        <v>0.47</v>
      </c>
      <c r="T7" s="3">
        <v>0.66</v>
      </c>
      <c r="U7" s="4" t="s">
        <v>662</v>
      </c>
      <c r="V7" s="2" t="str">
        <f t="shared" si="0"/>
        <v>SG-05</v>
      </c>
      <c r="W7" s="3">
        <f t="shared" si="0"/>
        <v>1.1000000000000001</v>
      </c>
      <c r="X7" s="3">
        <f t="shared" si="0"/>
        <v>80</v>
      </c>
      <c r="Y7" s="3" t="str">
        <f t="shared" si="0"/>
        <v>59/64</v>
      </c>
      <c r="Z7" s="3" t="str">
        <f t="shared" si="0"/>
        <v>V-F 8-2 / 14 / ESG 6</v>
      </c>
      <c r="AA7" s="4"/>
      <c r="AB7" s="539"/>
      <c r="AC7" s="209"/>
      <c r="AD7" s="209"/>
      <c r="AE7" s="209"/>
      <c r="AF7" s="33"/>
    </row>
    <row r="8" spans="1:32" x14ac:dyDescent="0.2">
      <c r="B8" s="16" t="s">
        <v>186</v>
      </c>
      <c r="C8" s="18" t="s">
        <v>190</v>
      </c>
      <c r="D8" s="2" t="s">
        <v>184</v>
      </c>
      <c r="E8" s="3" t="s">
        <v>185</v>
      </c>
      <c r="F8" s="3" t="s">
        <v>105</v>
      </c>
      <c r="G8" s="4" t="s">
        <v>106</v>
      </c>
      <c r="H8" s="31" t="str">
        <f t="shared" si="1"/>
        <v>Bestelldatum:</v>
      </c>
      <c r="I8" s="41"/>
      <c r="K8" s="2" t="s">
        <v>242</v>
      </c>
      <c r="L8" s="3">
        <v>1.1000000000000001</v>
      </c>
      <c r="M8" s="3">
        <v>79</v>
      </c>
      <c r="N8" s="316" t="s">
        <v>801</v>
      </c>
      <c r="O8" s="3" t="s">
        <v>243</v>
      </c>
      <c r="P8" s="4"/>
      <c r="Q8" s="2" t="s">
        <v>242</v>
      </c>
      <c r="R8" s="3">
        <v>0.33</v>
      </c>
      <c r="S8" s="3">
        <v>0.46</v>
      </c>
      <c r="T8" s="3">
        <v>0.65</v>
      </c>
      <c r="U8" s="4" t="s">
        <v>663</v>
      </c>
      <c r="V8" s="2" t="str">
        <f t="shared" si="0"/>
        <v>SG-06</v>
      </c>
      <c r="W8" s="3">
        <f t="shared" si="0"/>
        <v>1.1000000000000001</v>
      </c>
      <c r="X8" s="3">
        <f t="shared" si="0"/>
        <v>79</v>
      </c>
      <c r="Y8" s="3" t="str">
        <f t="shared" si="0"/>
        <v>59/62</v>
      </c>
      <c r="Z8" s="3" t="str">
        <f t="shared" si="0"/>
        <v>V-F 8-2 / 14 / ESG 8</v>
      </c>
      <c r="AA8" s="4"/>
      <c r="AB8" s="539"/>
      <c r="AC8" s="209"/>
      <c r="AD8" s="209"/>
      <c r="AE8" s="209"/>
      <c r="AF8" s="33"/>
    </row>
    <row r="9" spans="1:32" ht="13.5" thickBot="1" x14ac:dyDescent="0.25">
      <c r="B9" s="357" t="s">
        <v>841</v>
      </c>
      <c r="C9" s="358" t="s">
        <v>842</v>
      </c>
      <c r="D9" s="2" t="s">
        <v>2</v>
      </c>
      <c r="E9" s="3" t="s">
        <v>3</v>
      </c>
      <c r="F9" s="3" t="s">
        <v>4</v>
      </c>
      <c r="G9" s="4" t="s">
        <v>107</v>
      </c>
      <c r="H9" s="31" t="str">
        <f t="shared" si="1"/>
        <v>Projekt-Nr.:</v>
      </c>
      <c r="I9" s="41"/>
      <c r="K9" s="2" t="s">
        <v>244</v>
      </c>
      <c r="L9" s="3">
        <v>1.1000000000000001</v>
      </c>
      <c r="M9" s="3">
        <v>81</v>
      </c>
      <c r="N9" s="3">
        <v>64</v>
      </c>
      <c r="O9" s="3" t="s">
        <v>245</v>
      </c>
      <c r="P9" s="4"/>
      <c r="Q9" s="2">
        <v>0</v>
      </c>
      <c r="R9" s="3">
        <v>0</v>
      </c>
      <c r="S9" s="3">
        <v>0</v>
      </c>
      <c r="T9" s="3">
        <v>0</v>
      </c>
      <c r="U9" s="4" t="str">
        <f>$H$54</f>
        <v>Glastyp wählen</v>
      </c>
      <c r="V9" s="2" t="str">
        <f t="shared" si="0"/>
        <v>SG-07</v>
      </c>
      <c r="W9" s="3">
        <f t="shared" si="0"/>
        <v>1.1000000000000001</v>
      </c>
      <c r="X9" s="3">
        <f t="shared" si="0"/>
        <v>81</v>
      </c>
      <c r="Y9" s="3">
        <f t="shared" si="0"/>
        <v>64</v>
      </c>
      <c r="Z9" s="3" t="str">
        <f t="shared" si="0"/>
        <v>ESG 6 / 14 / V-WG 8-2</v>
      </c>
      <c r="AA9" s="4"/>
      <c r="AB9" s="539"/>
      <c r="AC9" s="209"/>
      <c r="AD9" s="209"/>
      <c r="AE9" s="209"/>
      <c r="AF9" s="33"/>
    </row>
    <row r="10" spans="1:32" x14ac:dyDescent="0.2">
      <c r="A10" s="57" t="s">
        <v>44</v>
      </c>
      <c r="B10" s="13" t="s">
        <v>187</v>
      </c>
      <c r="C10" s="36" t="s">
        <v>191</v>
      </c>
      <c r="D10" s="2" t="s">
        <v>5</v>
      </c>
      <c r="E10" s="3" t="s">
        <v>6</v>
      </c>
      <c r="F10" s="3" t="s">
        <v>7</v>
      </c>
      <c r="G10" s="4" t="s">
        <v>352</v>
      </c>
      <c r="H10" s="31" t="str">
        <f t="shared" si="1"/>
        <v>2-gleisig</v>
      </c>
      <c r="I10" s="43" t="b">
        <v>0</v>
      </c>
      <c r="K10" s="2" t="s">
        <v>246</v>
      </c>
      <c r="L10" s="52">
        <v>1.1000000000000001</v>
      </c>
      <c r="M10" s="3">
        <v>81</v>
      </c>
      <c r="N10" s="3">
        <v>63</v>
      </c>
      <c r="O10" s="316" t="s">
        <v>840</v>
      </c>
      <c r="P10" s="4"/>
      <c r="Q10" s="2" t="s">
        <v>247</v>
      </c>
      <c r="R10" s="3">
        <v>0.34</v>
      </c>
      <c r="S10" s="3">
        <v>0.41</v>
      </c>
      <c r="T10" s="3">
        <v>0.59</v>
      </c>
      <c r="U10" s="4" t="s">
        <v>657</v>
      </c>
      <c r="V10" s="2" t="str">
        <f t="shared" si="0"/>
        <v>SG-08</v>
      </c>
      <c r="W10" s="3">
        <f t="shared" si="0"/>
        <v>1.1000000000000001</v>
      </c>
      <c r="X10" s="3">
        <f t="shared" si="0"/>
        <v>81</v>
      </c>
      <c r="Y10" s="3">
        <f t="shared" si="0"/>
        <v>63</v>
      </c>
      <c r="Z10" s="3" t="str">
        <f t="shared" si="0"/>
        <v>ESG 8 / 14 / V-WG 8-2</v>
      </c>
      <c r="AA10" s="4"/>
      <c r="AB10" s="539"/>
      <c r="AC10" s="209"/>
      <c r="AD10" s="209"/>
      <c r="AE10" s="209"/>
      <c r="AF10" s="33"/>
    </row>
    <row r="11" spans="1:32" x14ac:dyDescent="0.2">
      <c r="A11" s="88"/>
      <c r="B11" s="42" t="s">
        <v>188</v>
      </c>
      <c r="C11" s="37" t="s">
        <v>192</v>
      </c>
      <c r="D11" s="2" t="s">
        <v>8</v>
      </c>
      <c r="E11" s="3" t="s">
        <v>9</v>
      </c>
      <c r="F11" s="316" t="s">
        <v>790</v>
      </c>
      <c r="G11" s="4" t="s">
        <v>353</v>
      </c>
      <c r="H11" s="31" t="str">
        <f t="shared" si="1"/>
        <v>3-gleisig</v>
      </c>
      <c r="I11" s="43" t="b">
        <v>0</v>
      </c>
      <c r="K11" s="2">
        <v>0</v>
      </c>
      <c r="L11" s="3">
        <v>0</v>
      </c>
      <c r="M11" s="3">
        <v>0</v>
      </c>
      <c r="N11" s="3">
        <v>0</v>
      </c>
      <c r="O11" s="3" t="str">
        <f>$H$54</f>
        <v>Glastyp wählen</v>
      </c>
      <c r="P11" s="4"/>
      <c r="Q11" s="2" t="s">
        <v>248</v>
      </c>
      <c r="R11" s="3">
        <v>0.33</v>
      </c>
      <c r="S11" s="3">
        <v>0.4</v>
      </c>
      <c r="T11" s="3">
        <v>0.57999999999999996</v>
      </c>
      <c r="U11" s="4" t="s">
        <v>664</v>
      </c>
      <c r="V11" s="2">
        <f t="shared" si="0"/>
        <v>0</v>
      </c>
      <c r="W11" s="3">
        <f t="shared" si="0"/>
        <v>0</v>
      </c>
      <c r="X11" s="3">
        <f t="shared" si="0"/>
        <v>0</v>
      </c>
      <c r="Y11" s="3">
        <f t="shared" si="0"/>
        <v>0</v>
      </c>
      <c r="Z11" s="3" t="str">
        <f t="shared" si="0"/>
        <v>Glastyp wählen</v>
      </c>
      <c r="AA11" s="4"/>
      <c r="AB11" s="539"/>
      <c r="AC11" s="209"/>
      <c r="AD11" s="209"/>
      <c r="AE11" s="209"/>
      <c r="AF11" s="33"/>
    </row>
    <row r="12" spans="1:32" x14ac:dyDescent="0.2">
      <c r="A12" s="31" t="s">
        <v>180</v>
      </c>
      <c r="B12" s="42" t="s">
        <v>189</v>
      </c>
      <c r="C12" s="37" t="s">
        <v>193</v>
      </c>
      <c r="D12" s="2" t="s">
        <v>10</v>
      </c>
      <c r="E12" s="3" t="s">
        <v>11</v>
      </c>
      <c r="F12" s="316" t="s">
        <v>791</v>
      </c>
      <c r="G12" s="4" t="s">
        <v>354</v>
      </c>
      <c r="H12" s="31" t="str">
        <f t="shared" si="1"/>
        <v>4-gleisig</v>
      </c>
      <c r="I12" s="43" t="b">
        <v>0</v>
      </c>
      <c r="K12" s="2" t="s">
        <v>247</v>
      </c>
      <c r="L12" s="3">
        <v>1</v>
      </c>
      <c r="M12" s="3">
        <v>71</v>
      </c>
      <c r="N12" s="3">
        <v>52</v>
      </c>
      <c r="O12" s="3" t="s">
        <v>233</v>
      </c>
      <c r="P12" s="4"/>
      <c r="Q12" s="2" t="s">
        <v>249</v>
      </c>
      <c r="R12" s="3">
        <v>0.34</v>
      </c>
      <c r="S12" s="3">
        <v>0.4</v>
      </c>
      <c r="T12" s="3">
        <v>0.57999999999999996</v>
      </c>
      <c r="U12" s="4" t="s">
        <v>665</v>
      </c>
      <c r="V12" s="2" t="str">
        <f t="shared" si="0"/>
        <v>SG-11</v>
      </c>
      <c r="W12" s="3">
        <f t="shared" si="0"/>
        <v>1</v>
      </c>
      <c r="X12" s="3">
        <f t="shared" si="0"/>
        <v>71</v>
      </c>
      <c r="Y12" s="3">
        <f t="shared" si="0"/>
        <v>52</v>
      </c>
      <c r="Z12" s="3" t="str">
        <f t="shared" si="0"/>
        <v>ESG 6 / 18 / ESG 6</v>
      </c>
      <c r="AA12" s="4"/>
      <c r="AB12" s="539"/>
      <c r="AC12" s="209"/>
      <c r="AD12" s="209"/>
      <c r="AE12" s="209"/>
      <c r="AF12" s="33"/>
    </row>
    <row r="13" spans="1:32" x14ac:dyDescent="0.2">
      <c r="A13" s="31" t="s">
        <v>225</v>
      </c>
      <c r="B13" s="109" t="s">
        <v>453</v>
      </c>
      <c r="C13" s="110" t="s">
        <v>452</v>
      </c>
      <c r="D13" s="2" t="s">
        <v>12</v>
      </c>
      <c r="E13" s="3" t="s">
        <v>13</v>
      </c>
      <c r="F13" s="3" t="s">
        <v>14</v>
      </c>
      <c r="G13" s="4" t="s">
        <v>108</v>
      </c>
      <c r="H13" s="31" t="str">
        <f t="shared" si="1"/>
        <v>Teilung Achsmasse</v>
      </c>
      <c r="I13" s="41" t="b">
        <v>0</v>
      </c>
      <c r="K13" s="2" t="s">
        <v>248</v>
      </c>
      <c r="L13" s="3">
        <v>1.1000000000000001</v>
      </c>
      <c r="M13" s="3">
        <v>70</v>
      </c>
      <c r="N13" s="3">
        <v>51</v>
      </c>
      <c r="O13" s="3" t="s">
        <v>235</v>
      </c>
      <c r="P13" s="4"/>
      <c r="Q13" s="2" t="s">
        <v>250</v>
      </c>
      <c r="R13" s="3">
        <v>0.33</v>
      </c>
      <c r="S13" s="3">
        <v>0.4</v>
      </c>
      <c r="T13" s="3">
        <v>0.57999999999999996</v>
      </c>
      <c r="U13" s="4" t="s">
        <v>666</v>
      </c>
      <c r="V13" s="2" t="str">
        <f t="shared" si="0"/>
        <v>SG-12</v>
      </c>
      <c r="W13" s="3">
        <f t="shared" si="0"/>
        <v>1.1000000000000001</v>
      </c>
      <c r="X13" s="3">
        <f t="shared" si="0"/>
        <v>70</v>
      </c>
      <c r="Y13" s="3">
        <f t="shared" si="0"/>
        <v>51</v>
      </c>
      <c r="Z13" s="3" t="str">
        <f t="shared" si="0"/>
        <v>ESG 8 / 14 / ESG 8</v>
      </c>
      <c r="AA13" s="4"/>
      <c r="AB13" s="539"/>
      <c r="AC13" s="209"/>
      <c r="AD13" s="209"/>
      <c r="AE13" s="209"/>
      <c r="AF13" s="33"/>
    </row>
    <row r="14" spans="1:32" ht="13.5" thickBot="1" x14ac:dyDescent="0.25">
      <c r="A14" s="31" t="s">
        <v>224</v>
      </c>
      <c r="B14" s="104" t="s">
        <v>454</v>
      </c>
      <c r="C14" s="38" t="s">
        <v>451</v>
      </c>
      <c r="D14" s="2" t="s">
        <v>110</v>
      </c>
      <c r="E14" s="3" t="s">
        <v>109</v>
      </c>
      <c r="F14" s="5" t="s">
        <v>15</v>
      </c>
      <c r="G14" s="59" t="s">
        <v>377</v>
      </c>
      <c r="H14" s="31" t="str">
        <f t="shared" si="1"/>
        <v>alle Gläser gleiche Breite (Empfehlung)</v>
      </c>
      <c r="I14" s="41" t="b">
        <v>0</v>
      </c>
      <c r="K14" s="2" t="s">
        <v>249</v>
      </c>
      <c r="L14" s="3">
        <v>1</v>
      </c>
      <c r="M14" s="3">
        <v>71</v>
      </c>
      <c r="N14" s="3">
        <v>52</v>
      </c>
      <c r="O14" s="3" t="s">
        <v>237</v>
      </c>
      <c r="P14" s="4"/>
      <c r="Q14" s="2" t="s">
        <v>251</v>
      </c>
      <c r="R14" s="3">
        <v>0.33</v>
      </c>
      <c r="S14" s="3">
        <v>0.39</v>
      </c>
      <c r="T14" s="3">
        <v>0.56999999999999995</v>
      </c>
      <c r="U14" s="4" t="s">
        <v>667</v>
      </c>
      <c r="V14" s="2" t="str">
        <f t="shared" si="0"/>
        <v>SG-13</v>
      </c>
      <c r="W14" s="3">
        <f t="shared" si="0"/>
        <v>1</v>
      </c>
      <c r="X14" s="3">
        <f t="shared" si="0"/>
        <v>71</v>
      </c>
      <c r="Y14" s="3">
        <f t="shared" si="0"/>
        <v>52</v>
      </c>
      <c r="Z14" s="3" t="str">
        <f t="shared" si="0"/>
        <v>ESG 8 / 16 / ESG 6</v>
      </c>
      <c r="AA14" s="4"/>
      <c r="AB14" s="539"/>
      <c r="AC14" s="209"/>
      <c r="AD14" s="209"/>
      <c r="AE14" s="209"/>
      <c r="AF14" s="33"/>
    </row>
    <row r="15" spans="1:32" x14ac:dyDescent="0.2">
      <c r="A15" s="31" t="s">
        <v>226</v>
      </c>
      <c r="B15" s="86" t="s">
        <v>197</v>
      </c>
      <c r="C15" s="35"/>
      <c r="D15" s="2" t="s">
        <v>16</v>
      </c>
      <c r="E15" s="3" t="s">
        <v>16</v>
      </c>
      <c r="F15" s="3" t="s">
        <v>16</v>
      </c>
      <c r="G15" s="4" t="s">
        <v>16</v>
      </c>
      <c r="H15" s="31" t="str">
        <f t="shared" si="1"/>
        <v>Standard</v>
      </c>
      <c r="I15" s="41" t="b">
        <v>0</v>
      </c>
      <c r="K15" s="2" t="s">
        <v>250</v>
      </c>
      <c r="L15" s="3">
        <v>1.1000000000000001</v>
      </c>
      <c r="M15" s="3">
        <v>70</v>
      </c>
      <c r="N15" s="3">
        <v>50</v>
      </c>
      <c r="O15" s="3" t="s">
        <v>239</v>
      </c>
      <c r="P15" s="4"/>
      <c r="Q15" s="2" t="s">
        <v>252</v>
      </c>
      <c r="R15" s="3">
        <v>0.33</v>
      </c>
      <c r="S15" s="3">
        <v>0.39</v>
      </c>
      <c r="T15" s="3">
        <v>0.56999999999999995</v>
      </c>
      <c r="U15" s="4" t="s">
        <v>668</v>
      </c>
      <c r="V15" s="2" t="str">
        <f t="shared" si="0"/>
        <v>SG-14</v>
      </c>
      <c r="W15" s="3">
        <f t="shared" si="0"/>
        <v>1.1000000000000001</v>
      </c>
      <c r="X15" s="3">
        <f t="shared" si="0"/>
        <v>70</v>
      </c>
      <c r="Y15" s="3">
        <f t="shared" si="0"/>
        <v>50</v>
      </c>
      <c r="Z15" s="3" t="str">
        <f t="shared" si="0"/>
        <v>ESG 10 / 14 / ESG 6</v>
      </c>
      <c r="AA15" s="4"/>
      <c r="AB15" s="539"/>
      <c r="AC15" s="209"/>
      <c r="AD15" s="209"/>
      <c r="AE15" s="209"/>
      <c r="AF15" s="33"/>
    </row>
    <row r="16" spans="1:32" x14ac:dyDescent="0.2">
      <c r="A16" s="31" t="s">
        <v>227</v>
      </c>
      <c r="B16" s="87" t="s">
        <v>198</v>
      </c>
      <c r="C16" s="36">
        <f>IF(AND($I$20=TRUE,OR('Pos. 1'!$F$10='Sprachen &amp; Rückgabewerte'!$B$10,'Pos. 1'!$F$10='Sprachen &amp; Rückgabewerte'!$B$11)),1,0)</f>
        <v>0</v>
      </c>
      <c r="D16" s="2" t="s">
        <v>17</v>
      </c>
      <c r="E16" s="3" t="s">
        <v>18</v>
      </c>
      <c r="F16" s="3" t="s">
        <v>19</v>
      </c>
      <c r="G16" s="4" t="s">
        <v>355</v>
      </c>
      <c r="H16" s="31" t="str">
        <f t="shared" si="1"/>
        <v>Einbruchschutz RC2</v>
      </c>
      <c r="I16" s="41" t="b">
        <v>0</v>
      </c>
      <c r="K16" s="2" t="s">
        <v>251</v>
      </c>
      <c r="L16" s="3">
        <v>1</v>
      </c>
      <c r="M16" s="3">
        <v>70</v>
      </c>
      <c r="N16" s="316" t="s">
        <v>803</v>
      </c>
      <c r="O16" s="3" t="s">
        <v>241</v>
      </c>
      <c r="P16" s="4"/>
      <c r="Q16" s="2">
        <v>0</v>
      </c>
      <c r="R16" s="3">
        <v>0</v>
      </c>
      <c r="S16" s="3">
        <v>0</v>
      </c>
      <c r="T16" s="3">
        <v>0</v>
      </c>
      <c r="U16" s="4" t="str">
        <f t="shared" ref="U16:U23" si="2">$H$54</f>
        <v>Glastyp wählen</v>
      </c>
      <c r="V16" s="2" t="str">
        <f t="shared" si="0"/>
        <v>SG-15</v>
      </c>
      <c r="W16" s="3">
        <f t="shared" si="0"/>
        <v>1</v>
      </c>
      <c r="X16" s="3">
        <f t="shared" si="0"/>
        <v>70</v>
      </c>
      <c r="Y16" s="3" t="str">
        <f t="shared" si="0"/>
        <v>48/51</v>
      </c>
      <c r="Z16" s="3" t="str">
        <f t="shared" si="0"/>
        <v>V-F 8-2 / 14 / ESG 6</v>
      </c>
      <c r="AA16" s="4"/>
      <c r="AB16" s="539"/>
      <c r="AC16" s="209"/>
      <c r="AD16" s="209"/>
      <c r="AE16" s="209"/>
      <c r="AF16" s="33"/>
    </row>
    <row r="17" spans="1:32" x14ac:dyDescent="0.2">
      <c r="A17" s="31" t="s">
        <v>228</v>
      </c>
      <c r="B17" s="42" t="s">
        <v>199</v>
      </c>
      <c r="C17" s="37">
        <f>IF(AND($I$20=TRUE,OR('Pos. 1'!$J$10='Sprachen &amp; Rückgabewerte'!$B$10,'Pos. 1'!$J$10='Sprachen &amp; Rückgabewerte'!$B$11)),1,0)</f>
        <v>0</v>
      </c>
      <c r="D17" s="2" t="s">
        <v>346</v>
      </c>
      <c r="E17" s="3" t="s">
        <v>20</v>
      </c>
      <c r="F17" s="3" t="s">
        <v>21</v>
      </c>
      <c r="G17" s="4" t="s">
        <v>125</v>
      </c>
      <c r="H17" s="31" t="str">
        <f t="shared" si="1"/>
        <v>Positionsüberwachung (P)</v>
      </c>
      <c r="I17" s="41" t="b">
        <v>0</v>
      </c>
      <c r="K17" s="2" t="s">
        <v>252</v>
      </c>
      <c r="L17" s="3">
        <v>1</v>
      </c>
      <c r="M17" s="3">
        <v>70</v>
      </c>
      <c r="N17" s="316" t="s">
        <v>802</v>
      </c>
      <c r="O17" s="3" t="s">
        <v>243</v>
      </c>
      <c r="P17" s="4"/>
      <c r="Q17" s="2" t="s">
        <v>253</v>
      </c>
      <c r="R17" s="3">
        <v>0.34</v>
      </c>
      <c r="S17" s="3">
        <v>0.26</v>
      </c>
      <c r="T17" s="3">
        <v>0.53</v>
      </c>
      <c r="U17" s="4" t="s">
        <v>669</v>
      </c>
      <c r="V17" s="2" t="str">
        <f t="shared" si="0"/>
        <v>SG-16</v>
      </c>
      <c r="W17" s="3">
        <f t="shared" si="0"/>
        <v>1</v>
      </c>
      <c r="X17" s="3">
        <f t="shared" si="0"/>
        <v>70</v>
      </c>
      <c r="Y17" s="3" t="str">
        <f t="shared" si="0"/>
        <v>48/50</v>
      </c>
      <c r="Z17" s="3" t="str">
        <f t="shared" si="0"/>
        <v>V-F 8-2 / 14 / ESG 8</v>
      </c>
      <c r="AA17" s="4"/>
      <c r="AB17" s="539"/>
      <c r="AC17" s="209"/>
      <c r="AD17" s="209"/>
      <c r="AE17" s="209"/>
      <c r="AF17" s="33"/>
    </row>
    <row r="18" spans="1:32" x14ac:dyDescent="0.2">
      <c r="A18" s="31" t="s">
        <v>229</v>
      </c>
      <c r="B18" s="42" t="s">
        <v>200</v>
      </c>
      <c r="C18" s="37">
        <f>IF(AND($I$20=TRUE,OR('Pos. 1'!$N$10='Sprachen &amp; Rückgabewerte'!$B$10,'Pos. 1'!$N$10='Sprachen &amp; Rückgabewerte'!$B$11)),1,0)</f>
        <v>0</v>
      </c>
      <c r="D18" s="2" t="s">
        <v>347</v>
      </c>
      <c r="E18" s="3" t="s">
        <v>22</v>
      </c>
      <c r="F18" s="3" t="s">
        <v>348</v>
      </c>
      <c r="G18" s="4" t="s">
        <v>126</v>
      </c>
      <c r="H18" s="31" t="str">
        <f t="shared" si="1"/>
        <v xml:space="preserve">Riegelüberwachung (R) </v>
      </c>
      <c r="I18" s="41" t="b">
        <v>0</v>
      </c>
      <c r="K18" s="2">
        <v>0</v>
      </c>
      <c r="L18" s="3">
        <v>0</v>
      </c>
      <c r="M18" s="3">
        <v>0</v>
      </c>
      <c r="N18" s="3"/>
      <c r="O18" s="3" t="str">
        <f>$H$54</f>
        <v>Glastyp wählen</v>
      </c>
      <c r="P18" s="4"/>
      <c r="Q18" s="2" t="s">
        <v>254</v>
      </c>
      <c r="R18" s="3">
        <v>0.33</v>
      </c>
      <c r="S18" s="3">
        <v>0.26</v>
      </c>
      <c r="T18" s="3">
        <v>0.52</v>
      </c>
      <c r="U18" s="4" t="s">
        <v>670</v>
      </c>
      <c r="V18" s="2">
        <f t="shared" si="0"/>
        <v>0</v>
      </c>
      <c r="W18" s="3">
        <f t="shared" si="0"/>
        <v>0</v>
      </c>
      <c r="X18" s="3">
        <f t="shared" si="0"/>
        <v>0</v>
      </c>
      <c r="Y18" s="3">
        <f t="shared" si="0"/>
        <v>0</v>
      </c>
      <c r="Z18" s="3" t="str">
        <f t="shared" si="0"/>
        <v>Glastyp wählen</v>
      </c>
      <c r="AA18" s="4"/>
      <c r="AB18" s="539"/>
      <c r="AC18" s="209"/>
      <c r="AD18" s="209"/>
      <c r="AE18" s="209"/>
      <c r="AF18" s="33"/>
    </row>
    <row r="19" spans="1:32" x14ac:dyDescent="0.2">
      <c r="A19" s="31"/>
      <c r="B19" s="42" t="s">
        <v>201</v>
      </c>
      <c r="C19" s="37">
        <f>IF(AND($I$20=TRUE,OR('Pos. 1'!$R$10='Sprachen &amp; Rückgabewerte'!$B$10,'Pos. 1'!$R$10='Sprachen &amp; Rückgabewerte'!$B$11)),1,0)</f>
        <v>0</v>
      </c>
      <c r="D19" s="2" t="s">
        <v>349</v>
      </c>
      <c r="E19" s="3" t="s">
        <v>23</v>
      </c>
      <c r="F19" s="3" t="s">
        <v>24</v>
      </c>
      <c r="G19" s="4" t="s">
        <v>124</v>
      </c>
      <c r="H19" s="31" t="str">
        <f t="shared" si="1"/>
        <v>Glasbruchüberwachung (G)</v>
      </c>
      <c r="I19" s="41" t="b">
        <v>0</v>
      </c>
      <c r="K19" s="2" t="s">
        <v>253</v>
      </c>
      <c r="L19" s="3">
        <v>1</v>
      </c>
      <c r="M19" s="3">
        <v>61</v>
      </c>
      <c r="N19" s="3">
        <v>28</v>
      </c>
      <c r="O19" s="3" t="s">
        <v>233</v>
      </c>
      <c r="P19" s="4"/>
      <c r="Q19" s="2" t="s">
        <v>255</v>
      </c>
      <c r="R19" s="3">
        <v>0.34</v>
      </c>
      <c r="S19" s="3">
        <v>0.26</v>
      </c>
      <c r="T19" s="3">
        <v>0.52</v>
      </c>
      <c r="U19" s="4" t="s">
        <v>671</v>
      </c>
      <c r="V19" s="2" t="str">
        <f t="shared" si="0"/>
        <v>SG-21</v>
      </c>
      <c r="W19" s="3">
        <f t="shared" si="0"/>
        <v>1</v>
      </c>
      <c r="X19" s="3">
        <f t="shared" si="0"/>
        <v>61</v>
      </c>
      <c r="Y19" s="3">
        <f t="shared" si="0"/>
        <v>28</v>
      </c>
      <c r="Z19" s="3" t="str">
        <f t="shared" si="0"/>
        <v>ESG 6 / 18 / ESG 6</v>
      </c>
      <c r="AA19" s="4"/>
      <c r="AB19" s="33"/>
      <c r="AC19" s="33"/>
      <c r="AD19" s="33"/>
      <c r="AE19" s="33"/>
      <c r="AF19" s="33"/>
    </row>
    <row r="20" spans="1:32" x14ac:dyDescent="0.2">
      <c r="A20" s="31" t="s">
        <v>230</v>
      </c>
      <c r="B20" s="42" t="s">
        <v>202</v>
      </c>
      <c r="C20" s="37">
        <f>IF(AND($I$20=TRUE,OR('Pos. 1'!$V$10='Sprachen &amp; Rückgabewerte'!$B$10,'Pos. 1'!$V$10='Sprachen &amp; Rückgabewerte'!$B$11)),1,0)</f>
        <v>0</v>
      </c>
      <c r="D20" s="2" t="s">
        <v>25</v>
      </c>
      <c r="E20" s="3" t="s">
        <v>195</v>
      </c>
      <c r="F20" s="3" t="s">
        <v>26</v>
      </c>
      <c r="G20" s="4" t="s">
        <v>127</v>
      </c>
      <c r="H20" s="31" t="str">
        <f t="shared" si="1"/>
        <v>Elektrischer Antrieb, Anzahl</v>
      </c>
      <c r="I20" s="41" t="b">
        <v>0</v>
      </c>
      <c r="K20" s="2" t="s">
        <v>254</v>
      </c>
      <c r="L20" s="3">
        <v>1.1000000000000001</v>
      </c>
      <c r="M20" s="3">
        <v>60</v>
      </c>
      <c r="N20" s="3">
        <v>28</v>
      </c>
      <c r="O20" s="3" t="s">
        <v>235</v>
      </c>
      <c r="P20" s="4"/>
      <c r="Q20" s="2" t="s">
        <v>256</v>
      </c>
      <c r="R20" s="3">
        <v>0.33</v>
      </c>
      <c r="S20" s="3">
        <v>0.26</v>
      </c>
      <c r="T20" s="3">
        <v>0.52</v>
      </c>
      <c r="U20" s="4" t="s">
        <v>672</v>
      </c>
      <c r="V20" s="2" t="str">
        <f t="shared" si="0"/>
        <v>SG-22</v>
      </c>
      <c r="W20" s="3">
        <f t="shared" si="0"/>
        <v>1.1000000000000001</v>
      </c>
      <c r="X20" s="3">
        <f t="shared" si="0"/>
        <v>60</v>
      </c>
      <c r="Y20" s="3">
        <f t="shared" si="0"/>
        <v>28</v>
      </c>
      <c r="Z20" s="3" t="str">
        <f t="shared" si="0"/>
        <v>ESG 8 / 14 / ESG 8</v>
      </c>
      <c r="AA20" s="4"/>
      <c r="AB20" s="33"/>
      <c r="AC20" s="33"/>
      <c r="AD20" s="33"/>
      <c r="AE20" s="33"/>
      <c r="AF20" s="33"/>
    </row>
    <row r="21" spans="1:32" x14ac:dyDescent="0.2">
      <c r="A21" s="31" t="s">
        <v>231</v>
      </c>
      <c r="B21" s="42" t="s">
        <v>203</v>
      </c>
      <c r="C21" s="37">
        <f>IF(AND($I$20=TRUE,OR('Pos. 1'!$Z$10='Sprachen &amp; Rückgabewerte'!$B$10,'Pos. 1'!$Z$10='Sprachen &amp; Rückgabewerte'!$B$11)),1,0)</f>
        <v>0</v>
      </c>
      <c r="D21" s="2" t="s">
        <v>27</v>
      </c>
      <c r="E21" s="316" t="s">
        <v>770</v>
      </c>
      <c r="F21" s="3" t="s">
        <v>28</v>
      </c>
      <c r="G21" s="4" t="s">
        <v>128</v>
      </c>
      <c r="H21" s="31" t="str">
        <f t="shared" si="1"/>
        <v>Stk.</v>
      </c>
      <c r="I21" s="41"/>
      <c r="K21" s="2" t="s">
        <v>255</v>
      </c>
      <c r="L21" s="3">
        <v>1</v>
      </c>
      <c r="M21" s="3">
        <v>60</v>
      </c>
      <c r="N21" s="3">
        <v>28</v>
      </c>
      <c r="O21" s="3" t="s">
        <v>237</v>
      </c>
      <c r="P21" s="4"/>
      <c r="Q21" s="2" t="s">
        <v>257</v>
      </c>
      <c r="R21" s="3">
        <v>0.33</v>
      </c>
      <c r="S21" s="3">
        <v>0.26</v>
      </c>
      <c r="T21" s="3">
        <v>0.52</v>
      </c>
      <c r="U21" s="4" t="s">
        <v>673</v>
      </c>
      <c r="V21" s="2" t="str">
        <f t="shared" si="0"/>
        <v>SG-23</v>
      </c>
      <c r="W21" s="3">
        <f t="shared" si="0"/>
        <v>1</v>
      </c>
      <c r="X21" s="3">
        <f t="shared" si="0"/>
        <v>60</v>
      </c>
      <c r="Y21" s="3">
        <f t="shared" si="0"/>
        <v>28</v>
      </c>
      <c r="Z21" s="3" t="str">
        <f t="shared" si="0"/>
        <v>ESG 8 / 16 / ESG 6</v>
      </c>
      <c r="AA21" s="4"/>
      <c r="AB21" s="33"/>
      <c r="AC21" s="33"/>
      <c r="AD21" s="33"/>
      <c r="AE21" s="33"/>
      <c r="AF21" s="33"/>
    </row>
    <row r="22" spans="1:32" x14ac:dyDescent="0.2">
      <c r="A22" s="31"/>
      <c r="B22" s="42" t="s">
        <v>204</v>
      </c>
      <c r="C22" s="37">
        <f>IF(AND($I$20=TRUE,OR('Pos. 1'!$AD$10='Sprachen &amp; Rückgabewerte'!$B$10,'Pos. 1'!$AD$10='Sprachen &amp; Rückgabewerte'!$B$11)),1,0)</f>
        <v>0</v>
      </c>
      <c r="D22" s="2" t="s">
        <v>29</v>
      </c>
      <c r="E22" s="3" t="s">
        <v>345</v>
      </c>
      <c r="F22" s="3" t="s">
        <v>344</v>
      </c>
      <c r="G22" s="4" t="s">
        <v>508</v>
      </c>
      <c r="H22" s="31" t="str">
        <f t="shared" si="1"/>
        <v>geforderte Klassen:</v>
      </c>
      <c r="I22" s="41" t="b">
        <v>0</v>
      </c>
      <c r="K22" s="2" t="s">
        <v>256</v>
      </c>
      <c r="L22" s="3">
        <v>1.1000000000000001</v>
      </c>
      <c r="M22" s="3">
        <v>60</v>
      </c>
      <c r="N22" s="3">
        <v>28</v>
      </c>
      <c r="O22" s="3" t="s">
        <v>239</v>
      </c>
      <c r="P22" s="4"/>
      <c r="Q22" s="2" t="s">
        <v>258</v>
      </c>
      <c r="R22" s="3">
        <v>0.33</v>
      </c>
      <c r="S22" s="3">
        <v>0.26</v>
      </c>
      <c r="T22" s="3">
        <v>0.51</v>
      </c>
      <c r="U22" s="4" t="s">
        <v>674</v>
      </c>
      <c r="V22" s="2" t="str">
        <f t="shared" si="0"/>
        <v>SG-24</v>
      </c>
      <c r="W22" s="3">
        <f t="shared" si="0"/>
        <v>1.1000000000000001</v>
      </c>
      <c r="X22" s="3">
        <f t="shared" si="0"/>
        <v>60</v>
      </c>
      <c r="Y22" s="3">
        <f t="shared" si="0"/>
        <v>28</v>
      </c>
      <c r="Z22" s="3" t="str">
        <f t="shared" si="0"/>
        <v>ESG 10 / 14 / ESG 6</v>
      </c>
      <c r="AA22" s="4"/>
      <c r="AB22" s="33"/>
      <c r="AC22" s="33"/>
      <c r="AD22" s="33"/>
      <c r="AE22" s="33"/>
      <c r="AF22" s="33"/>
    </row>
    <row r="23" spans="1:32" x14ac:dyDescent="0.2">
      <c r="A23" s="55">
        <v>1</v>
      </c>
      <c r="B23" s="42" t="s">
        <v>205</v>
      </c>
      <c r="C23" s="37">
        <f>IF(AND($I$20=TRUE,OR('Pos. 1'!$AH$10='Sprachen &amp; Rückgabewerte'!$B$10,'Pos. 1'!$AH$10='Sprachen &amp; Rückgabewerte'!$B$11)),1,0)</f>
        <v>0</v>
      </c>
      <c r="D23" s="6" t="s">
        <v>119</v>
      </c>
      <c r="E23" s="7" t="s">
        <v>121</v>
      </c>
      <c r="F23" s="7" t="s">
        <v>122</v>
      </c>
      <c r="G23" s="8" t="s">
        <v>356</v>
      </c>
      <c r="H23" s="31" t="str">
        <f t="shared" si="1"/>
        <v>(Schlagregen, Luftdurchlässigkeit)</v>
      </c>
      <c r="I23" s="41"/>
      <c r="K23" s="2" t="s">
        <v>257</v>
      </c>
      <c r="L23" s="3">
        <v>1</v>
      </c>
      <c r="M23" s="3">
        <v>61</v>
      </c>
      <c r="N23" s="3">
        <v>28</v>
      </c>
      <c r="O23" s="3" t="s">
        <v>245</v>
      </c>
      <c r="P23" s="4"/>
      <c r="Q23" s="2">
        <v>0</v>
      </c>
      <c r="R23" s="3">
        <v>0</v>
      </c>
      <c r="S23" s="3">
        <v>0</v>
      </c>
      <c r="T23" s="3">
        <v>0</v>
      </c>
      <c r="U23" s="4" t="str">
        <f t="shared" si="2"/>
        <v>Glastyp wählen</v>
      </c>
      <c r="V23" s="2" t="str">
        <f t="shared" si="0"/>
        <v>SG-25</v>
      </c>
      <c r="W23" s="3">
        <f t="shared" si="0"/>
        <v>1</v>
      </c>
      <c r="X23" s="3">
        <f t="shared" si="0"/>
        <v>61</v>
      </c>
      <c r="Y23" s="3">
        <f t="shared" si="0"/>
        <v>28</v>
      </c>
      <c r="Z23" s="3" t="str">
        <f t="shared" si="0"/>
        <v>ESG 6 / 14 / V-WG 8-2</v>
      </c>
      <c r="AA23" s="4"/>
      <c r="AB23" s="33"/>
      <c r="AC23" s="33"/>
      <c r="AD23" s="33"/>
      <c r="AE23" s="33"/>
      <c r="AF23" s="33"/>
    </row>
    <row r="24" spans="1:32" ht="13.5" thickBot="1" x14ac:dyDescent="0.25">
      <c r="A24" s="56">
        <v>2</v>
      </c>
      <c r="B24" s="42" t="s">
        <v>206</v>
      </c>
      <c r="C24" s="37">
        <f>IF(AND($I$20=TRUE,OR('Pos. 1'!$AL$10='Sprachen &amp; Rückgabewerte'!$B$10,'Pos. 1'!$AL$10='Sprachen &amp; Rückgabewerte'!$B$11)),1,0)</f>
        <v>0</v>
      </c>
      <c r="D24" s="2" t="s">
        <v>111</v>
      </c>
      <c r="E24" s="3" t="s">
        <v>112</v>
      </c>
      <c r="F24" s="3" t="s">
        <v>113</v>
      </c>
      <c r="G24" s="4" t="s">
        <v>114</v>
      </c>
      <c r="H24" s="31" t="str">
        <f t="shared" si="1"/>
        <v>Speziell:</v>
      </c>
      <c r="I24" s="41"/>
      <c r="K24" s="2" t="s">
        <v>258</v>
      </c>
      <c r="L24" s="3">
        <v>1</v>
      </c>
      <c r="M24" s="3">
        <v>60</v>
      </c>
      <c r="N24" s="3">
        <v>28</v>
      </c>
      <c r="O24" s="3" t="s">
        <v>259</v>
      </c>
      <c r="P24" s="4"/>
      <c r="Q24" s="2" t="s">
        <v>675</v>
      </c>
      <c r="R24" s="3">
        <v>0.34</v>
      </c>
      <c r="S24" s="3">
        <v>0.22</v>
      </c>
      <c r="T24" s="3">
        <v>0.43</v>
      </c>
      <c r="U24" s="4" t="s">
        <v>676</v>
      </c>
      <c r="V24" s="2" t="str">
        <f t="shared" si="0"/>
        <v>SG-26</v>
      </c>
      <c r="W24" s="3">
        <f t="shared" si="0"/>
        <v>1</v>
      </c>
      <c r="X24" s="3">
        <f t="shared" si="0"/>
        <v>60</v>
      </c>
      <c r="Y24" s="3">
        <f t="shared" si="0"/>
        <v>28</v>
      </c>
      <c r="Z24" s="3" t="str">
        <f t="shared" si="0"/>
        <v>ESG 8 / 12 / V-WG 8-2</v>
      </c>
      <c r="AA24" s="4"/>
      <c r="AB24" s="33"/>
      <c r="AC24" s="33"/>
      <c r="AD24" s="33"/>
      <c r="AE24" s="33"/>
      <c r="AF24" s="33"/>
    </row>
    <row r="25" spans="1:32" ht="13.5" thickBot="1" x14ac:dyDescent="0.25">
      <c r="B25" s="32" t="s">
        <v>207</v>
      </c>
      <c r="C25" s="38">
        <f>IF(AND($I$20=TRUE,OR('Pos. 1'!$AP$10='Sprachen &amp; Rückgabewerte'!$B$10,'Pos. 1'!$AP$10='Sprachen &amp; Rückgabewerte'!$B$11)),1,0)</f>
        <v>0</v>
      </c>
      <c r="D25" s="2" t="s">
        <v>30</v>
      </c>
      <c r="E25" s="3" t="s">
        <v>30</v>
      </c>
      <c r="F25" s="3" t="s">
        <v>30</v>
      </c>
      <c r="G25" s="4" t="s">
        <v>30</v>
      </c>
      <c r="H25" s="31" t="str">
        <f t="shared" si="1"/>
        <v>Pool</v>
      </c>
      <c r="I25" s="41" t="b">
        <v>0</v>
      </c>
      <c r="K25" s="2" t="s">
        <v>260</v>
      </c>
      <c r="L25" s="3">
        <v>1</v>
      </c>
      <c r="M25" s="3">
        <v>59</v>
      </c>
      <c r="N25" s="3">
        <v>27</v>
      </c>
      <c r="O25" s="3" t="s">
        <v>261</v>
      </c>
      <c r="P25" s="4"/>
      <c r="Q25" s="2" t="s">
        <v>677</v>
      </c>
      <c r="R25" s="3">
        <v>0.33</v>
      </c>
      <c r="S25" s="3">
        <v>0.22</v>
      </c>
      <c r="T25" s="3">
        <v>0.42</v>
      </c>
      <c r="U25" s="4" t="s">
        <v>678</v>
      </c>
      <c r="V25" s="234" t="str">
        <f t="shared" si="0"/>
        <v>SG-27</v>
      </c>
      <c r="W25" s="235">
        <f t="shared" si="0"/>
        <v>1</v>
      </c>
      <c r="X25" s="235">
        <f t="shared" si="0"/>
        <v>59</v>
      </c>
      <c r="Y25" s="235">
        <f t="shared" si="0"/>
        <v>27</v>
      </c>
      <c r="Z25" s="235" t="str">
        <f t="shared" si="0"/>
        <v>V-F 10-2 / 12 / ESG 6</v>
      </c>
      <c r="AA25" s="236"/>
      <c r="AB25" s="33"/>
      <c r="AC25" s="33"/>
      <c r="AD25" s="33"/>
      <c r="AE25" s="33"/>
      <c r="AF25" s="33"/>
    </row>
    <row r="26" spans="1:32" ht="13.5" thickBot="1" x14ac:dyDescent="0.25">
      <c r="D26" s="2" t="s">
        <v>115</v>
      </c>
      <c r="E26" s="3" t="s">
        <v>120</v>
      </c>
      <c r="F26" s="3" t="s">
        <v>123</v>
      </c>
      <c r="G26" s="4" t="s">
        <v>357</v>
      </c>
      <c r="H26" s="31" t="str">
        <f t="shared" si="1"/>
        <v>Schallschutz</v>
      </c>
      <c r="I26" s="41"/>
      <c r="K26" s="2">
        <v>0</v>
      </c>
      <c r="L26" s="3">
        <v>0</v>
      </c>
      <c r="M26" s="3">
        <v>0</v>
      </c>
      <c r="N26" s="3">
        <v>0</v>
      </c>
      <c r="O26" s="3" t="str">
        <f t="shared" ref="O26:O35" si="3">$H$54</f>
        <v>Glastyp wählen</v>
      </c>
      <c r="P26" s="4"/>
      <c r="Q26" s="230" t="s">
        <v>679</v>
      </c>
      <c r="R26" s="231">
        <v>0.34</v>
      </c>
      <c r="S26" s="231">
        <v>0.22</v>
      </c>
      <c r="T26" s="231">
        <v>0.43</v>
      </c>
      <c r="U26" s="4" t="s">
        <v>680</v>
      </c>
      <c r="V26" s="2">
        <f t="shared" ref="V26:V35" si="4">IF($I$125=TRUE,Q26,K26)</f>
        <v>0</v>
      </c>
      <c r="W26" s="3">
        <f t="shared" ref="W26:W35" si="5">IF($I$125=TRUE,R26,L26)</f>
        <v>0</v>
      </c>
      <c r="X26" s="3">
        <f t="shared" ref="X26:X35" si="6">IF($I$125=TRUE,S26,M26)</f>
        <v>0</v>
      </c>
      <c r="Y26" s="3">
        <f t="shared" ref="Y26:Y35" si="7">IF($I$125=TRUE,T26,N26)</f>
        <v>0</v>
      </c>
      <c r="Z26" s="3" t="str">
        <f t="shared" ref="Z26:Z35" si="8">IF($I$125=TRUE,U26,O26)</f>
        <v>Glastyp wählen</v>
      </c>
      <c r="AA26" s="4"/>
      <c r="AB26" s="33"/>
      <c r="AC26" s="33"/>
      <c r="AD26" s="33"/>
      <c r="AE26" s="33"/>
      <c r="AF26" s="33"/>
    </row>
    <row r="27" spans="1:32" x14ac:dyDescent="0.2">
      <c r="A27" s="57" t="s">
        <v>865</v>
      </c>
      <c r="B27" s="34" t="s">
        <v>208</v>
      </c>
      <c r="C27" s="39"/>
      <c r="D27" s="2" t="s">
        <v>116</v>
      </c>
      <c r="E27" s="3" t="s">
        <v>116</v>
      </c>
      <c r="F27" s="3" t="s">
        <v>116</v>
      </c>
      <c r="G27" s="4" t="s">
        <v>116</v>
      </c>
      <c r="H27" s="31" t="str">
        <f t="shared" si="1"/>
        <v>MINERGIE Modul</v>
      </c>
      <c r="I27" s="41"/>
      <c r="K27" s="2">
        <v>0</v>
      </c>
      <c r="L27" s="3">
        <v>0</v>
      </c>
      <c r="M27" s="3">
        <v>0</v>
      </c>
      <c r="N27" s="3">
        <v>0</v>
      </c>
      <c r="O27" s="3" t="str">
        <f t="shared" si="3"/>
        <v>Glastyp wählen</v>
      </c>
      <c r="P27" s="4"/>
      <c r="Q27" s="230" t="s">
        <v>681</v>
      </c>
      <c r="R27" s="231">
        <v>0.33</v>
      </c>
      <c r="S27" s="231">
        <v>0.22</v>
      </c>
      <c r="T27" s="231">
        <v>0.42</v>
      </c>
      <c r="U27" s="4" t="s">
        <v>682</v>
      </c>
      <c r="V27" s="2">
        <f t="shared" si="4"/>
        <v>0</v>
      </c>
      <c r="W27" s="3">
        <f t="shared" si="5"/>
        <v>0</v>
      </c>
      <c r="X27" s="3">
        <f t="shared" si="6"/>
        <v>0</v>
      </c>
      <c r="Y27" s="3">
        <f t="shared" si="7"/>
        <v>0</v>
      </c>
      <c r="Z27" s="3" t="str">
        <f t="shared" si="8"/>
        <v>Glastyp wählen</v>
      </c>
      <c r="AA27" s="4"/>
      <c r="AB27" s="33"/>
      <c r="AC27" s="33"/>
      <c r="AD27" s="33"/>
      <c r="AE27" s="33"/>
      <c r="AF27" s="33"/>
    </row>
    <row r="28" spans="1:32" x14ac:dyDescent="0.2">
      <c r="A28" s="362"/>
      <c r="B28" s="23" t="s">
        <v>209</v>
      </c>
      <c r="C28" s="40" t="str">
        <f>IF($I$17=TRUE,"P","")</f>
        <v/>
      </c>
      <c r="D28" s="2" t="s">
        <v>117</v>
      </c>
      <c r="E28" s="3" t="s">
        <v>117</v>
      </c>
      <c r="F28" s="3" t="s">
        <v>117</v>
      </c>
      <c r="G28" s="4" t="s">
        <v>117</v>
      </c>
      <c r="H28" s="31" t="str">
        <f t="shared" si="1"/>
        <v>MINERGIE-P Modul</v>
      </c>
      <c r="I28" s="41"/>
      <c r="K28" s="2">
        <v>0</v>
      </c>
      <c r="L28" s="3">
        <v>0</v>
      </c>
      <c r="M28" s="3">
        <v>0</v>
      </c>
      <c r="N28" s="3">
        <v>0</v>
      </c>
      <c r="O28" s="3" t="str">
        <f t="shared" si="3"/>
        <v>Glastyp wählen</v>
      </c>
      <c r="P28" s="4"/>
      <c r="Q28" s="230" t="s">
        <v>683</v>
      </c>
      <c r="R28" s="231">
        <v>0.33</v>
      </c>
      <c r="S28" s="231">
        <v>0.22</v>
      </c>
      <c r="T28" s="231">
        <v>0.42</v>
      </c>
      <c r="U28" s="4" t="s">
        <v>684</v>
      </c>
      <c r="V28" s="2">
        <f t="shared" si="4"/>
        <v>0</v>
      </c>
      <c r="W28" s="3">
        <f t="shared" si="5"/>
        <v>0</v>
      </c>
      <c r="X28" s="3">
        <f t="shared" si="6"/>
        <v>0</v>
      </c>
      <c r="Y28" s="3">
        <f t="shared" si="7"/>
        <v>0</v>
      </c>
      <c r="Z28" s="3" t="str">
        <f t="shared" si="8"/>
        <v>Glastyp wählen</v>
      </c>
      <c r="AA28" s="4"/>
      <c r="AB28" s="33"/>
      <c r="AC28" s="33"/>
      <c r="AD28" s="33"/>
      <c r="AE28" s="33"/>
      <c r="AF28" s="33"/>
    </row>
    <row r="29" spans="1:32" x14ac:dyDescent="0.2">
      <c r="A29" s="363" t="s">
        <v>866</v>
      </c>
      <c r="B29" s="2" t="s">
        <v>210</v>
      </c>
      <c r="C29" s="37" t="str">
        <f>IF($I$18=TRUE,"R","")</f>
        <v/>
      </c>
      <c r="D29" s="2" t="s">
        <v>118</v>
      </c>
      <c r="E29" s="3" t="s">
        <v>118</v>
      </c>
      <c r="F29" s="3" t="s">
        <v>118</v>
      </c>
      <c r="G29" s="4" t="s">
        <v>118</v>
      </c>
      <c r="H29" s="31" t="str">
        <f t="shared" si="1"/>
        <v>Gun</v>
      </c>
      <c r="I29" s="41"/>
      <c r="K29" s="2">
        <v>0</v>
      </c>
      <c r="L29" s="3">
        <v>0</v>
      </c>
      <c r="M29" s="3">
        <v>0</v>
      </c>
      <c r="N29" s="3">
        <v>0</v>
      </c>
      <c r="O29" s="3" t="str">
        <f t="shared" si="3"/>
        <v>Glastyp wählen</v>
      </c>
      <c r="P29" s="4"/>
      <c r="Q29" s="230" t="s">
        <v>685</v>
      </c>
      <c r="R29" s="231">
        <v>0.33</v>
      </c>
      <c r="S29" s="231">
        <v>0.22</v>
      </c>
      <c r="T29" s="231">
        <v>0.42</v>
      </c>
      <c r="U29" s="4" t="s">
        <v>686</v>
      </c>
      <c r="V29" s="2">
        <f t="shared" si="4"/>
        <v>0</v>
      </c>
      <c r="W29" s="3">
        <f t="shared" si="5"/>
        <v>0</v>
      </c>
      <c r="X29" s="3">
        <f t="shared" si="6"/>
        <v>0</v>
      </c>
      <c r="Y29" s="3">
        <f t="shared" si="7"/>
        <v>0</v>
      </c>
      <c r="Z29" s="3" t="str">
        <f t="shared" si="8"/>
        <v>Glastyp wählen</v>
      </c>
      <c r="AA29" s="4"/>
      <c r="AB29" s="33"/>
      <c r="AC29" s="33"/>
      <c r="AD29" s="33"/>
      <c r="AE29" s="33"/>
      <c r="AF29" s="33"/>
    </row>
    <row r="30" spans="1:32" ht="13.5" thickBot="1" x14ac:dyDescent="0.25">
      <c r="A30" s="364" t="s">
        <v>867</v>
      </c>
      <c r="B30" s="32" t="s">
        <v>211</v>
      </c>
      <c r="C30" s="38" t="str">
        <f>IF($I$19=TRUE,"G","")</f>
        <v/>
      </c>
      <c r="D30" s="2" t="s">
        <v>31</v>
      </c>
      <c r="E30" s="3" t="s">
        <v>32</v>
      </c>
      <c r="F30" s="3" t="s">
        <v>33</v>
      </c>
      <c r="G30" s="4" t="s">
        <v>701</v>
      </c>
      <c r="H30" s="31" t="str">
        <f t="shared" si="1"/>
        <v>nach rechts</v>
      </c>
      <c r="I30" s="41" t="b">
        <v>0</v>
      </c>
      <c r="K30" s="2">
        <v>0</v>
      </c>
      <c r="L30" s="3">
        <v>0</v>
      </c>
      <c r="M30" s="3">
        <v>0</v>
      </c>
      <c r="N30" s="3">
        <v>0</v>
      </c>
      <c r="O30" s="3" t="str">
        <f t="shared" si="3"/>
        <v>Glastyp wählen</v>
      </c>
      <c r="P30" s="4"/>
      <c r="Q30" s="2">
        <v>0</v>
      </c>
      <c r="R30" s="3">
        <v>0</v>
      </c>
      <c r="S30" s="3">
        <v>0</v>
      </c>
      <c r="T30" s="3">
        <v>0</v>
      </c>
      <c r="U30" s="4" t="str">
        <f t="shared" ref="U30" si="9">$H$54</f>
        <v>Glastyp wählen</v>
      </c>
      <c r="V30" s="2">
        <f t="shared" si="4"/>
        <v>0</v>
      </c>
      <c r="W30" s="3">
        <f t="shared" si="5"/>
        <v>0</v>
      </c>
      <c r="X30" s="3">
        <f t="shared" si="6"/>
        <v>0</v>
      </c>
      <c r="Y30" s="3">
        <f t="shared" si="7"/>
        <v>0</v>
      </c>
      <c r="Z30" s="3" t="str">
        <f t="shared" si="8"/>
        <v>Glastyp wählen</v>
      </c>
      <c r="AA30" s="4"/>
      <c r="AB30" s="33"/>
      <c r="AC30" s="33"/>
      <c r="AD30" s="33"/>
      <c r="AE30" s="33"/>
      <c r="AF30" s="33"/>
    </row>
    <row r="31" spans="1:32" ht="13.5" thickBot="1" x14ac:dyDescent="0.25">
      <c r="B31" s="33"/>
      <c r="C31" s="44"/>
      <c r="D31" s="42" t="s">
        <v>34</v>
      </c>
      <c r="E31" s="3" t="s">
        <v>35</v>
      </c>
      <c r="F31" s="3" t="s">
        <v>36</v>
      </c>
      <c r="G31" s="4" t="s">
        <v>702</v>
      </c>
      <c r="H31" s="31" t="str">
        <f t="shared" si="1"/>
        <v>nach links</v>
      </c>
      <c r="I31" s="41" t="b">
        <v>0</v>
      </c>
      <c r="K31" s="2">
        <v>0</v>
      </c>
      <c r="L31" s="3">
        <v>0</v>
      </c>
      <c r="M31" s="3">
        <v>0</v>
      </c>
      <c r="N31" s="3">
        <v>0</v>
      </c>
      <c r="O31" s="3" t="str">
        <f t="shared" si="3"/>
        <v>Glastyp wählen</v>
      </c>
      <c r="P31" s="4"/>
      <c r="Q31" s="230" t="s">
        <v>687</v>
      </c>
      <c r="R31" s="231">
        <v>0.33</v>
      </c>
      <c r="S31" s="231">
        <v>0.46</v>
      </c>
      <c r="T31" s="231">
        <v>0.66</v>
      </c>
      <c r="U31" s="4" t="s">
        <v>691</v>
      </c>
      <c r="V31" s="2">
        <f t="shared" si="4"/>
        <v>0</v>
      </c>
      <c r="W31" s="3">
        <f t="shared" si="5"/>
        <v>0</v>
      </c>
      <c r="X31" s="3">
        <f t="shared" si="6"/>
        <v>0</v>
      </c>
      <c r="Y31" s="3">
        <f t="shared" si="7"/>
        <v>0</v>
      </c>
      <c r="Z31" s="3" t="str">
        <f t="shared" si="8"/>
        <v>Glastyp wählen</v>
      </c>
      <c r="AA31" s="4"/>
      <c r="AB31" s="33"/>
      <c r="AC31" s="33"/>
      <c r="AD31" s="33"/>
      <c r="AE31" s="33"/>
      <c r="AF31" s="33"/>
    </row>
    <row r="32" spans="1:32" x14ac:dyDescent="0.2">
      <c r="B32" s="34" t="s">
        <v>217</v>
      </c>
      <c r="C32" s="34"/>
      <c r="D32" s="42" t="s">
        <v>37</v>
      </c>
      <c r="E32" s="3" t="s">
        <v>38</v>
      </c>
      <c r="F32" s="3" t="s">
        <v>39</v>
      </c>
      <c r="G32" s="4" t="s">
        <v>129</v>
      </c>
      <c r="H32" s="31" t="str">
        <f t="shared" si="1"/>
        <v>Breite =</v>
      </c>
      <c r="I32" s="41"/>
      <c r="K32" s="2">
        <v>0</v>
      </c>
      <c r="L32" s="3">
        <v>0</v>
      </c>
      <c r="M32" s="3">
        <v>0</v>
      </c>
      <c r="N32" s="3">
        <v>0</v>
      </c>
      <c r="O32" s="3" t="str">
        <f t="shared" si="3"/>
        <v>Glastyp wählen</v>
      </c>
      <c r="P32" s="4"/>
      <c r="Q32" s="230" t="s">
        <v>688</v>
      </c>
      <c r="R32" s="231">
        <v>0.32</v>
      </c>
      <c r="S32" s="231">
        <v>0.39</v>
      </c>
      <c r="T32" s="231">
        <v>0.57999999999999996</v>
      </c>
      <c r="U32" s="4" t="s">
        <v>692</v>
      </c>
      <c r="V32" s="2">
        <f t="shared" si="4"/>
        <v>0</v>
      </c>
      <c r="W32" s="3">
        <f t="shared" si="5"/>
        <v>0</v>
      </c>
      <c r="X32" s="3">
        <f t="shared" si="6"/>
        <v>0</v>
      </c>
      <c r="Y32" s="3">
        <f t="shared" si="7"/>
        <v>0</v>
      </c>
      <c r="Z32" s="3" t="str">
        <f t="shared" si="8"/>
        <v>Glastyp wählen</v>
      </c>
      <c r="AA32" s="4"/>
      <c r="AB32" s="33"/>
      <c r="AC32" s="33"/>
      <c r="AD32" s="33"/>
      <c r="AE32" s="33"/>
      <c r="AF32" s="33"/>
    </row>
    <row r="33" spans="1:32" x14ac:dyDescent="0.2">
      <c r="B33" s="23"/>
      <c r="C33" s="45"/>
      <c r="D33" s="2" t="s">
        <v>132</v>
      </c>
      <c r="E33" s="3" t="s">
        <v>131</v>
      </c>
      <c r="F33" s="3" t="s">
        <v>40</v>
      </c>
      <c r="G33" s="4" t="s">
        <v>130</v>
      </c>
      <c r="H33" s="31" t="str">
        <f t="shared" si="1"/>
        <v>Griffhöhe:</v>
      </c>
      <c r="I33" s="41"/>
      <c r="K33" s="2">
        <v>0</v>
      </c>
      <c r="L33" s="3">
        <v>0</v>
      </c>
      <c r="M33" s="3">
        <v>0</v>
      </c>
      <c r="N33" s="3">
        <v>0</v>
      </c>
      <c r="O33" s="3" t="str">
        <f t="shared" si="3"/>
        <v>Glastyp wählen</v>
      </c>
      <c r="P33" s="4"/>
      <c r="Q33" s="230" t="s">
        <v>689</v>
      </c>
      <c r="R33" s="231">
        <v>0.32</v>
      </c>
      <c r="S33" s="231">
        <v>0.26</v>
      </c>
      <c r="T33" s="231">
        <v>0.52</v>
      </c>
      <c r="U33" s="4" t="s">
        <v>690</v>
      </c>
      <c r="V33" s="2">
        <f t="shared" si="4"/>
        <v>0</v>
      </c>
      <c r="W33" s="3">
        <f t="shared" si="5"/>
        <v>0</v>
      </c>
      <c r="X33" s="3">
        <f t="shared" si="6"/>
        <v>0</v>
      </c>
      <c r="Y33" s="3">
        <f t="shared" si="7"/>
        <v>0</v>
      </c>
      <c r="Z33" s="3" t="str">
        <f t="shared" si="8"/>
        <v>Glastyp wählen</v>
      </c>
      <c r="AA33" s="4"/>
      <c r="AB33" s="33"/>
      <c r="AC33" s="33"/>
      <c r="AD33" s="33"/>
      <c r="AE33" s="33"/>
      <c r="AF33" s="33"/>
    </row>
    <row r="34" spans="1:32" ht="13.5" thickBot="1" x14ac:dyDescent="0.25">
      <c r="B34" s="48" t="s">
        <v>218</v>
      </c>
      <c r="C34" s="47"/>
      <c r="D34" s="2" t="s">
        <v>41</v>
      </c>
      <c r="E34" s="3" t="s">
        <v>42</v>
      </c>
      <c r="F34" s="3" t="s">
        <v>43</v>
      </c>
      <c r="G34" s="4" t="s">
        <v>133</v>
      </c>
      <c r="H34" s="31" t="str">
        <f t="shared" si="1"/>
        <v xml:space="preserve">Höhe = </v>
      </c>
      <c r="I34" s="41"/>
      <c r="K34" s="2">
        <v>0</v>
      </c>
      <c r="L34" s="3">
        <v>0</v>
      </c>
      <c r="M34" s="3">
        <v>0</v>
      </c>
      <c r="N34" s="3">
        <v>0</v>
      </c>
      <c r="O34" s="3" t="str">
        <f t="shared" si="3"/>
        <v>Glastyp wählen</v>
      </c>
      <c r="P34" s="229"/>
      <c r="Q34" s="2">
        <v>0</v>
      </c>
      <c r="R34" s="3">
        <v>0</v>
      </c>
      <c r="S34" s="3">
        <v>0</v>
      </c>
      <c r="T34" s="3">
        <v>0</v>
      </c>
      <c r="U34" s="4" t="str">
        <f t="shared" ref="U34" si="10">$H$54</f>
        <v>Glastyp wählen</v>
      </c>
      <c r="V34" s="2">
        <f t="shared" si="4"/>
        <v>0</v>
      </c>
      <c r="W34" s="3">
        <f t="shared" si="5"/>
        <v>0</v>
      </c>
      <c r="X34" s="3">
        <f t="shared" si="6"/>
        <v>0</v>
      </c>
      <c r="Y34" s="3">
        <f t="shared" si="7"/>
        <v>0</v>
      </c>
      <c r="Z34" s="3" t="str">
        <f t="shared" si="8"/>
        <v>Glastyp wählen</v>
      </c>
      <c r="AA34" s="4"/>
      <c r="AB34" s="33"/>
      <c r="AC34" s="33"/>
      <c r="AD34" s="33"/>
      <c r="AE34" s="33"/>
      <c r="AF34" s="33"/>
    </row>
    <row r="35" spans="1:32" ht="13.5" thickBot="1" x14ac:dyDescent="0.25">
      <c r="D35" s="2" t="s">
        <v>44</v>
      </c>
      <c r="E35" s="3" t="s">
        <v>45</v>
      </c>
      <c r="F35" s="3" t="s">
        <v>45</v>
      </c>
      <c r="G35" s="4" t="s">
        <v>134</v>
      </c>
      <c r="H35" s="31" t="str">
        <f t="shared" si="1"/>
        <v>Oberfläche:</v>
      </c>
      <c r="I35" s="41"/>
      <c r="K35" s="32">
        <v>0</v>
      </c>
      <c r="L35" s="53">
        <v>0</v>
      </c>
      <c r="M35" s="53">
        <v>0</v>
      </c>
      <c r="N35" s="53">
        <v>0</v>
      </c>
      <c r="O35" s="53" t="str">
        <f t="shared" si="3"/>
        <v>Glastyp wählen</v>
      </c>
      <c r="P35" s="47"/>
      <c r="Q35" s="232" t="s">
        <v>693</v>
      </c>
      <c r="R35" s="233">
        <v>0.32</v>
      </c>
      <c r="S35" s="233">
        <v>0.22</v>
      </c>
      <c r="T35" s="233">
        <v>0.42</v>
      </c>
      <c r="U35" s="47" t="s">
        <v>694</v>
      </c>
      <c r="V35" s="32">
        <f t="shared" si="4"/>
        <v>0</v>
      </c>
      <c r="W35" s="53">
        <f t="shared" si="5"/>
        <v>0</v>
      </c>
      <c r="X35" s="53">
        <f t="shared" si="6"/>
        <v>0</v>
      </c>
      <c r="Y35" s="53">
        <f t="shared" si="7"/>
        <v>0</v>
      </c>
      <c r="Z35" s="53" t="str">
        <f t="shared" si="8"/>
        <v>Glastyp wählen</v>
      </c>
      <c r="AA35" s="47"/>
      <c r="AB35" s="33"/>
      <c r="AC35" s="33"/>
      <c r="AD35" s="33"/>
      <c r="AE35" s="33"/>
      <c r="AF35" s="33"/>
    </row>
    <row r="36" spans="1:32" x14ac:dyDescent="0.2">
      <c r="B36" s="34" t="s">
        <v>219</v>
      </c>
      <c r="C36" s="34"/>
      <c r="D36" s="2" t="s">
        <v>46</v>
      </c>
      <c r="E36" s="3" t="s">
        <v>47</v>
      </c>
      <c r="F36" s="3" t="s">
        <v>136</v>
      </c>
      <c r="G36" s="4" t="s">
        <v>135</v>
      </c>
      <c r="H36" s="31" t="str">
        <f t="shared" si="1"/>
        <v>eloxiert (Qualanod):</v>
      </c>
      <c r="I36" s="41" t="b">
        <v>1</v>
      </c>
      <c r="AB36" s="33"/>
      <c r="AC36" s="33"/>
      <c r="AD36" s="33"/>
      <c r="AE36" s="33"/>
      <c r="AF36" s="33"/>
    </row>
    <row r="37" spans="1:32" x14ac:dyDescent="0.2">
      <c r="B37" s="23" t="s">
        <v>221</v>
      </c>
      <c r="C37" s="45" t="b">
        <v>1</v>
      </c>
      <c r="D37" s="2" t="s">
        <v>48</v>
      </c>
      <c r="E37" s="3" t="s">
        <v>137</v>
      </c>
      <c r="F37" s="3" t="s">
        <v>137</v>
      </c>
      <c r="G37" s="4" t="s">
        <v>137</v>
      </c>
      <c r="H37" s="31" t="str">
        <f t="shared" si="1"/>
        <v>20 my (Standard)</v>
      </c>
      <c r="I37" s="41"/>
    </row>
    <row r="38" spans="1:32" x14ac:dyDescent="0.2">
      <c r="B38" s="2" t="s">
        <v>220</v>
      </c>
      <c r="C38" s="4" t="b">
        <v>1</v>
      </c>
      <c r="D38" s="2" t="s">
        <v>49</v>
      </c>
      <c r="E38" s="3" t="s">
        <v>50</v>
      </c>
      <c r="F38" s="3" t="s">
        <v>51</v>
      </c>
      <c r="G38" s="4" t="s">
        <v>358</v>
      </c>
      <c r="H38" s="31" t="str">
        <f t="shared" si="1"/>
        <v>25 my (Pool/Meer)</v>
      </c>
      <c r="I38" s="41"/>
    </row>
    <row r="39" spans="1:32" ht="13.5" thickBot="1" x14ac:dyDescent="0.25">
      <c r="B39" s="2" t="s">
        <v>222</v>
      </c>
      <c r="C39" s="4" t="b">
        <v>0</v>
      </c>
      <c r="D39" s="2" t="s">
        <v>382</v>
      </c>
      <c r="E39" s="3" t="s">
        <v>383</v>
      </c>
      <c r="F39" s="3" t="s">
        <v>384</v>
      </c>
      <c r="G39" s="4" t="s">
        <v>385</v>
      </c>
      <c r="H39" s="31" t="str">
        <f t="shared" si="1"/>
        <v>pulverbeschichtet:</v>
      </c>
      <c r="I39" s="41" t="b">
        <v>0</v>
      </c>
    </row>
    <row r="40" spans="1:32" x14ac:dyDescent="0.2">
      <c r="A40" s="282" t="s">
        <v>762</v>
      </c>
      <c r="B40" s="2" t="s">
        <v>223</v>
      </c>
      <c r="C40" s="4" t="b">
        <v>0</v>
      </c>
      <c r="D40" s="281" t="s">
        <v>856</v>
      </c>
      <c r="E40" s="316" t="s">
        <v>857</v>
      </c>
      <c r="F40" s="316" t="s">
        <v>858</v>
      </c>
      <c r="G40" s="317" t="s">
        <v>859</v>
      </c>
      <c r="H40" s="31" t="str">
        <f t="shared" si="1"/>
        <v>Vorbehandlung:</v>
      </c>
      <c r="I40" s="41"/>
      <c r="K40" s="57" t="s">
        <v>468</v>
      </c>
      <c r="L40" s="50"/>
      <c r="M40" s="39"/>
      <c r="N40" s="536" t="s">
        <v>621</v>
      </c>
      <c r="O40" s="537"/>
      <c r="P40" s="538"/>
      <c r="Q40" s="57" t="s">
        <v>321</v>
      </c>
      <c r="R40" s="57" t="s">
        <v>528</v>
      </c>
      <c r="S40" s="57" t="s">
        <v>532</v>
      </c>
      <c r="U40" s="34" t="s">
        <v>760</v>
      </c>
      <c r="V40" s="35"/>
    </row>
    <row r="41" spans="1:32" x14ac:dyDescent="0.2">
      <c r="A41" s="88" t="b">
        <f>IF(C41=FALSE,TRUE,(IF(AND(C41=TRUE,'Pos. 1'!F72=""),FALSE,TRUE)))</f>
        <v>1</v>
      </c>
      <c r="B41" s="2" t="s">
        <v>389</v>
      </c>
      <c r="C41" s="4" t="b">
        <v>0</v>
      </c>
      <c r="D41" s="2" t="s">
        <v>52</v>
      </c>
      <c r="E41" s="3" t="s">
        <v>53</v>
      </c>
      <c r="F41" s="3" t="s">
        <v>54</v>
      </c>
      <c r="G41" s="9" t="s">
        <v>138</v>
      </c>
      <c r="H41" s="31" t="str">
        <f t="shared" si="1"/>
        <v>+Voranodisieren</v>
      </c>
      <c r="I41" s="41"/>
      <c r="K41" s="283" t="s">
        <v>469</v>
      </c>
      <c r="L41" s="284">
        <f>IF(OR($I$5=TRUE,$I$6=TRUE),1,0)</f>
        <v>0</v>
      </c>
      <c r="M41" s="285"/>
      <c r="N41" s="193" t="str">
        <f>CONCATENATE("Pos. ",'Pos. 1'!$B$2,".1")</f>
        <v>Pos. 1.1</v>
      </c>
      <c r="O41" s="194" t="b">
        <f>IF(AND('Pos. 1'!AW32&lt;&gt;"",'Pos. 1'!AX32&lt;&gt;""),TRUE,FALSE)</f>
        <v>0</v>
      </c>
      <c r="P41" s="195"/>
      <c r="Q41" s="54"/>
      <c r="R41" s="54"/>
      <c r="S41" s="1">
        <f>COUNTA('Pos. 1'!G20:AP20)</f>
        <v>0</v>
      </c>
      <c r="U41" s="312" t="b">
        <f>IF(L41=0,FALSE,TRUE)</f>
        <v>0</v>
      </c>
      <c r="V41" s="313">
        <f>IF(U41=FALSE,1,0)</f>
        <v>1</v>
      </c>
    </row>
    <row r="42" spans="1:32" x14ac:dyDescent="0.2">
      <c r="A42" s="31" t="b">
        <f>IF(C42=FALSE,TRUE,(IF(AND(C42=TRUE,'Pos. 1'!L72=""),FALSE,TRUE)))</f>
        <v>1</v>
      </c>
      <c r="B42" s="2" t="s">
        <v>390</v>
      </c>
      <c r="C42" s="4" t="b">
        <v>0</v>
      </c>
      <c r="D42" s="2" t="s">
        <v>55</v>
      </c>
      <c r="E42" s="3" t="s">
        <v>56</v>
      </c>
      <c r="F42" s="3" t="s">
        <v>57</v>
      </c>
      <c r="G42" s="4" t="s">
        <v>139</v>
      </c>
      <c r="H42" s="31" t="str">
        <f t="shared" si="1"/>
        <v>Glas-Typ: SG = "Sky-Glass"</v>
      </c>
      <c r="I42" s="41"/>
      <c r="K42" s="286" t="s">
        <v>470</v>
      </c>
      <c r="L42" s="287">
        <f>IF(AND('Pos. 1'!$Y$5&lt;&gt;"",'Pos. 1'!$Y$7&lt;&gt;"",'Pos. 1'!$Y$6&lt;&gt;""),1,0)</f>
        <v>0</v>
      </c>
      <c r="M42" s="288"/>
      <c r="N42" s="193" t="str">
        <f>CONCATENATE("Pos. ",'Pos. 1'!$B$2,".2")</f>
        <v>Pos. 1.2</v>
      </c>
      <c r="O42" s="194" t="b">
        <f>IF(AND('Pos. 1'!AW33&lt;&gt;"",'Pos. 1'!AX33&lt;&gt;""),TRUE,FALSE)</f>
        <v>0</v>
      </c>
      <c r="P42" s="197"/>
      <c r="Q42" s="58">
        <v>1</v>
      </c>
      <c r="R42" s="161" t="s">
        <v>526</v>
      </c>
      <c r="U42" s="286" t="b">
        <f t="shared" ref="U42:U47" si="11">IF(L42=0,FALSE,TRUE)</f>
        <v>0</v>
      </c>
      <c r="V42" s="307">
        <f t="shared" ref="V42:V77" si="12">IF(U42=FALSE,1,0)</f>
        <v>1</v>
      </c>
    </row>
    <row r="43" spans="1:32" x14ac:dyDescent="0.2">
      <c r="A43" s="31" t="b">
        <f>IF(C43=FALSE,TRUE,(IF(AND(C43=TRUE,'Pos. 1'!R72=""),FALSE,TRUE)))</f>
        <v>1</v>
      </c>
      <c r="B43" s="2" t="s">
        <v>391</v>
      </c>
      <c r="C43" s="4" t="b">
        <v>0</v>
      </c>
      <c r="D43" s="2" t="s">
        <v>58</v>
      </c>
      <c r="E43" s="3" t="s">
        <v>59</v>
      </c>
      <c r="F43" s="3" t="s">
        <v>60</v>
      </c>
      <c r="G43" s="4" t="s">
        <v>140</v>
      </c>
      <c r="H43" s="31" t="str">
        <f t="shared" si="1"/>
        <v>Swisspacer-U schwarz</v>
      </c>
      <c r="I43" s="41" t="b">
        <v>0</v>
      </c>
      <c r="K43" s="286" t="s">
        <v>471</v>
      </c>
      <c r="L43" s="287">
        <f>IF(AND('Pos. 1'!$AJ$5&lt;&gt;"",'Pos. 1'!$AJ$6&lt;&gt;"",'Pos. 1'!$AJ$7&lt;&gt;""),1,0)</f>
        <v>0</v>
      </c>
      <c r="M43" s="288"/>
      <c r="N43" s="193" t="str">
        <f>CONCATENATE("Pos. ",'Pos. 1'!$B$2,".3")</f>
        <v>Pos. 1.3</v>
      </c>
      <c r="O43" s="194" t="b">
        <f>IF(AND('Pos. 1'!AW34&lt;&gt;"",'Pos. 1'!AX34&lt;&gt;""),TRUE,FALSE)</f>
        <v>0</v>
      </c>
      <c r="P43" s="197"/>
      <c r="Q43" s="55">
        <v>2</v>
      </c>
      <c r="R43" s="161" t="s">
        <v>527</v>
      </c>
      <c r="U43" s="286" t="b">
        <f t="shared" si="11"/>
        <v>0</v>
      </c>
      <c r="V43" s="307">
        <f t="shared" si="12"/>
        <v>1</v>
      </c>
    </row>
    <row r="44" spans="1:32" x14ac:dyDescent="0.2">
      <c r="A44" s="31" t="b">
        <f>IF(C44=FALSE,TRUE,(IF(AND(C44=TRUE,'Pos. 1'!X72=""),FALSE,TRUE)))</f>
        <v>1</v>
      </c>
      <c r="B44" s="2" t="str">
        <f>IF('Pos. 1'!AB62="","121101/121101","121401/121401")</f>
        <v>121101/121101</v>
      </c>
      <c r="C44" s="4" t="b">
        <v>0</v>
      </c>
      <c r="D44" s="2" t="s">
        <v>61</v>
      </c>
      <c r="E44" s="3" t="s">
        <v>62</v>
      </c>
      <c r="F44" s="3" t="s">
        <v>63</v>
      </c>
      <c r="G44" s="4" t="s">
        <v>141</v>
      </c>
      <c r="H44" s="31" t="str">
        <f t="shared" si="1"/>
        <v>Swisspacer-U grau</v>
      </c>
      <c r="I44" s="41" t="b">
        <v>0</v>
      </c>
      <c r="K44" s="286" t="s">
        <v>472</v>
      </c>
      <c r="L44" s="287">
        <f>IF(OR($I$10=TRUE,$I$11=TRUE,$I$12=TRUE),1,0)</f>
        <v>0</v>
      </c>
      <c r="M44" s="288"/>
      <c r="N44" s="193" t="str">
        <f>CONCATENATE("Pos. ",'Pos. 1'!$B$2,".4")</f>
        <v>Pos. 1.4</v>
      </c>
      <c r="O44" s="194" t="b">
        <f>IF(AND('Pos. 1'!AW35&lt;&gt;"",'Pos. 1'!AX35&lt;&gt;""),TRUE,FALSE)</f>
        <v>0</v>
      </c>
      <c r="P44" s="197"/>
      <c r="Q44" s="55">
        <v>3</v>
      </c>
      <c r="U44" s="286" t="b">
        <f t="shared" si="11"/>
        <v>0</v>
      </c>
      <c r="V44" s="307">
        <f t="shared" si="12"/>
        <v>1</v>
      </c>
    </row>
    <row r="45" spans="1:32" x14ac:dyDescent="0.2">
      <c r="A45" s="31" t="b">
        <f>IF(C45=FALSE,TRUE,(IF(AND(C45=TRUE,'Pos. 1'!H85=""),FALSE,TRUE)))</f>
        <v>1</v>
      </c>
      <c r="B45" s="2" t="s">
        <v>406</v>
      </c>
      <c r="C45" s="4" t="b">
        <v>0</v>
      </c>
      <c r="D45" s="2" t="s">
        <v>111</v>
      </c>
      <c r="E45" s="3" t="s">
        <v>112</v>
      </c>
      <c r="F45" s="3" t="s">
        <v>113</v>
      </c>
      <c r="G45" s="4" t="s">
        <v>114</v>
      </c>
      <c r="H45" s="31" t="str">
        <f t="shared" si="1"/>
        <v>Speziell:</v>
      </c>
      <c r="I45" s="41" t="b">
        <v>0</v>
      </c>
      <c r="K45" s="286" t="s">
        <v>473</v>
      </c>
      <c r="L45" s="287">
        <f>IF(AND('Pos. 1'!$F$10&lt;&gt;"",OR('Pos. 1'!$E$23&lt;&gt;"",'Pos. 1'!$E$24&lt;&gt;"",'Pos. 1'!$E$25&lt;&gt;"",'Pos. 1'!$E$26&lt;&gt;"")),1,0)</f>
        <v>0</v>
      </c>
      <c r="M45" s="288"/>
      <c r="N45" s="193" t="str">
        <f>CONCATENATE("Pos. ",'Pos. 1'!$B$2,".5")</f>
        <v>Pos. 1.5</v>
      </c>
      <c r="O45" s="194" t="b">
        <f>IF(AND('Pos. 1'!AW36&lt;&gt;"",'Pos. 1'!AX36&lt;&gt;""),TRUE,FALSE)</f>
        <v>0</v>
      </c>
      <c r="P45" s="197"/>
      <c r="Q45" s="55">
        <v>4</v>
      </c>
      <c r="U45" s="286" t="b">
        <f t="shared" si="11"/>
        <v>0</v>
      </c>
      <c r="V45" s="307">
        <f t="shared" si="12"/>
        <v>1</v>
      </c>
    </row>
    <row r="46" spans="1:32" x14ac:dyDescent="0.2">
      <c r="A46" s="31" t="b">
        <f>IF(C46=FALSE,TRUE,(IF(AND(C46=TRUE,'Pos. 1'!O85=""),FALSE,TRUE)))</f>
        <v>1</v>
      </c>
      <c r="B46" s="2" t="s">
        <v>407</v>
      </c>
      <c r="C46" s="4" t="b">
        <v>0</v>
      </c>
      <c r="D46" s="2" t="s">
        <v>64</v>
      </c>
      <c r="E46" s="3" t="s">
        <v>65</v>
      </c>
      <c r="F46" s="3" t="s">
        <v>66</v>
      </c>
      <c r="G46" s="4" t="s">
        <v>142</v>
      </c>
      <c r="H46" s="31" t="str">
        <f t="shared" si="1"/>
        <v>Statik:</v>
      </c>
      <c r="I46" s="41"/>
      <c r="K46" s="286" t="s">
        <v>474</v>
      </c>
      <c r="L46" s="287">
        <f>IF(AND($I$13=TRUE,'Pos. 1'!$E$28=""),0,1)</f>
        <v>1</v>
      </c>
      <c r="M46" s="288"/>
      <c r="N46" s="193" t="str">
        <f>CONCATENATE("Pos. ",'Pos. 1'!$B$2,".6")</f>
        <v>Pos. 1.6</v>
      </c>
      <c r="O46" s="194" t="b">
        <f>IF(AND('Pos. 1'!AW37&lt;&gt;"",'Pos. 1'!AX37&lt;&gt;""),TRUE,FALSE)</f>
        <v>0</v>
      </c>
      <c r="P46" s="197"/>
      <c r="Q46" s="55">
        <v>5</v>
      </c>
      <c r="U46" s="286" t="b">
        <f t="shared" si="11"/>
        <v>1</v>
      </c>
      <c r="V46" s="307">
        <f t="shared" si="12"/>
        <v>0</v>
      </c>
    </row>
    <row r="47" spans="1:32" x14ac:dyDescent="0.2">
      <c r="A47" s="31" t="b">
        <f>IF(C47=FALSE,TRUE,(IF(AND(C47=TRUE,'Pos. 1'!V85=""),FALSE,TRUE)))</f>
        <v>1</v>
      </c>
      <c r="B47" s="2" t="str">
        <f>IF('Pos. 1'!AB73="","322301/322301","400419/400419")</f>
        <v>322301/322301</v>
      </c>
      <c r="C47" s="4" t="b">
        <v>0</v>
      </c>
      <c r="D47" s="2" t="s">
        <v>67</v>
      </c>
      <c r="E47" s="3" t="s">
        <v>68</v>
      </c>
      <c r="F47" s="3" t="s">
        <v>69</v>
      </c>
      <c r="G47" s="4" t="s">
        <v>359</v>
      </c>
      <c r="H47" s="31" t="str">
        <f t="shared" si="1"/>
        <v>Windlast:</v>
      </c>
      <c r="I47" s="41"/>
      <c r="K47" s="286" t="s">
        <v>475</v>
      </c>
      <c r="L47" s="289">
        <f>IF(AND($I$13=FALSE,$I$14=FALSE),0,1)</f>
        <v>0</v>
      </c>
      <c r="M47" s="288"/>
      <c r="N47" s="193" t="str">
        <f>CONCATENATE("Pos. ",'Pos. 1'!$B$2,".7")</f>
        <v>Pos. 1.7</v>
      </c>
      <c r="O47" s="194" t="b">
        <f>IF(AND('Pos. 1'!AW38&lt;&gt;"",'Pos. 1'!AX38&lt;&gt;""),TRUE,FALSE)</f>
        <v>0</v>
      </c>
      <c r="P47" s="197"/>
      <c r="Q47" s="55">
        <v>6</v>
      </c>
      <c r="U47" s="286" t="b">
        <f t="shared" si="11"/>
        <v>0</v>
      </c>
      <c r="V47" s="307">
        <f t="shared" si="12"/>
        <v>1</v>
      </c>
    </row>
    <row r="48" spans="1:32" x14ac:dyDescent="0.2">
      <c r="A48" s="31" t="b">
        <f>IF(C48=FALSE,TRUE,(IF(AND(C48=TRUE,'Pos. 1'!H96=""),FALSE,TRUE)))</f>
        <v>1</v>
      </c>
      <c r="B48" s="2" t="s">
        <v>419</v>
      </c>
      <c r="C48" s="4" t="b">
        <v>0</v>
      </c>
      <c r="D48" s="2" t="s">
        <v>70</v>
      </c>
      <c r="E48" s="3" t="s">
        <v>71</v>
      </c>
      <c r="F48" s="3" t="s">
        <v>72</v>
      </c>
      <c r="G48" s="4" t="s">
        <v>360</v>
      </c>
      <c r="H48" s="31" t="str">
        <f t="shared" si="1"/>
        <v>Bemerkung:</v>
      </c>
      <c r="I48" s="41"/>
      <c r="K48" s="286" t="s">
        <v>477</v>
      </c>
      <c r="L48" s="290">
        <f>IF(OR(AND($C$37=FALSE,$C$39=FALSE),(AND($C$38=FALSE,$C$40=FALSE))),0,1)</f>
        <v>1</v>
      </c>
      <c r="M48" s="291">
        <f>IF($L$49=0,0,L48)</f>
        <v>0</v>
      </c>
      <c r="N48" s="193" t="str">
        <f>CONCATENATE("Pos. ",'Pos. 1'!$B$2,".8")</f>
        <v>Pos. 1.8</v>
      </c>
      <c r="O48" s="194" t="b">
        <f>IF(AND('Pos. 1'!AW39&lt;&gt;"",'Pos. 1'!AX39&lt;&gt;""),TRUE,FALSE)</f>
        <v>0</v>
      </c>
      <c r="P48" s="197"/>
      <c r="Q48" s="55">
        <v>7</v>
      </c>
      <c r="U48" s="286" t="b">
        <f>IF(M49=0,FALSE,TRUE)</f>
        <v>0</v>
      </c>
      <c r="V48" s="307">
        <f t="shared" si="12"/>
        <v>1</v>
      </c>
    </row>
    <row r="49" spans="1:22" ht="13.5" thickBot="1" x14ac:dyDescent="0.25">
      <c r="A49" s="185" t="b">
        <f>IF(C49=FALSE,TRUE,(IF(AND(C49=TRUE,'Pos. 1'!O96=""),FALSE,TRUE)))</f>
        <v>1</v>
      </c>
      <c r="B49" s="2" t="s">
        <v>420</v>
      </c>
      <c r="C49" s="4" t="b">
        <v>0</v>
      </c>
      <c r="D49" s="2" t="s">
        <v>73</v>
      </c>
      <c r="E49" s="3" t="s">
        <v>74</v>
      </c>
      <c r="F49" s="3" t="s">
        <v>343</v>
      </c>
      <c r="G49" s="4" t="s">
        <v>361</v>
      </c>
      <c r="H49" s="31" t="str">
        <f t="shared" si="1"/>
        <v>Zubehör:</v>
      </c>
      <c r="I49" s="41"/>
      <c r="K49" s="286" t="s">
        <v>476</v>
      </c>
      <c r="L49" s="292">
        <f>IF(L48=0,0,IF('Pos. 1'!$I$49&gt;0,1,0))</f>
        <v>0</v>
      </c>
      <c r="M49" s="293">
        <f>SUM(L49,M48)</f>
        <v>0</v>
      </c>
      <c r="N49" s="193" t="str">
        <f>CONCATENATE("Pos. ",'Pos. 1'!$B$2,".9")</f>
        <v>Pos. 1.9</v>
      </c>
      <c r="O49" s="194" t="b">
        <f>IF(AND('Pos. 1'!AW40&lt;&gt;"",'Pos. 1'!AX40&lt;&gt;""),TRUE,FALSE)</f>
        <v>0</v>
      </c>
      <c r="P49" s="197"/>
      <c r="Q49" s="55">
        <v>8</v>
      </c>
      <c r="T49" s="315" t="s">
        <v>851</v>
      </c>
      <c r="U49" s="286" t="b">
        <f>IF(AND(L44=1,AND('Pos. 1'!E22="",'Pos. 1'!E23="",'Pos. 1'!E24="",'Pos. 1'!E25="",'Pos. 1'!E26="")),FALSE,TRUE)</f>
        <v>1</v>
      </c>
      <c r="V49" s="307">
        <f t="shared" si="12"/>
        <v>0</v>
      </c>
    </row>
    <row r="50" spans="1:22" x14ac:dyDescent="0.2">
      <c r="A50" s="1">
        <f>COUNTIF(A41:A49,FALSE)</f>
        <v>0</v>
      </c>
      <c r="B50" s="2" t="s">
        <v>408</v>
      </c>
      <c r="C50" s="4" t="b">
        <v>0</v>
      </c>
      <c r="D50" s="2" t="s">
        <v>748</v>
      </c>
      <c r="E50" s="3" t="s">
        <v>749</v>
      </c>
      <c r="F50" s="3" t="s">
        <v>751</v>
      </c>
      <c r="G50" s="4" t="s">
        <v>750</v>
      </c>
      <c r="H50" s="31" t="str">
        <f t="shared" si="1"/>
        <v>Rinne (siehe unten)</v>
      </c>
      <c r="I50" s="41" t="b">
        <v>0</v>
      </c>
      <c r="K50" s="286" t="s">
        <v>478</v>
      </c>
      <c r="L50" s="294">
        <f>IF(AND(OR($C$53=TRUE,$C$54=TRUE),'Pos. 1'!$Z$42&lt;&gt;"",'Pos. 1'!$T$45&lt;&gt;""),1,0)</f>
        <v>0</v>
      </c>
      <c r="M50" s="288"/>
      <c r="N50" s="193" t="str">
        <f>CONCATENATE("Pos. ",'Pos. 1'!$B$2,".10")</f>
        <v>Pos. 1.10</v>
      </c>
      <c r="O50" s="194" t="b">
        <f>IF(AND('Pos. 1'!AW41&lt;&gt;"",'Pos. 1'!AX41&lt;&gt;""),TRUE,FALSE)</f>
        <v>0</v>
      </c>
      <c r="P50" s="197"/>
      <c r="Q50" s="55">
        <v>9</v>
      </c>
      <c r="U50" s="286" t="b">
        <f>IF(L50=0,FALSE,TRUE)</f>
        <v>0</v>
      </c>
      <c r="V50" s="307">
        <f t="shared" si="12"/>
        <v>1</v>
      </c>
    </row>
    <row r="51" spans="1:22" ht="13.5" thickBot="1" x14ac:dyDescent="0.25">
      <c r="B51" s="2" t="s">
        <v>429</v>
      </c>
      <c r="C51" s="4" t="b">
        <v>0</v>
      </c>
      <c r="D51" s="2" t="s">
        <v>339</v>
      </c>
      <c r="E51" s="3" t="s">
        <v>340</v>
      </c>
      <c r="F51" s="3" t="s">
        <v>341</v>
      </c>
      <c r="G51" s="4" t="s">
        <v>362</v>
      </c>
      <c r="H51" s="31" t="str">
        <f t="shared" si="1"/>
        <v>Wetterschenkel</v>
      </c>
      <c r="I51" s="41" t="b">
        <v>0</v>
      </c>
      <c r="K51" s="286" t="s">
        <v>479</v>
      </c>
      <c r="L51" s="287">
        <f>IF(OR($I$15=TRUE,$I$16=TRUE,$I$17=TRUE,$I$18=TRUE,$I$19=TRUE,$I$20=TRUE,$I$22=TRUE,$I$25=TRUE,$I$125=TRUE),1,0)</f>
        <v>0</v>
      </c>
      <c r="M51" s="288"/>
      <c r="N51" s="196" t="s">
        <v>622</v>
      </c>
      <c r="O51" s="198">
        <f>IF(P51=O52,1,0)</f>
        <v>0</v>
      </c>
      <c r="P51" s="199" t="str">
        <f>CONCATENATE("(",COUNTBLANK('Pos. 1'!AW32:AW41),")")</f>
        <v>(10)</v>
      </c>
      <c r="Q51" s="56">
        <v>10</v>
      </c>
      <c r="U51" s="286" t="b">
        <f t="shared" ref="U51:U55" si="13">IF(L51=0,FALSE,TRUE)</f>
        <v>0</v>
      </c>
      <c r="V51" s="307">
        <f t="shared" si="12"/>
        <v>1</v>
      </c>
    </row>
    <row r="52" spans="1:22" ht="13.5" thickBot="1" x14ac:dyDescent="0.25">
      <c r="B52" s="2"/>
      <c r="C52" s="4"/>
      <c r="D52" s="2" t="s">
        <v>331</v>
      </c>
      <c r="E52" s="3" t="s">
        <v>332</v>
      </c>
      <c r="F52" s="3" t="s">
        <v>333</v>
      </c>
      <c r="G52" s="4" t="s">
        <v>363</v>
      </c>
      <c r="H52" s="31" t="str">
        <f t="shared" si="1"/>
        <v>Standardgrundplatten:</v>
      </c>
      <c r="I52" s="41" t="b">
        <v>0</v>
      </c>
      <c r="K52" s="286" t="s">
        <v>480</v>
      </c>
      <c r="L52" s="287">
        <f>IF(OR(AND($I$36=TRUE,'Pos. 1'!$AM$43&lt;&gt;0,'Pos. 1'!$AR$43&lt;&gt;0,'Pos. 1'!$AM$49&lt;&gt;""),AND($I$39=TRUE,'Pos. 1'!$AM$45&lt;&gt;"",'Pos. 1'!$AM$49&lt;&gt;"",'Pos. 1'!$AM$46&lt;&gt;"",'Pos. 1'!$AM$47&lt;&gt;"")),1,0)</f>
        <v>0</v>
      </c>
      <c r="M52" s="288"/>
      <c r="N52" s="200"/>
      <c r="O52" s="201" t="str">
        <f>CONCATENATE("(",IF(I19=TRUE,COUNTIF(O41:O50,FALSE),""),")")</f>
        <v>()</v>
      </c>
      <c r="P52" s="202"/>
      <c r="U52" s="286" t="b">
        <f t="shared" si="13"/>
        <v>0</v>
      </c>
      <c r="V52" s="307">
        <f t="shared" si="12"/>
        <v>1</v>
      </c>
    </row>
    <row r="53" spans="1:22" x14ac:dyDescent="0.2">
      <c r="B53" s="2" t="s">
        <v>440</v>
      </c>
      <c r="C53" s="4" t="b">
        <v>1</v>
      </c>
      <c r="D53" s="2" t="s">
        <v>75</v>
      </c>
      <c r="E53" s="3" t="s">
        <v>75</v>
      </c>
      <c r="F53" s="3" t="s">
        <v>75</v>
      </c>
      <c r="G53" s="4" t="s">
        <v>75</v>
      </c>
      <c r="H53" s="31" t="str">
        <f t="shared" si="1"/>
        <v>Sun-Box</v>
      </c>
      <c r="I53" s="41"/>
      <c r="K53" s="286" t="s">
        <v>484</v>
      </c>
      <c r="L53" s="287">
        <f>IF('Pos. 1'!AT52=1,1,IF(AND(OR($I$43=TRUE,$I$44=TRUE),'Pos. 1'!$AE$53&lt;&gt;0,'Pos. 1'!$AO$55&lt;&gt;""),1,0))</f>
        <v>0</v>
      </c>
      <c r="M53" s="288"/>
      <c r="U53" s="286" t="b">
        <f t="shared" si="13"/>
        <v>0</v>
      </c>
      <c r="V53" s="307">
        <f t="shared" si="12"/>
        <v>1</v>
      </c>
    </row>
    <row r="54" spans="1:22" x14ac:dyDescent="0.2">
      <c r="B54" s="2" t="s">
        <v>441</v>
      </c>
      <c r="C54" s="4" t="b">
        <v>0</v>
      </c>
      <c r="D54" s="2" t="s">
        <v>76</v>
      </c>
      <c r="E54" s="3" t="s">
        <v>77</v>
      </c>
      <c r="F54" s="3" t="s">
        <v>78</v>
      </c>
      <c r="G54" s="4" t="s">
        <v>364</v>
      </c>
      <c r="H54" s="31" t="str">
        <f t="shared" si="1"/>
        <v>Glastyp wählen</v>
      </c>
      <c r="I54" s="41"/>
      <c r="K54" s="286" t="s">
        <v>485</v>
      </c>
      <c r="L54" s="287">
        <f>SUM(IF(AND('Pos. 1'!$AE$70&lt;&gt;"",'Pos. 1'!$AN$70&lt;&gt;"",OR($C$60=TRUE,$C$61=TRUE,$C$62=TRUE,$C$63=TRUE)),1,0),M54)</f>
        <v>1</v>
      </c>
      <c r="M54" s="288">
        <f>IF(AND(OR('Pos. 1'!F10="F",'Pos. 1'!F10=""),OR('Pos. 1'!N10="F",'Pos. 1'!N10=""),OR('Pos. 1'!R10="F",'Pos. 1'!R10=""),OR('Pos. 1'!V10="F",'Pos. 1'!V10=""),OR('Pos. 1'!Z10="F",'Pos. 1'!Z10=""),OR('Pos. 1'!AD10="F",'Pos. 1'!AD10=""),OR('Pos. 1'!AH10="F",'Pos. 1'!AH10=""),OR('Pos. 1'!AL10="F",'Pos. 1'!AL10=""),OR('Pos. 1'!AP10="F",'Pos. 1'!AP10="")),1,0)</f>
        <v>1</v>
      </c>
      <c r="U54" s="286" t="b">
        <f t="shared" si="13"/>
        <v>1</v>
      </c>
      <c r="V54" s="307">
        <f t="shared" si="12"/>
        <v>0</v>
      </c>
    </row>
    <row r="55" spans="1:22" x14ac:dyDescent="0.2">
      <c r="B55" s="2" t="s">
        <v>493</v>
      </c>
      <c r="C55" s="4" t="b">
        <v>0</v>
      </c>
      <c r="D55" s="2" t="s">
        <v>79</v>
      </c>
      <c r="E55" s="3" t="s">
        <v>80</v>
      </c>
      <c r="F55" s="3" t="s">
        <v>79</v>
      </c>
      <c r="G55" s="4" t="s">
        <v>79</v>
      </c>
      <c r="H55" s="31" t="str">
        <f t="shared" si="1"/>
        <v>Pos:</v>
      </c>
      <c r="I55" s="41"/>
      <c r="K55" s="286" t="s">
        <v>486</v>
      </c>
      <c r="L55" s="289">
        <f>IF(AND('Pos. 1'!$AM$88&lt;&gt;"",'Pos. 1'!$AE$84&lt;&gt;"",'Pos. 1'!$AM$87&lt;&gt;""),1,0)</f>
        <v>0</v>
      </c>
      <c r="M55" s="288"/>
      <c r="U55" s="286" t="b">
        <f t="shared" si="13"/>
        <v>0</v>
      </c>
      <c r="V55" s="307">
        <f t="shared" si="12"/>
        <v>1</v>
      </c>
    </row>
    <row r="56" spans="1:22" ht="15" customHeight="1" thickBot="1" x14ac:dyDescent="0.25">
      <c r="B56" s="2" t="s">
        <v>494</v>
      </c>
      <c r="C56" s="4" t="b">
        <v>0</v>
      </c>
      <c r="D56" s="2" t="s">
        <v>81</v>
      </c>
      <c r="E56" s="3" t="s">
        <v>82</v>
      </c>
      <c r="F56" s="3" t="s">
        <v>83</v>
      </c>
      <c r="G56" s="4" t="s">
        <v>150</v>
      </c>
      <c r="H56" s="31" t="str">
        <f t="shared" si="1"/>
        <v>Stück:</v>
      </c>
      <c r="I56" s="41"/>
      <c r="K56" s="286" t="s">
        <v>491</v>
      </c>
      <c r="L56" s="290">
        <f>IF(OR($C$41=TRUE,$C$43=TRUE,$C$44=TRUE,AND('Pos. 1'!F10="F",'Pos. 1'!J10="")),1,0)</f>
        <v>0</v>
      </c>
      <c r="M56" s="295">
        <f>SUM(L56:L57)</f>
        <v>0</v>
      </c>
      <c r="U56" s="286" t="b">
        <f>IF(M56=0,FALSE,TRUE)</f>
        <v>0</v>
      </c>
      <c r="V56" s="307">
        <f t="shared" si="12"/>
        <v>1</v>
      </c>
    </row>
    <row r="57" spans="1:22" x14ac:dyDescent="0.2">
      <c r="B57" s="2" t="s">
        <v>495</v>
      </c>
      <c r="C57" s="4" t="b">
        <v>0</v>
      </c>
      <c r="D57" s="2" t="s">
        <v>84</v>
      </c>
      <c r="E57" s="3" t="s">
        <v>85</v>
      </c>
      <c r="F57" s="3" t="s">
        <v>85</v>
      </c>
      <c r="G57" s="4" t="s">
        <v>196</v>
      </c>
      <c r="H57" s="31" t="str">
        <f t="shared" si="1"/>
        <v>Seite:</v>
      </c>
      <c r="I57" s="41"/>
      <c r="K57" s="286" t="s">
        <v>492</v>
      </c>
      <c r="L57" s="292">
        <f>IF(AND($C$42=TRUE,OR($C$55=TRUE,$C$56=TRUE)),1,0)</f>
        <v>0</v>
      </c>
      <c r="M57" s="296"/>
      <c r="O57" s="34" t="s">
        <v>868</v>
      </c>
      <c r="P57" s="365"/>
      <c r="Q57" s="365"/>
      <c r="R57" s="366"/>
      <c r="T57" s="315"/>
      <c r="U57" s="286"/>
      <c r="V57" s="307"/>
    </row>
    <row r="58" spans="1:22" x14ac:dyDescent="0.2">
      <c r="B58" s="2" t="s">
        <v>496</v>
      </c>
      <c r="C58" s="4" t="b">
        <v>0</v>
      </c>
      <c r="D58" s="2" t="s">
        <v>463</v>
      </c>
      <c r="E58" s="3" t="s">
        <v>464</v>
      </c>
      <c r="F58" s="3" t="s">
        <v>465</v>
      </c>
      <c r="G58" s="4" t="s">
        <v>466</v>
      </c>
      <c r="H58" s="31" t="str">
        <f t="shared" si="1"/>
        <v>Achsmass →</v>
      </c>
      <c r="I58" s="41"/>
      <c r="K58" s="286" t="s">
        <v>497</v>
      </c>
      <c r="L58" s="294">
        <f>IF(AND('Pos. 1'!$G$20=0,'Pos. 1'!$K$20=0,'Pos. 1'!$O$20=0,'Pos. 1'!$S$20=0,'Pos. 1'!$W$20=0,'Pos. 1'!$AA$20=0,'Pos. 1'!$AE$20=0,'Pos. 1'!$AI$20=0,'Pos. 1'!$AM$20=0),1,0)</f>
        <v>1</v>
      </c>
      <c r="M58" s="288"/>
      <c r="O58" s="367" t="s">
        <v>869</v>
      </c>
      <c r="P58" s="368" t="s">
        <v>870</v>
      </c>
      <c r="Q58" s="368" t="s">
        <v>871</v>
      </c>
      <c r="R58" s="369" t="s">
        <v>872</v>
      </c>
      <c r="T58" s="315" t="s">
        <v>768</v>
      </c>
      <c r="U58" s="286" t="b">
        <f>IF(AND(L62=1,'Pos. 1'!C11&gt;35),FALSE,TRUE)</f>
        <v>1</v>
      </c>
      <c r="V58" s="307">
        <f t="shared" si="12"/>
        <v>0</v>
      </c>
    </row>
    <row r="59" spans="1:22" x14ac:dyDescent="0.2">
      <c r="B59" s="2"/>
      <c r="C59" s="4"/>
      <c r="D59" s="2" t="s">
        <v>86</v>
      </c>
      <c r="E59" s="3" t="s">
        <v>87</v>
      </c>
      <c r="F59" s="3" t="s">
        <v>88</v>
      </c>
      <c r="G59" s="4" t="s">
        <v>149</v>
      </c>
      <c r="H59" s="31" t="str">
        <f t="shared" si="1"/>
        <v>VSG mit P4A</v>
      </c>
      <c r="I59" s="41"/>
      <c r="K59" s="286" t="s">
        <v>498</v>
      </c>
      <c r="L59" s="297">
        <f>IF(AND($C$49=FALSE,$C$50=FALSE,$C$51=FALSE),0,1)</f>
        <v>0</v>
      </c>
      <c r="M59" s="298">
        <f>SUM(L58:L59)</f>
        <v>1</v>
      </c>
      <c r="O59" s="357" t="s">
        <v>198</v>
      </c>
      <c r="P59" s="370">
        <f>IF(OR('Pos. 1'!$F$10='Sprachen &amp; Rückgabewerte'!$B$10,'Pos. 1'!$F$10='Sprachen &amp; Rückgabewerte'!$B$11),1,0)</f>
        <v>0</v>
      </c>
      <c r="Q59" s="371">
        <f>IF(P59=1,0,1)</f>
        <v>1</v>
      </c>
      <c r="R59" s="372">
        <f>IF(AND(P59=1,'Pos. 1'!$F$16=""),1,0)</f>
        <v>0</v>
      </c>
      <c r="U59" s="286" t="b">
        <f>IF(M59=0,FALSE,TRUE)</f>
        <v>1</v>
      </c>
      <c r="V59" s="307">
        <f t="shared" si="12"/>
        <v>0</v>
      </c>
    </row>
    <row r="60" spans="1:22" ht="15" customHeight="1" x14ac:dyDescent="0.2">
      <c r="B60" s="2" t="s">
        <v>262</v>
      </c>
      <c r="C60" s="4" t="b">
        <v>0</v>
      </c>
      <c r="D60" s="2" t="s">
        <v>89</v>
      </c>
      <c r="E60" s="3" t="s">
        <v>90</v>
      </c>
      <c r="F60" s="3" t="s">
        <v>322</v>
      </c>
      <c r="G60" s="4" t="s">
        <v>365</v>
      </c>
      <c r="H60" s="31" t="str">
        <f t="shared" si="1"/>
        <v>Insektenschutz</v>
      </c>
      <c r="I60" s="41"/>
      <c r="K60" s="286" t="s">
        <v>499</v>
      </c>
      <c r="L60" s="290">
        <f>IF(AND($C$46=TRUE,OR($C$57=TRUE,$C$58=TRUE)),1,0)</f>
        <v>0</v>
      </c>
      <c r="M60" s="540">
        <f>SUM(L60:L61)</f>
        <v>1</v>
      </c>
      <c r="O60" s="281" t="s">
        <v>199</v>
      </c>
      <c r="P60" s="373">
        <f>IF(OR('Pos. 1'!$J$10='Sprachen &amp; Rückgabewerte'!$B$10,'Pos. 1'!$J$10='Sprachen &amp; Rückgabewerte'!$B$11),1,0)</f>
        <v>0</v>
      </c>
      <c r="Q60" s="316">
        <f t="shared" ref="Q60:Q68" si="14">IF(P60=1,0,1)</f>
        <v>1</v>
      </c>
      <c r="R60" s="317">
        <f>IF(AND(P60=1,'Pos. 1'!$J$16=""),1,0)</f>
        <v>0</v>
      </c>
      <c r="U60" s="311" t="b">
        <f>IF(M60=0,FALSE,TRUE)</f>
        <v>1</v>
      </c>
      <c r="V60" s="307">
        <f t="shared" si="12"/>
        <v>0</v>
      </c>
    </row>
    <row r="61" spans="1:22" ht="12.75" customHeight="1" x14ac:dyDescent="0.2">
      <c r="B61" s="2" t="s">
        <v>263</v>
      </c>
      <c r="C61" s="4" t="b">
        <v>0</v>
      </c>
      <c r="D61" s="10" t="s">
        <v>148</v>
      </c>
      <c r="E61" s="11" t="s">
        <v>148</v>
      </c>
      <c r="F61" s="11" t="s">
        <v>148</v>
      </c>
      <c r="G61" s="12" t="s">
        <v>148</v>
      </c>
      <c r="H61" s="31" t="str">
        <f t="shared" si="1"/>
        <v>Standard = 1050mm</v>
      </c>
      <c r="I61" s="41"/>
      <c r="K61" s="286"/>
      <c r="L61" s="292">
        <f>IF(C46=FALSE,1,0)</f>
        <v>1</v>
      </c>
      <c r="M61" s="541"/>
      <c r="O61" s="281" t="s">
        <v>200</v>
      </c>
      <c r="P61" s="373">
        <f>IF(OR('Pos. 1'!$N$10='Sprachen &amp; Rückgabewerte'!$B$10,'Pos. 1'!$N$10='Sprachen &amp; Rückgabewerte'!$B$11),1,0)</f>
        <v>0</v>
      </c>
      <c r="Q61" s="316">
        <f t="shared" si="14"/>
        <v>1</v>
      </c>
      <c r="R61" s="317">
        <f>IF(AND(P61=1,'Pos. 1'!$N$16=""),1,0)</f>
        <v>0</v>
      </c>
      <c r="U61" s="286"/>
      <c r="V61" s="307"/>
    </row>
    <row r="62" spans="1:22" x14ac:dyDescent="0.2">
      <c r="B62" s="2" t="s">
        <v>264</v>
      </c>
      <c r="C62" s="4" t="b">
        <v>0</v>
      </c>
      <c r="D62" s="2" t="s">
        <v>143</v>
      </c>
      <c r="E62" s="3" t="s">
        <v>144</v>
      </c>
      <c r="F62" s="3" t="s">
        <v>145</v>
      </c>
      <c r="G62" s="4" t="s">
        <v>146</v>
      </c>
      <c r="H62" s="31" t="str">
        <f t="shared" si="1"/>
        <v>RC2: zwingend 1050mm</v>
      </c>
      <c r="I62" s="41"/>
      <c r="K62" s="286" t="s">
        <v>524</v>
      </c>
      <c r="L62" s="290">
        <f>IF(OR(AND('Pos. 1'!$F$10="L",'Pos. 1'!$J$10="R"),AND('Pos. 1'!$J$10="L",'Pos. 1'!$N$10="R"),AND('Pos. 1'!$N$10="L",'Pos. 1'!$R$10="R"),AND('Pos. 1'!$R$10="L",'Pos. 1'!$V$10="R"),AND('Pos. 1'!$V$10="L",'Pos. 1'!$Z$10="R"),AND('Pos. 1'!$Z$10="L",'Pos. 1'!$AD$10="R"),AND('Pos. 1'!$AD$10="L",'Pos. 1'!$AH$10="R"),AND('Pos. 1'!$AH$10="L",'Pos. 1'!$AL$10="R"),AND('Pos. 1'!$AL$10="L",'Pos. 1'!$AP$10="R"),AND('Pos. 1'!F10="F",'Pos. 1'!J10="R"),AND('Pos. 1'!J10="F",'Pos. 1'!N10="R"),AND('Pos. 1'!N10="F",'Pos. 1'!R10="R"),AND('Pos. 1'!R10="F",'Pos. 1'!V10="R"),AND('Pos. 1'!V10="F",'Pos. 1'!Z10="R"),AND('Pos. 1'!Z10="F",'Pos. 1'!AD10="R"),AND('Pos. 1'!AD10="F",'Pos. 1'!AH10="R"),AND('Pos. 1'!AH10="F",'Pos. 1'!AL10="R"),AND('Pos. 1'!AL10="F",'Pos. 1'!AP10="R"),AND('Pos. 1'!F10="L",'Pos. 1'!J10="F"),AND('Pos. 1'!J10="L",'Pos. 1'!N10="F"),AND('Pos. 1'!N10="L",'Pos. 1'!R10="F"),AND('Pos. 1'!R10="L",'Pos. 1'!V10="F"),AND('Pos. 1'!V10="L",'Pos. 1'!Z10="F"),AND('Pos. 1'!Z10="L",'Pos. 1'!AD10="F"),AND('Pos. 1'!AD10="L",'Pos. 1'!AH10="F"),AND('Pos. 1'!AH10="L",'Pos. 1'!AL10="F"),AND('Pos. 1'!AL10="L",'Pos. 1'!AP10="F")),1,0)</f>
        <v>0</v>
      </c>
      <c r="M62" s="295">
        <f>IF(AND(L58=0,SUM(L62:L65)=2),0,SUM(L62:L65))</f>
        <v>1</v>
      </c>
      <c r="O62" s="281" t="s">
        <v>201</v>
      </c>
      <c r="P62" s="373">
        <f>IF(OR('Pos. 1'!$R$10='Sprachen &amp; Rückgabewerte'!$B$10,'Pos. 1'!$R$10='Sprachen &amp; Rückgabewerte'!$B$11),1,0)</f>
        <v>0</v>
      </c>
      <c r="Q62" s="316">
        <f t="shared" si="14"/>
        <v>1</v>
      </c>
      <c r="R62" s="317">
        <f>IF(AND(P62=1,'Pos. 1'!$R$16=""),1,0)</f>
        <v>0</v>
      </c>
      <c r="U62" s="286" t="b">
        <f>IF(OR(M62=2,M62=3),FALSE,TRUE)</f>
        <v>1</v>
      </c>
      <c r="V62" s="307">
        <f t="shared" si="12"/>
        <v>0</v>
      </c>
    </row>
    <row r="63" spans="1:22" ht="15.75" customHeight="1" thickBot="1" x14ac:dyDescent="0.25">
      <c r="B63" s="32" t="s">
        <v>265</v>
      </c>
      <c r="C63" s="47" t="b">
        <v>0</v>
      </c>
      <c r="D63" s="2" t="s">
        <v>147</v>
      </c>
      <c r="E63" s="3" t="s">
        <v>147</v>
      </c>
      <c r="F63" s="3" t="s">
        <v>147</v>
      </c>
      <c r="G63" s="4" t="s">
        <v>147</v>
      </c>
      <c r="H63" s="31" t="str">
        <f t="shared" si="1"/>
        <v>min: RV=200 MVv=750</v>
      </c>
      <c r="I63" s="41"/>
      <c r="K63" s="286"/>
      <c r="L63" s="299">
        <f>IF(AND('Pos. 1'!G20="",'Pos. 1'!K20="",'Pos. 1'!O20="",'Pos. 1'!S20="",'Pos. 1'!W20="",'Pos. 1'!AA20="",'Pos. 1'!AE20="",'Pos. 1'!AI20="",'Pos. 1'!AM20=""),1,2)</f>
        <v>1</v>
      </c>
      <c r="M63" s="300"/>
      <c r="O63" s="281" t="s">
        <v>202</v>
      </c>
      <c r="P63" s="373">
        <f>IF(OR('Pos. 1'!$V$10='Sprachen &amp; Rückgabewerte'!$B$10,'Pos. 1'!$V$10='Sprachen &amp; Rückgabewerte'!$B$11),1,0)</f>
        <v>0</v>
      </c>
      <c r="Q63" s="316">
        <f t="shared" si="14"/>
        <v>1</v>
      </c>
      <c r="R63" s="317">
        <f>IF(AND(P63=1,'Pos. 1'!$V$16=""),1,0)</f>
        <v>0</v>
      </c>
      <c r="T63" s="315" t="s">
        <v>776</v>
      </c>
      <c r="U63" s="286" t="b">
        <f>IF('Pos. 1'!AX25="",FALSE,TRUE)</f>
        <v>0</v>
      </c>
      <c r="V63" s="307">
        <f>IF(U63=FALSE,1,0)</f>
        <v>1</v>
      </c>
    </row>
    <row r="64" spans="1:22" ht="15" customHeight="1" x14ac:dyDescent="0.2">
      <c r="B64" s="181" t="s">
        <v>589</v>
      </c>
      <c r="C64" s="182">
        <f>IF(OR($C$60=TRUE,$C$61=TRUE,$C$62=TRUE,$C$63=TRUE),1,0)</f>
        <v>0</v>
      </c>
      <c r="D64" s="2" t="s">
        <v>151</v>
      </c>
      <c r="E64" s="3" t="s">
        <v>267</v>
      </c>
      <c r="F64" s="3" t="s">
        <v>291</v>
      </c>
      <c r="G64" s="4" t="s">
        <v>305</v>
      </c>
      <c r="H64" s="31" t="str">
        <f t="shared" si="1"/>
        <v>Verschlussgriffe:</v>
      </c>
      <c r="I64" s="41"/>
      <c r="K64" s="286"/>
      <c r="L64" s="299">
        <f>IF(AND($C$45=FALSE,$C$46=FALSE,$C$47=FALSE,$C$48=FALSE),0,1)</f>
        <v>0</v>
      </c>
      <c r="M64" s="300"/>
      <c r="O64" s="281" t="s">
        <v>203</v>
      </c>
      <c r="P64" s="373">
        <f>IF(OR('Pos. 1'!$Z$10='Sprachen &amp; Rückgabewerte'!$B$10,'Pos. 1'!$Z$10='Sprachen &amp; Rückgabewerte'!$B$11),1,0)</f>
        <v>0</v>
      </c>
      <c r="Q64" s="316">
        <f t="shared" si="14"/>
        <v>1</v>
      </c>
      <c r="R64" s="317">
        <f>IF(AND(P64=1,'Pos. 1'!$Z$16=""),1,0)</f>
        <v>0</v>
      </c>
      <c r="T64" s="315" t="s">
        <v>783</v>
      </c>
      <c r="U64" s="286" t="b">
        <f>IF('Pos. 1'!AM87="",FALSE,TRUE)</f>
        <v>0</v>
      </c>
      <c r="V64" s="307">
        <f>IF(U64=FALSE,1,0)</f>
        <v>1</v>
      </c>
    </row>
    <row r="65" spans="2:23" ht="15.75" customHeight="1" thickBot="1" x14ac:dyDescent="0.25">
      <c r="B65" s="90"/>
      <c r="C65" s="89"/>
      <c r="D65" s="2" t="s">
        <v>155</v>
      </c>
      <c r="E65" s="3" t="s">
        <v>268</v>
      </c>
      <c r="F65" s="3" t="s">
        <v>323</v>
      </c>
      <c r="G65" s="317" t="s">
        <v>794</v>
      </c>
      <c r="H65" s="31" t="str">
        <f t="shared" si="1"/>
        <v>mit Verschlussraster (Druckknopf)</v>
      </c>
      <c r="I65" s="41"/>
      <c r="K65" s="286"/>
      <c r="L65" s="292">
        <f>IF(AND('Pos. 1'!H11="",'Pos. 1'!I11="",'Pos. 1'!L11="",'Pos. 1'!M11="",'Pos. 1'!P11="",'Pos. 1'!Q11="",'Pos. 1'!T11="",'Pos. 1'!U11="",'Pos. 1'!X11="",'Pos. 1'!Y11="",'Pos. 1'!AB11="",'Pos. 1'!AC11="",'Pos. 1'!AF11="",'Pos. 1'!AG11="",'Pos. 1'!AJ11="",'Pos. 1'!AK11="",'Pos. 1'!AN11="",'Pos. 1'!AO11=""),0,1)</f>
        <v>0</v>
      </c>
      <c r="M65" s="296"/>
      <c r="O65" s="281" t="s">
        <v>204</v>
      </c>
      <c r="P65" s="373">
        <f>IF(OR('Pos. 1'!$AD$10='Sprachen &amp; Rückgabewerte'!$B$10,'Pos. 1'!$AD$10='Sprachen &amp; Rückgabewerte'!$B$11),1,0)</f>
        <v>0</v>
      </c>
      <c r="Q65" s="316">
        <f t="shared" si="14"/>
        <v>1</v>
      </c>
      <c r="R65" s="317">
        <f>IF(AND(P65=1,'Pos. 1'!$AD$16=""),1,0)</f>
        <v>0</v>
      </c>
      <c r="T65" s="280" t="s">
        <v>912</v>
      </c>
      <c r="U65" s="286" t="b">
        <f>IF(AND(C51=TRUE,'Pos. 1'!V96=""),FALSE,TRUE)</f>
        <v>1</v>
      </c>
      <c r="V65" s="307">
        <f>IF(U65=FALSE,1,0)</f>
        <v>0</v>
      </c>
    </row>
    <row r="66" spans="2:23" ht="25.5" x14ac:dyDescent="0.2">
      <c r="B66" s="187" t="s">
        <v>590</v>
      </c>
      <c r="C66" s="89"/>
      <c r="D66" s="2" t="s">
        <v>443</v>
      </c>
      <c r="E66" s="3" t="s">
        <v>444</v>
      </c>
      <c r="F66" s="3" t="s">
        <v>446</v>
      </c>
      <c r="G66" s="4" t="s">
        <v>445</v>
      </c>
      <c r="H66" s="31" t="str">
        <f t="shared" si="1"/>
        <v>mit Verschlussraster (Zylinder)</v>
      </c>
      <c r="I66" s="41"/>
      <c r="K66" s="301" t="s">
        <v>593</v>
      </c>
      <c r="L66" s="290" t="b">
        <f>IF(AND($I$71=TRUE,'Pos. 1'!$AP$74="",'Pos. 1'!$AP$75="",'Pos. 1'!$AP$76=""),FALSE,TRUE)</f>
        <v>1</v>
      </c>
      <c r="M66" s="295" t="b">
        <f>IF(OR($L$66=FALSE,$L$67=FALSE,$L$68=FALSE,L69=FALSE),FALSE,TRUE)</f>
        <v>0</v>
      </c>
      <c r="O66" s="281" t="s">
        <v>205</v>
      </c>
      <c r="P66" s="373">
        <f>IF(OR('Pos. 1'!$AH$10='Sprachen &amp; Rückgabewerte'!$B$10,'Pos. 1'!$AH$10='Sprachen &amp; Rückgabewerte'!$B$11),1,0)</f>
        <v>0</v>
      </c>
      <c r="Q66" s="316">
        <f t="shared" si="14"/>
        <v>1</v>
      </c>
      <c r="R66" s="317">
        <f>IF(AND(P66=1,'Pos. 1'!$AH$16=""),1,0)</f>
        <v>0</v>
      </c>
      <c r="U66" s="286" t="b">
        <f>M66</f>
        <v>0</v>
      </c>
      <c r="V66" s="307">
        <f t="shared" si="12"/>
        <v>1</v>
      </c>
    </row>
    <row r="67" spans="2:23" ht="15" customHeight="1" x14ac:dyDescent="0.2">
      <c r="B67" s="186"/>
      <c r="C67" s="89"/>
      <c r="D67" s="2" t="s">
        <v>152</v>
      </c>
      <c r="E67" s="3" t="s">
        <v>269</v>
      </c>
      <c r="F67" s="3" t="s">
        <v>324</v>
      </c>
      <c r="G67" s="4" t="s">
        <v>366</v>
      </c>
      <c r="H67" s="31" t="str">
        <f t="shared" si="1"/>
        <v>ohne Verschlussraster</v>
      </c>
      <c r="I67" s="41"/>
      <c r="K67" s="301" t="s">
        <v>594</v>
      </c>
      <c r="L67" s="302" t="b">
        <f>IF('Pos. 1'!AN78="",FALSE,TRUE)</f>
        <v>0</v>
      </c>
      <c r="M67" s="300"/>
      <c r="O67" s="281" t="s">
        <v>206</v>
      </c>
      <c r="P67" s="373">
        <f>IF(OR('Pos. 1'!$AL$10='Sprachen &amp; Rückgabewerte'!$B$10,'Pos. 1'!$AL$10='Sprachen &amp; Rückgabewerte'!$B$11),1,0)</f>
        <v>0</v>
      </c>
      <c r="Q67" s="316">
        <f t="shared" si="14"/>
        <v>1</v>
      </c>
      <c r="R67" s="317">
        <f>IF(AND(P67=1,'Pos. 1'!$AL$16=""),1,0)</f>
        <v>0</v>
      </c>
      <c r="T67" s="315" t="s">
        <v>874</v>
      </c>
      <c r="U67" s="286" t="b">
        <f>IF(R69&gt;0,FALSE,TRUE)</f>
        <v>1</v>
      </c>
      <c r="V67" s="307">
        <f>IF(U67=FALSE,1,0)</f>
        <v>0</v>
      </c>
    </row>
    <row r="68" spans="2:23" ht="15" customHeight="1" x14ac:dyDescent="0.2">
      <c r="B68" s="31" t="str">
        <f>$H$112</f>
        <v>mit CFK</v>
      </c>
      <c r="C68" s="89"/>
      <c r="D68" s="2" t="s">
        <v>153</v>
      </c>
      <c r="E68" s="3" t="s">
        <v>270</v>
      </c>
      <c r="F68" s="3" t="s">
        <v>293</v>
      </c>
      <c r="G68" s="4" t="s">
        <v>367</v>
      </c>
      <c r="H68" s="31" t="str">
        <f t="shared" si="1"/>
        <v>2-Punkt Verriegelung</v>
      </c>
      <c r="I68" s="41"/>
      <c r="J68" s="1" t="str">
        <f>H68</f>
        <v>2-Punkt Verriegelung</v>
      </c>
      <c r="K68" s="301" t="s">
        <v>595</v>
      </c>
      <c r="L68" s="302" t="b">
        <f>IF('Pos. 1'!AN79="",FALSE,TRUE)</f>
        <v>0</v>
      </c>
      <c r="M68" s="300"/>
      <c r="O68" s="281" t="s">
        <v>207</v>
      </c>
      <c r="P68" s="373">
        <f>IF(OR('Pos. 1'!$AP$10='Sprachen &amp; Rückgabewerte'!$B$10,'Pos. 1'!$AP$10='Sprachen &amp; Rückgabewerte'!$B$11),1,0)</f>
        <v>0</v>
      </c>
      <c r="Q68" s="316">
        <f t="shared" si="14"/>
        <v>1</v>
      </c>
      <c r="R68" s="317">
        <f>IF(AND(P68=1,'Pos. 1'!$AP$16=""),1,0)</f>
        <v>0</v>
      </c>
      <c r="T68" s="315" t="s">
        <v>892</v>
      </c>
      <c r="U68" s="286" t="b">
        <f>IF('Pos. 1'!AQ96="",FALSE,TRUE)</f>
        <v>0</v>
      </c>
      <c r="V68" s="307">
        <f>IF(U68=FALSE,1,0)</f>
        <v>1</v>
      </c>
      <c r="W68" s="413">
        <f>SUM(V68:V69)</f>
        <v>1</v>
      </c>
    </row>
    <row r="69" spans="2:23" ht="15" customHeight="1" thickBot="1" x14ac:dyDescent="0.25">
      <c r="B69" s="31" t="str">
        <f>$H$113</f>
        <v>ohne CFK</v>
      </c>
      <c r="C69" s="89"/>
      <c r="D69" s="2" t="s">
        <v>154</v>
      </c>
      <c r="E69" s="3" t="s">
        <v>271</v>
      </c>
      <c r="F69" s="3" t="s">
        <v>292</v>
      </c>
      <c r="G69" s="4" t="s">
        <v>368</v>
      </c>
      <c r="H69" s="31" t="str">
        <f t="shared" si="1"/>
        <v>3-Punkt Verriegelung</v>
      </c>
      <c r="I69" s="41"/>
      <c r="J69" s="1" t="str">
        <f>H69</f>
        <v>3-Punkt Verriegelung</v>
      </c>
      <c r="K69" s="301" t="s">
        <v>596</v>
      </c>
      <c r="L69" s="303" t="b">
        <f>IF('Pos. 1'!$AN$80&lt;&gt;"",TRUE,FALSE)</f>
        <v>0</v>
      </c>
      <c r="M69" s="296"/>
      <c r="O69" s="374"/>
      <c r="P69" s="375"/>
      <c r="Q69" s="376" t="s">
        <v>873</v>
      </c>
      <c r="R69" s="377">
        <f>IF(I20=TRUE,SUM(R59:R68),0)</f>
        <v>0</v>
      </c>
      <c r="T69" s="315" t="s">
        <v>894</v>
      </c>
      <c r="U69" s="286" t="b">
        <f>IF(AND('Pos. 1'!AQ96='Sprachen &amp; Rückgabewerte'!H95,'Pos. 1'!AW96=""),FALSE,TRUE)</f>
        <v>1</v>
      </c>
      <c r="V69" s="307">
        <f>IF(U69=FALSE,1,0)</f>
        <v>0</v>
      </c>
    </row>
    <row r="70" spans="2:23" x14ac:dyDescent="0.2">
      <c r="B70" s="31"/>
      <c r="C70" s="89"/>
      <c r="D70" s="2" t="s">
        <v>266</v>
      </c>
      <c r="E70" s="3" t="s">
        <v>272</v>
      </c>
      <c r="F70" s="3" t="s">
        <v>294</v>
      </c>
      <c r="G70" s="4" t="s">
        <v>306</v>
      </c>
      <c r="H70" s="31" t="str">
        <f t="shared" si="1"/>
        <v>Befestigung:</v>
      </c>
      <c r="I70" s="41"/>
      <c r="K70" s="286" t="s">
        <v>620</v>
      </c>
      <c r="L70" s="304">
        <f>IF(AND(I19=TRUE,O51=1),1,0)</f>
        <v>0</v>
      </c>
      <c r="M70" s="298"/>
      <c r="U70" s="286" t="b">
        <f>IF(AND(I19=TRUE,O51&lt;&gt;1),FALSE,TRUE)</f>
        <v>1</v>
      </c>
      <c r="V70" s="307">
        <f t="shared" si="12"/>
        <v>0</v>
      </c>
    </row>
    <row r="71" spans="2:23" x14ac:dyDescent="0.2">
      <c r="B71" s="31" t="str">
        <f>$H$114</f>
        <v>mit Stahl</v>
      </c>
      <c r="C71" s="89"/>
      <c r="D71" s="2" t="s">
        <v>318</v>
      </c>
      <c r="E71" s="3" t="s">
        <v>319</v>
      </c>
      <c r="F71" s="3" t="s">
        <v>320</v>
      </c>
      <c r="G71" s="4" t="s">
        <v>307</v>
      </c>
      <c r="H71" s="31" t="str">
        <f t="shared" si="1"/>
        <v>Universalschrauben (A2):</v>
      </c>
      <c r="I71" s="41" t="b">
        <v>0</v>
      </c>
      <c r="K71" s="286" t="s">
        <v>698</v>
      </c>
      <c r="L71" s="304">
        <f>IF(OR('Pos. 1'!$F$10='Sprachen &amp; Rückgabewerte'!$B$14,'Pos. 1'!$J$10='Sprachen &amp; Rückgabewerte'!$B$14,'Pos. 1'!$N$10='Sprachen &amp; Rückgabewerte'!B14,'Pos. 1'!$R$10='Sprachen &amp; Rückgabewerte'!$B$14,'Pos. 1'!$V$10='Sprachen &amp; Rückgabewerte'!$B$14,'Pos. 1'!$Z$10='Sprachen &amp; Rückgabewerte'!$B$14,'Pos. 1'!$AD$10='Sprachen &amp; Rückgabewerte'!$B$14,'Pos. 1'!$AH$10='Sprachen &amp; Rückgabewerte'!$B$14,'Pos. 1'!$AL$10='Sprachen &amp; Rückgabewerte'!$B$14,'Pos. 1'!$AP$10='Sprachen &amp; Rückgabewerte'!$B$14),0,1)</f>
        <v>1</v>
      </c>
      <c r="M71" s="298">
        <f>IF(AND(L71=0,'Pos. 1'!AW48=""),0,1)</f>
        <v>1</v>
      </c>
      <c r="U71" s="286" t="b">
        <f>IF(M71=1,TRUE,FALSE)</f>
        <v>1</v>
      </c>
      <c r="V71" s="307">
        <f t="shared" si="12"/>
        <v>0</v>
      </c>
    </row>
    <row r="72" spans="2:23" x14ac:dyDescent="0.2">
      <c r="B72" s="31" t="str">
        <f>$H$115</f>
        <v>ohne Stahl</v>
      </c>
      <c r="C72" s="89"/>
      <c r="D72" s="2" t="s">
        <v>156</v>
      </c>
      <c r="E72" s="3" t="s">
        <v>156</v>
      </c>
      <c r="F72" s="3" t="s">
        <v>156</v>
      </c>
      <c r="G72" s="3" t="s">
        <v>156</v>
      </c>
      <c r="H72" s="31" t="str">
        <f t="shared" ref="H72:H88" si="15">IF($B$3=$A$3,D72,IF($B$3=$A$4,E72,IF($B$3=$A$5,F72,IF($B$3=$A$6,G72,""))))</f>
        <v>L=52mm</v>
      </c>
      <c r="I72" s="41"/>
      <c r="J72" s="1" t="str">
        <f>H72</f>
        <v>L=52mm</v>
      </c>
      <c r="K72" s="305" t="s">
        <v>761</v>
      </c>
      <c r="L72" s="306">
        <f>C95</f>
        <v>6</v>
      </c>
      <c r="M72" s="307"/>
      <c r="U72" s="286" t="b">
        <f>IF(AND(L72&gt;0,I50=TRUE),FALSE,TRUE)</f>
        <v>1</v>
      </c>
      <c r="V72" s="307">
        <f t="shared" si="12"/>
        <v>0</v>
      </c>
    </row>
    <row r="73" spans="2:23" x14ac:dyDescent="0.2">
      <c r="B73" s="31"/>
      <c r="C73" s="89"/>
      <c r="D73" s="2" t="s">
        <v>157</v>
      </c>
      <c r="E73" s="3" t="s">
        <v>157</v>
      </c>
      <c r="F73" s="3" t="s">
        <v>157</v>
      </c>
      <c r="G73" s="3" t="s">
        <v>157</v>
      </c>
      <c r="H73" s="31" t="str">
        <f t="shared" si="15"/>
        <v>L=82mm</v>
      </c>
      <c r="I73" s="41"/>
      <c r="J73" s="1" t="str">
        <f>H73</f>
        <v>L=82mm</v>
      </c>
      <c r="K73" s="305" t="s">
        <v>763</v>
      </c>
      <c r="L73" s="306">
        <f>A50</f>
        <v>0</v>
      </c>
      <c r="M73" s="307"/>
      <c r="T73" s="280"/>
      <c r="U73" s="286" t="b">
        <f>IF(L73=0,TRUE,FALSE)</f>
        <v>1</v>
      </c>
      <c r="V73" s="307">
        <f t="shared" si="12"/>
        <v>0</v>
      </c>
    </row>
    <row r="74" spans="2:23" x14ac:dyDescent="0.2">
      <c r="B74" s="31" t="str">
        <f>$H$120</f>
        <v>mit AL.</v>
      </c>
      <c r="C74" s="89"/>
      <c r="D74" s="2" t="s">
        <v>158</v>
      </c>
      <c r="E74" s="3" t="s">
        <v>158</v>
      </c>
      <c r="F74" s="3" t="s">
        <v>158</v>
      </c>
      <c r="G74" s="3" t="s">
        <v>158</v>
      </c>
      <c r="H74" s="31" t="str">
        <f t="shared" si="15"/>
        <v>L=112mm</v>
      </c>
      <c r="I74" s="41"/>
      <c r="J74" s="1" t="str">
        <f>H74</f>
        <v>L=112mm</v>
      </c>
      <c r="K74" s="305" t="s">
        <v>339</v>
      </c>
      <c r="L74" s="306" t="b">
        <f>IF(AND(I51=TRUE,'Pos. 1'!AP86=""),FALSE,TRUE)</f>
        <v>1</v>
      </c>
      <c r="M74" s="307"/>
      <c r="U74" s="286" t="b">
        <f>L74</f>
        <v>1</v>
      </c>
      <c r="V74" s="307">
        <f t="shared" si="12"/>
        <v>0</v>
      </c>
    </row>
    <row r="75" spans="2:23" x14ac:dyDescent="0.2">
      <c r="B75" s="31" t="str">
        <f>$H$121</f>
        <v>ohne AL.</v>
      </c>
      <c r="C75" s="89"/>
      <c r="D75" s="281" t="s">
        <v>879</v>
      </c>
      <c r="E75" s="316" t="s">
        <v>880</v>
      </c>
      <c r="F75" s="316" t="s">
        <v>881</v>
      </c>
      <c r="G75" s="317" t="s">
        <v>882</v>
      </c>
      <c r="H75" s="31" t="str">
        <f t="shared" si="15"/>
        <v>(VE à 100 Stk.)</v>
      </c>
      <c r="I75" s="41"/>
      <c r="K75" s="305" t="s">
        <v>764</v>
      </c>
      <c r="L75" s="306" t="b">
        <f>IF(AND(I22=TRUE,'Pos. 1'!AL39=""),FALSE,TRUE)</f>
        <v>1</v>
      </c>
      <c r="M75" s="307"/>
      <c r="U75" s="286" t="b">
        <f>L75</f>
        <v>1</v>
      </c>
      <c r="V75" s="307">
        <f t="shared" si="12"/>
        <v>0</v>
      </c>
    </row>
    <row r="76" spans="2:23" x14ac:dyDescent="0.2">
      <c r="B76" s="31"/>
      <c r="D76" s="2" t="s">
        <v>159</v>
      </c>
      <c r="E76" s="3" t="s">
        <v>273</v>
      </c>
      <c r="F76" s="3" t="s">
        <v>295</v>
      </c>
      <c r="G76" s="4" t="s">
        <v>308</v>
      </c>
      <c r="H76" s="31" t="str">
        <f t="shared" si="15"/>
        <v>Sockelbefestigung:</v>
      </c>
      <c r="I76" s="41"/>
      <c r="K76" s="305" t="s">
        <v>765</v>
      </c>
      <c r="L76" s="306" t="b">
        <f>IF(AND(I45=TRUE,'Pos. 1'!AI57=""),FALSE,TRUE)</f>
        <v>1</v>
      </c>
      <c r="M76" s="307"/>
      <c r="U76" s="286" t="b">
        <f t="shared" ref="U76:U77" si="16">L76</f>
        <v>1</v>
      </c>
      <c r="V76" s="307">
        <f t="shared" si="12"/>
        <v>0</v>
      </c>
    </row>
    <row r="77" spans="2:23" ht="13.5" thickBot="1" x14ac:dyDescent="0.25">
      <c r="B77" s="31" t="str">
        <f>$H$122</f>
        <v>mit Stahl (&gt;2.5m)</v>
      </c>
      <c r="D77" s="2" t="s">
        <v>160</v>
      </c>
      <c r="E77" s="3" t="s">
        <v>274</v>
      </c>
      <c r="F77" s="3" t="s">
        <v>296</v>
      </c>
      <c r="G77" s="4" t="s">
        <v>309</v>
      </c>
      <c r="H77" s="31" t="str">
        <f t="shared" si="15"/>
        <v>Verstellschrauben M10 x</v>
      </c>
      <c r="I77" s="41"/>
      <c r="J77" s="1" t="str">
        <f>H80</f>
        <v>ohne</v>
      </c>
      <c r="K77" s="308" t="s">
        <v>766</v>
      </c>
      <c r="L77" s="309" t="b">
        <f>IF(OR('Pos. 1'!AE84='Sprachen &amp; Rückgabewerte'!H88,AND('Pos. 1'!AE84='Sprachen &amp; Rückgabewerte'!H89,'Pos. 1'!AE85&lt;&gt;"")),TRUE,FALSE)</f>
        <v>0</v>
      </c>
      <c r="M77" s="310"/>
      <c r="U77" s="286" t="b">
        <f t="shared" si="16"/>
        <v>0</v>
      </c>
      <c r="V77" s="307">
        <f t="shared" si="12"/>
        <v>1</v>
      </c>
    </row>
    <row r="78" spans="2:23" ht="13.5" thickBot="1" x14ac:dyDescent="0.25">
      <c r="B78" s="185" t="str">
        <f>$H$123</f>
        <v>ohne Stahl (&lt;2.5m)</v>
      </c>
      <c r="D78" s="2" t="s">
        <v>161</v>
      </c>
      <c r="E78" s="3" t="s">
        <v>161</v>
      </c>
      <c r="F78" s="3" t="s">
        <v>161</v>
      </c>
      <c r="G78" s="3" t="s">
        <v>161</v>
      </c>
      <c r="H78" s="31" t="str">
        <f t="shared" si="15"/>
        <v>L=70mm</v>
      </c>
      <c r="I78" s="41"/>
      <c r="J78" s="1" t="str">
        <f>H78</f>
        <v>L=70mm</v>
      </c>
      <c r="K78" s="34" t="s">
        <v>442</v>
      </c>
      <c r="L78" s="50"/>
      <c r="M78" s="50"/>
      <c r="N78" s="50"/>
      <c r="O78" s="39"/>
      <c r="T78" s="315" t="s">
        <v>943</v>
      </c>
      <c r="U78" s="286" t="b">
        <f>IF('Pos. 1'!AZ9="",FALSE,TRUE)</f>
        <v>0</v>
      </c>
      <c r="V78" s="307">
        <f t="shared" ref="V78:V79" si="17">IF(U78=FALSE,1,0)</f>
        <v>1</v>
      </c>
      <c r="W78" s="1">
        <f>SUM(V78:V79)</f>
        <v>2</v>
      </c>
    </row>
    <row r="79" spans="2:23" ht="13.5" thickBot="1" x14ac:dyDescent="0.25">
      <c r="D79" s="2" t="s">
        <v>162</v>
      </c>
      <c r="E79" s="3" t="s">
        <v>162</v>
      </c>
      <c r="F79" s="3" t="s">
        <v>162</v>
      </c>
      <c r="G79" s="3" t="s">
        <v>162</v>
      </c>
      <c r="H79" s="31" t="str">
        <f t="shared" si="15"/>
        <v>L=100mm</v>
      </c>
      <c r="I79" s="41"/>
      <c r="J79" s="1" t="str">
        <f>H79</f>
        <v>L=100mm</v>
      </c>
      <c r="K79" s="99" t="str">
        <f>H65</f>
        <v>mit Verschlussraster (Druckknopf)</v>
      </c>
      <c r="L79" s="100"/>
      <c r="M79" s="101"/>
      <c r="N79" s="106" t="str">
        <f>IF(OR(C62=TRUE,C63=TRUE),K81,K79)</f>
        <v>mit Verschlussraster (Druckknopf)</v>
      </c>
      <c r="O79" s="107"/>
      <c r="T79" s="315" t="s">
        <v>944</v>
      </c>
      <c r="U79" s="286" t="b">
        <f>IF('Pos. 1'!AZ10="",FALSE,TRUE)</f>
        <v>0</v>
      </c>
      <c r="V79" s="307">
        <f t="shared" si="17"/>
        <v>1</v>
      </c>
    </row>
    <row r="80" spans="2:23" ht="13.5" thickBot="1" x14ac:dyDescent="0.25">
      <c r="B80" s="57" t="s">
        <v>619</v>
      </c>
      <c r="D80" s="2" t="s">
        <v>163</v>
      </c>
      <c r="E80" s="3" t="s">
        <v>275</v>
      </c>
      <c r="F80" s="3" t="s">
        <v>297</v>
      </c>
      <c r="G80" s="4" t="s">
        <v>310</v>
      </c>
      <c r="H80" s="31" t="str">
        <f t="shared" si="15"/>
        <v>ohne</v>
      </c>
      <c r="I80" s="41"/>
      <c r="J80" s="1" t="str">
        <f>H80</f>
        <v>ohne</v>
      </c>
      <c r="K80" s="102" t="str">
        <f>H67</f>
        <v>ohne Verschlussraster</v>
      </c>
      <c r="L80" s="103"/>
      <c r="M80" s="42"/>
      <c r="N80" s="327" t="str">
        <f>IF(OR(C62=TRUE,C63=TRUE),K82,K80)</f>
        <v>ohne Verschlussraster</v>
      </c>
      <c r="O80" s="22"/>
      <c r="U80" s="286"/>
      <c r="V80" s="307"/>
    </row>
    <row r="81" spans="1:22" x14ac:dyDescent="0.2">
      <c r="A81" s="220">
        <v>280</v>
      </c>
      <c r="B81" s="217" t="str">
        <f>""</f>
        <v/>
      </c>
      <c r="C81" s="223">
        <v>214</v>
      </c>
      <c r="D81" s="2" t="s">
        <v>164</v>
      </c>
      <c r="E81" s="3" t="s">
        <v>276</v>
      </c>
      <c r="F81" s="3" t="s">
        <v>298</v>
      </c>
      <c r="G81" s="4" t="s">
        <v>311</v>
      </c>
      <c r="H81" s="31" t="str">
        <f t="shared" si="15"/>
        <v>inklusive</v>
      </c>
      <c r="I81" s="41"/>
      <c r="J81" s="1" t="str">
        <f>H81</f>
        <v>inklusive</v>
      </c>
      <c r="K81" s="102" t="str">
        <f>H66</f>
        <v>mit Verschlussraster (Zylinder)</v>
      </c>
      <c r="L81" s="103"/>
      <c r="M81" s="42"/>
      <c r="N81" s="108"/>
      <c r="O81" s="22"/>
      <c r="U81" s="286"/>
      <c r="V81" s="307"/>
    </row>
    <row r="82" spans="1:22" ht="13.5" thickBot="1" x14ac:dyDescent="0.25">
      <c r="A82" s="221">
        <v>254</v>
      </c>
      <c r="B82" s="218">
        <v>85</v>
      </c>
      <c r="C82" s="224">
        <f>IF('Pos. 1'!$T$114='Sprachen &amp; Rückgabewerte'!$J$146,130,144)</f>
        <v>144</v>
      </c>
      <c r="D82" s="2" t="s">
        <v>277</v>
      </c>
      <c r="E82" s="3" t="s">
        <v>278</v>
      </c>
      <c r="F82" s="3" t="s">
        <v>299</v>
      </c>
      <c r="G82" s="4" t="s">
        <v>278</v>
      </c>
      <c r="H82" s="31" t="str">
        <f t="shared" si="15"/>
        <v>Sockel 75</v>
      </c>
      <c r="I82" s="41"/>
      <c r="J82" s="1" t="str">
        <f>H82</f>
        <v>Sockel 75</v>
      </c>
      <c r="K82" s="104" t="str">
        <f>H160</f>
        <v>ohne Verschlussraster (Zylinder)</v>
      </c>
      <c r="L82" s="105"/>
      <c r="M82" s="85"/>
      <c r="N82" s="105"/>
      <c r="O82" s="24"/>
      <c r="U82" s="440"/>
      <c r="V82" s="441"/>
    </row>
    <row r="83" spans="1:22" ht="13.5" thickBot="1" x14ac:dyDescent="0.25">
      <c r="A83" s="221">
        <v>254</v>
      </c>
      <c r="B83" s="218">
        <v>105</v>
      </c>
      <c r="C83" s="224">
        <f>IF('Pos. 1'!$T$114='Sprachen &amp; Rückgabewerte'!$J$146,158,172)</f>
        <v>172</v>
      </c>
      <c r="D83" s="2" t="s">
        <v>163</v>
      </c>
      <c r="E83" s="3" t="s">
        <v>275</v>
      </c>
      <c r="F83" s="3" t="s">
        <v>297</v>
      </c>
      <c r="G83" s="4" t="s">
        <v>310</v>
      </c>
      <c r="H83" s="31" t="str">
        <f t="shared" si="15"/>
        <v>ohne</v>
      </c>
      <c r="I83" s="41"/>
      <c r="T83" s="314" t="s">
        <v>767</v>
      </c>
      <c r="U83" s="438" t="b">
        <f>IF(V83&gt;0,FALSE,TRUE)</f>
        <v>0</v>
      </c>
      <c r="V83" s="439">
        <f>SUM(V41:V82)</f>
        <v>20</v>
      </c>
    </row>
    <row r="84" spans="1:22" ht="13.5" thickBot="1" x14ac:dyDescent="0.25">
      <c r="A84" s="222">
        <v>228</v>
      </c>
      <c r="B84" s="219">
        <v>110</v>
      </c>
      <c r="C84" s="225">
        <f>IF('Pos. 1'!$T$114='Sprachen &amp; Rückgabewerte'!$J$146,186,200)</f>
        <v>200</v>
      </c>
      <c r="D84" s="2" t="s">
        <v>165</v>
      </c>
      <c r="E84" s="3" t="s">
        <v>279</v>
      </c>
      <c r="F84" s="3" t="s">
        <v>300</v>
      </c>
      <c r="G84" s="4" t="s">
        <v>312</v>
      </c>
      <c r="H84" s="31" t="str">
        <f t="shared" si="15"/>
        <v>Rahmenzusammenbau:</v>
      </c>
      <c r="I84" s="41"/>
    </row>
    <row r="85" spans="1:22" x14ac:dyDescent="0.2">
      <c r="D85" s="2" t="s">
        <v>166</v>
      </c>
      <c r="E85" s="3" t="s">
        <v>280</v>
      </c>
      <c r="F85" s="3" t="s">
        <v>301</v>
      </c>
      <c r="G85" s="4" t="s">
        <v>313</v>
      </c>
      <c r="H85" s="31" t="str">
        <f t="shared" si="15"/>
        <v>Gehrungsstoss (A)</v>
      </c>
      <c r="I85" s="41"/>
      <c r="J85" s="1" t="str">
        <f>H85</f>
        <v>Gehrungsstoss (A)</v>
      </c>
      <c r="L85" s="544" t="s">
        <v>711</v>
      </c>
      <c r="M85" s="545"/>
      <c r="N85" s="280"/>
    </row>
    <row r="86" spans="1:22" ht="13.5" thickBot="1" x14ac:dyDescent="0.25">
      <c r="D86" s="2" t="s">
        <v>334</v>
      </c>
      <c r="E86" s="3" t="s">
        <v>281</v>
      </c>
      <c r="F86" s="3" t="s">
        <v>302</v>
      </c>
      <c r="G86" s="4" t="s">
        <v>507</v>
      </c>
      <c r="H86" s="31" t="str">
        <f t="shared" si="15"/>
        <v>Montagestoss (B)</v>
      </c>
      <c r="I86" s="41"/>
      <c r="J86" s="1" t="str">
        <f>H86</f>
        <v>Montagestoss (B)</v>
      </c>
      <c r="L86" s="252"/>
      <c r="M86" s="45"/>
    </row>
    <row r="87" spans="1:22" x14ac:dyDescent="0.2">
      <c r="B87" s="542" t="s">
        <v>649</v>
      </c>
      <c r="C87" s="543"/>
      <c r="D87" s="2" t="s">
        <v>167</v>
      </c>
      <c r="E87" s="3" t="s">
        <v>282</v>
      </c>
      <c r="F87" s="3" t="s">
        <v>342</v>
      </c>
      <c r="G87" s="4" t="s">
        <v>314</v>
      </c>
      <c r="H87" s="31" t="str">
        <f t="shared" si="15"/>
        <v>Logistik:</v>
      </c>
      <c r="I87" s="41"/>
      <c r="L87" s="253">
        <v>1</v>
      </c>
      <c r="M87" s="4" t="str">
        <f>CONCATENATE($H$154," ",L87)</f>
        <v>Kalenderwoche 1</v>
      </c>
      <c r="N87" s="280"/>
    </row>
    <row r="88" spans="1:22" x14ac:dyDescent="0.2">
      <c r="B88" s="23" t="s">
        <v>650</v>
      </c>
      <c r="C88" s="40">
        <f>IF(AND(I50=TRUE,'Pos. 1'!T104&lt;&gt;""),0,1)</f>
        <v>1</v>
      </c>
      <c r="D88" s="2" t="s">
        <v>335</v>
      </c>
      <c r="E88" s="316" t="s">
        <v>771</v>
      </c>
      <c r="F88" s="3" t="s">
        <v>336</v>
      </c>
      <c r="G88" s="4" t="s">
        <v>522</v>
      </c>
      <c r="H88" s="31" t="str">
        <f t="shared" si="15"/>
        <v>ohne Glas-Sortierung</v>
      </c>
      <c r="I88" s="41"/>
      <c r="J88" s="1" t="str">
        <f>H88</f>
        <v>ohne Glas-Sortierung</v>
      </c>
      <c r="L88" s="253">
        <v>2</v>
      </c>
      <c r="M88" s="4" t="str">
        <f t="shared" ref="M88:M138" si="18">CONCATENATE($H$154," ",L88)</f>
        <v>Kalenderwoche 2</v>
      </c>
    </row>
    <row r="89" spans="1:22" x14ac:dyDescent="0.2">
      <c r="B89" s="2" t="s">
        <v>651</v>
      </c>
      <c r="C89" s="37">
        <f>IF(AND(I50=TRUE,'Pos. 1'!T106&lt;&gt;""),0,1)</f>
        <v>1</v>
      </c>
      <c r="D89" s="2" t="s">
        <v>168</v>
      </c>
      <c r="E89" s="3" t="s">
        <v>337</v>
      </c>
      <c r="F89" s="3" t="s">
        <v>338</v>
      </c>
      <c r="G89" s="4" t="s">
        <v>523</v>
      </c>
      <c r="H89" s="31" t="str">
        <f>IF($B$3=$A$3,D89,IF($B$3=$A$4,E89,IF($B$3=$A$5,F89,IF($B$3=$A$6,$G$89,""))))</f>
        <v>nach Stockwerk:</v>
      </c>
      <c r="I89" s="41"/>
      <c r="J89" s="1" t="str">
        <f>H89</f>
        <v>nach Stockwerk:</v>
      </c>
      <c r="L89" s="253">
        <v>3</v>
      </c>
      <c r="M89" s="4" t="str">
        <f t="shared" si="18"/>
        <v>Kalenderwoche 3</v>
      </c>
    </row>
    <row r="90" spans="1:22" x14ac:dyDescent="0.2">
      <c r="B90" s="2" t="s">
        <v>652</v>
      </c>
      <c r="C90" s="37">
        <f>IF(AND(I50=TRUE,'Pos. 1'!T108&lt;&gt;""),0,1)</f>
        <v>1</v>
      </c>
      <c r="D90" s="2" t="s">
        <v>284</v>
      </c>
      <c r="E90" s="3" t="s">
        <v>283</v>
      </c>
      <c r="F90" s="3" t="s">
        <v>303</v>
      </c>
      <c r="G90" s="4" t="s">
        <v>369</v>
      </c>
      <c r="H90" s="31" t="str">
        <f>IF($B$3=$A$3,D90,IF($B$3=$A$4,E90,IF($B$3=$A$5,F90,IF($B$3=$A$6,G90,""))))</f>
        <v>Wunschtermin:</v>
      </c>
      <c r="I90" s="41"/>
      <c r="L90" s="253">
        <v>4</v>
      </c>
      <c r="M90" s="4" t="str">
        <f t="shared" si="18"/>
        <v>Kalenderwoche 4</v>
      </c>
    </row>
    <row r="91" spans="1:22" x14ac:dyDescent="0.2">
      <c r="B91" s="2" t="s">
        <v>653</v>
      </c>
      <c r="C91" s="37">
        <f>IF(AND(I50=TRUE,'Pos. 1'!T110&lt;&gt;""),0,1)</f>
        <v>1</v>
      </c>
      <c r="D91" s="2" t="s">
        <v>386</v>
      </c>
      <c r="E91" s="3" t="s">
        <v>285</v>
      </c>
      <c r="F91" s="3" t="s">
        <v>387</v>
      </c>
      <c r="G91" s="4" t="s">
        <v>388</v>
      </c>
      <c r="H91" s="31" t="str">
        <f t="shared" ref="H91:H111" si="19">IF($B$3=$A$3,D91,IF($B$3=$A$4,E91,IF($B$3=$A$5,F91,IF($B$3=$A$6,G91,""))))</f>
        <v>Farbe Laufschiene + Schraubenarretierungen:</v>
      </c>
      <c r="I91" s="41"/>
      <c r="L91" s="253">
        <v>5</v>
      </c>
      <c r="M91" s="4" t="str">
        <f t="shared" si="18"/>
        <v>Kalenderwoche 5</v>
      </c>
    </row>
    <row r="92" spans="1:22" x14ac:dyDescent="0.2">
      <c r="B92" s="2" t="s">
        <v>654</v>
      </c>
      <c r="C92" s="37">
        <f>IF(AND(I50=TRUE,'Pos. 1'!T112&lt;&gt;""),0,1)</f>
        <v>1</v>
      </c>
      <c r="D92" s="2" t="s">
        <v>434</v>
      </c>
      <c r="E92" s="3" t="s">
        <v>435</v>
      </c>
      <c r="F92" s="3" t="s">
        <v>436</v>
      </c>
      <c r="G92" s="4" t="s">
        <v>437</v>
      </c>
      <c r="H92" s="31" t="str">
        <f t="shared" si="19"/>
        <v>Silber</v>
      </c>
      <c r="I92" s="41"/>
      <c r="J92" s="1" t="str">
        <f>H92</f>
        <v>Silber</v>
      </c>
      <c r="L92" s="253">
        <v>6</v>
      </c>
      <c r="M92" s="4" t="str">
        <f t="shared" si="18"/>
        <v>Kalenderwoche 6</v>
      </c>
    </row>
    <row r="93" spans="1:22" x14ac:dyDescent="0.2">
      <c r="B93" s="2" t="s">
        <v>655</v>
      </c>
      <c r="C93" s="37">
        <f>IF(AND(I50=TRUE,'Pos. 1'!T114&lt;&gt;""),0,1)</f>
        <v>1</v>
      </c>
      <c r="D93" s="2" t="s">
        <v>169</v>
      </c>
      <c r="E93" s="3" t="s">
        <v>286</v>
      </c>
      <c r="F93" s="3" t="s">
        <v>304</v>
      </c>
      <c r="G93" s="4" t="s">
        <v>315</v>
      </c>
      <c r="H93" s="31" t="str">
        <f t="shared" si="19"/>
        <v>Schwarz</v>
      </c>
      <c r="I93" s="41"/>
      <c r="J93" s="1" t="str">
        <f>H93</f>
        <v>Schwarz</v>
      </c>
      <c r="L93" s="253">
        <v>7</v>
      </c>
      <c r="M93" s="4" t="str">
        <f t="shared" si="18"/>
        <v>Kalenderwoche 7</v>
      </c>
      <c r="N93" s="322"/>
    </row>
    <row r="94" spans="1:22" x14ac:dyDescent="0.2">
      <c r="B94" s="2"/>
      <c r="C94" s="4"/>
      <c r="D94" s="2" t="s">
        <v>380</v>
      </c>
      <c r="E94" s="3" t="s">
        <v>592</v>
      </c>
      <c r="F94" s="3" t="s">
        <v>378</v>
      </c>
      <c r="G94" s="4" t="s">
        <v>381</v>
      </c>
      <c r="H94" s="31" t="str">
        <f t="shared" si="19"/>
        <v>Druckausgleichsventile :</v>
      </c>
      <c r="I94" s="41"/>
      <c r="L94" s="253">
        <v>8</v>
      </c>
      <c r="M94" s="4" t="str">
        <f t="shared" si="18"/>
        <v>Kalenderwoche 8</v>
      </c>
    </row>
    <row r="95" spans="1:22" ht="13.5" thickBot="1" x14ac:dyDescent="0.25">
      <c r="B95" s="226" t="s">
        <v>656</v>
      </c>
      <c r="C95" s="227">
        <f>SUM(C88:C93)</f>
        <v>6</v>
      </c>
      <c r="D95" s="2" t="s">
        <v>170</v>
      </c>
      <c r="E95" s="3" t="s">
        <v>175</v>
      </c>
      <c r="F95" s="3" t="s">
        <v>325</v>
      </c>
      <c r="G95" s="4" t="s">
        <v>316</v>
      </c>
      <c r="H95" s="31" t="str">
        <f t="shared" si="19"/>
        <v>Ja</v>
      </c>
      <c r="I95" s="41"/>
      <c r="J95" s="1" t="str">
        <f>H95</f>
        <v>Ja</v>
      </c>
      <c r="L95" s="253">
        <v>9</v>
      </c>
      <c r="M95" s="4" t="str">
        <f t="shared" si="18"/>
        <v>Kalenderwoche 9</v>
      </c>
    </row>
    <row r="96" spans="1:22" x14ac:dyDescent="0.2">
      <c r="D96" s="2" t="s">
        <v>171</v>
      </c>
      <c r="E96" s="3" t="s">
        <v>176</v>
      </c>
      <c r="F96" s="316" t="s">
        <v>799</v>
      </c>
      <c r="G96" s="4" t="s">
        <v>176</v>
      </c>
      <c r="H96" s="31" t="str">
        <f t="shared" si="19"/>
        <v>Nein</v>
      </c>
      <c r="I96" s="41"/>
      <c r="J96" s="1" t="str">
        <f>H96</f>
        <v>Nein</v>
      </c>
      <c r="L96" s="253">
        <v>10</v>
      </c>
      <c r="M96" s="4" t="str">
        <f t="shared" si="18"/>
        <v>Kalenderwoche 10</v>
      </c>
    </row>
    <row r="97" spans="4:14" x14ac:dyDescent="0.2">
      <c r="D97" s="2" t="s">
        <v>172</v>
      </c>
      <c r="E97" s="3" t="s">
        <v>177</v>
      </c>
      <c r="F97" s="3" t="s">
        <v>326</v>
      </c>
      <c r="G97" s="4" t="s">
        <v>317</v>
      </c>
      <c r="H97" s="31" t="str">
        <f t="shared" si="19"/>
        <v>Digitale Unterschrift:</v>
      </c>
      <c r="I97" s="41"/>
      <c r="L97" s="253">
        <v>11</v>
      </c>
      <c r="M97" s="4" t="str">
        <f t="shared" si="18"/>
        <v>Kalenderwoche 11</v>
      </c>
    </row>
    <row r="98" spans="4:14" x14ac:dyDescent="0.2">
      <c r="D98" s="2" t="s">
        <v>174</v>
      </c>
      <c r="E98" s="3" t="s">
        <v>287</v>
      </c>
      <c r="F98" s="3" t="s">
        <v>327</v>
      </c>
      <c r="G98" s="4" t="s">
        <v>370</v>
      </c>
      <c r="H98" s="31" t="str">
        <f t="shared" si="19"/>
        <v>Bestellung an:</v>
      </c>
      <c r="I98" s="41"/>
      <c r="L98" s="253">
        <v>12</v>
      </c>
      <c r="M98" s="4" t="str">
        <f t="shared" si="18"/>
        <v>Kalenderwoche 12</v>
      </c>
    </row>
    <row r="99" spans="4:14" x14ac:dyDescent="0.2">
      <c r="D99" s="2" t="s">
        <v>173</v>
      </c>
      <c r="E99" s="3" t="s">
        <v>173</v>
      </c>
      <c r="F99" s="3" t="s">
        <v>173</v>
      </c>
      <c r="G99" s="4" t="s">
        <v>173</v>
      </c>
      <c r="H99" s="31" t="str">
        <f t="shared" si="19"/>
        <v>orders@sky-frame.ch</v>
      </c>
      <c r="I99" s="41"/>
      <c r="L99" s="253">
        <v>13</v>
      </c>
      <c r="M99" s="4" t="str">
        <f t="shared" si="18"/>
        <v>Kalenderwoche 13</v>
      </c>
    </row>
    <row r="100" spans="4:14" x14ac:dyDescent="0.2">
      <c r="D100" s="2"/>
      <c r="E100" s="3"/>
      <c r="F100" s="3"/>
      <c r="G100" s="4"/>
      <c r="H100" s="31">
        <f t="shared" si="19"/>
        <v>0</v>
      </c>
      <c r="I100" s="41"/>
      <c r="L100" s="253">
        <v>14</v>
      </c>
      <c r="M100" s="4" t="str">
        <f t="shared" si="18"/>
        <v>Kalenderwoche 14</v>
      </c>
    </row>
    <row r="101" spans="4:14" x14ac:dyDescent="0.2">
      <c r="D101" s="2"/>
      <c r="E101" s="3"/>
      <c r="F101" s="3"/>
      <c r="G101" s="4"/>
      <c r="H101" s="31">
        <f t="shared" si="19"/>
        <v>0</v>
      </c>
      <c r="I101" s="41"/>
      <c r="L101" s="253">
        <v>15</v>
      </c>
      <c r="M101" s="4" t="str">
        <f t="shared" si="18"/>
        <v>Kalenderwoche 15</v>
      </c>
    </row>
    <row r="102" spans="4:14" ht="51" x14ac:dyDescent="0.2">
      <c r="D102" s="10" t="s">
        <v>510</v>
      </c>
      <c r="E102" s="11" t="s">
        <v>288</v>
      </c>
      <c r="F102" s="278" t="s">
        <v>752</v>
      </c>
      <c r="G102" s="12" t="s">
        <v>430</v>
      </c>
      <c r="H102" s="49" t="str">
        <f t="shared" si="19"/>
        <v>Diese Bestellung ist verbindlich und muss komplett ausgefüllt werden. Änderungen werden als Mehraufwand verrechnet.</v>
      </c>
      <c r="I102" s="41"/>
      <c r="L102" s="253">
        <v>16</v>
      </c>
      <c r="M102" s="4" t="str">
        <f t="shared" si="18"/>
        <v>Kalenderwoche 16</v>
      </c>
    </row>
    <row r="103" spans="4:14" ht="12.75" customHeight="1" x14ac:dyDescent="0.2">
      <c r="D103" s="10"/>
      <c r="E103" s="3"/>
      <c r="F103" s="3"/>
      <c r="G103" s="4"/>
      <c r="H103" s="31"/>
      <c r="I103" s="41"/>
      <c r="L103" s="253">
        <v>17</v>
      </c>
      <c r="M103" s="4" t="str">
        <f t="shared" si="18"/>
        <v>Kalenderwoche 17</v>
      </c>
      <c r="N103" s="322"/>
    </row>
    <row r="104" spans="4:14" ht="12.75" customHeight="1" x14ac:dyDescent="0.2">
      <c r="D104" s="2" t="s">
        <v>212</v>
      </c>
      <c r="E104" s="279" t="s">
        <v>759</v>
      </c>
      <c r="F104" s="3" t="s">
        <v>328</v>
      </c>
      <c r="G104" s="4" t="s">
        <v>371</v>
      </c>
      <c r="H104" s="31" t="str">
        <f t="shared" si="19"/>
        <v>A-Ecke 90°</v>
      </c>
      <c r="I104" s="41"/>
      <c r="L104" s="253">
        <v>18</v>
      </c>
      <c r="M104" s="4" t="str">
        <f t="shared" si="18"/>
        <v>Kalenderwoche 18</v>
      </c>
    </row>
    <row r="105" spans="4:14" ht="12.75" customHeight="1" x14ac:dyDescent="0.2">
      <c r="D105" s="2" t="s">
        <v>213</v>
      </c>
      <c r="E105" s="279" t="s">
        <v>758</v>
      </c>
      <c r="F105" s="3" t="s">
        <v>461</v>
      </c>
      <c r="G105" s="4" t="s">
        <v>372</v>
      </c>
      <c r="H105" s="31" t="str">
        <f t="shared" si="19"/>
        <v>I-Ecke 90°</v>
      </c>
      <c r="I105" s="41"/>
      <c r="L105" s="253">
        <v>19</v>
      </c>
      <c r="M105" s="4" t="str">
        <f t="shared" si="18"/>
        <v>Kalenderwoche 19</v>
      </c>
    </row>
    <row r="106" spans="4:14" ht="12.75" customHeight="1" x14ac:dyDescent="0.2">
      <c r="D106" s="2" t="s">
        <v>215</v>
      </c>
      <c r="E106" s="279" t="s">
        <v>757</v>
      </c>
      <c r="F106" s="3" t="s">
        <v>329</v>
      </c>
      <c r="G106" s="4" t="s">
        <v>373</v>
      </c>
      <c r="H106" s="31" t="str">
        <f t="shared" si="19"/>
        <v>A-Ecke≠90°</v>
      </c>
      <c r="I106" s="41"/>
      <c r="L106" s="253">
        <v>20</v>
      </c>
      <c r="M106" s="4" t="str">
        <f t="shared" si="18"/>
        <v>Kalenderwoche 20</v>
      </c>
    </row>
    <row r="107" spans="4:14" ht="12.75" customHeight="1" x14ac:dyDescent="0.2">
      <c r="D107" s="2" t="s">
        <v>216</v>
      </c>
      <c r="E107" s="279" t="s">
        <v>756</v>
      </c>
      <c r="F107" s="3" t="s">
        <v>462</v>
      </c>
      <c r="G107" s="4" t="s">
        <v>374</v>
      </c>
      <c r="H107" s="31" t="str">
        <f t="shared" si="19"/>
        <v>I-Ecke≠90°</v>
      </c>
      <c r="I107" s="41"/>
      <c r="L107" s="253">
        <v>21</v>
      </c>
      <c r="M107" s="4" t="str">
        <f t="shared" si="18"/>
        <v>Kalenderwoche 21</v>
      </c>
    </row>
    <row r="108" spans="4:14" ht="12.75" customHeight="1" x14ac:dyDescent="0.2">
      <c r="D108" s="2" t="s">
        <v>447</v>
      </c>
      <c r="E108" s="3" t="s">
        <v>448</v>
      </c>
      <c r="F108" s="3" t="s">
        <v>449</v>
      </c>
      <c r="G108" s="4" t="s">
        <v>450</v>
      </c>
      <c r="H108" s="31" t="str">
        <f t="shared" si="19"/>
        <v>Wert:</v>
      </c>
      <c r="I108" s="41"/>
      <c r="L108" s="253">
        <v>22</v>
      </c>
      <c r="M108" s="4" t="str">
        <f t="shared" si="18"/>
        <v>Kalenderwoche 22</v>
      </c>
    </row>
    <row r="109" spans="4:14" ht="12.75" customHeight="1" x14ac:dyDescent="0.2">
      <c r="D109" s="2" t="s">
        <v>290</v>
      </c>
      <c r="E109" s="3" t="s">
        <v>289</v>
      </c>
      <c r="F109" s="3" t="s">
        <v>330</v>
      </c>
      <c r="G109" s="3" t="s">
        <v>375</v>
      </c>
      <c r="H109" s="31" t="str">
        <f t="shared" si="19"/>
        <v>Bitte auswählen:</v>
      </c>
      <c r="I109" s="41"/>
      <c r="L109" s="253">
        <v>23</v>
      </c>
      <c r="M109" s="4" t="str">
        <f t="shared" si="18"/>
        <v>Kalenderwoche 23</v>
      </c>
    </row>
    <row r="110" spans="4:14" ht="12.75" customHeight="1" x14ac:dyDescent="0.2">
      <c r="D110" s="2" t="s">
        <v>350</v>
      </c>
      <c r="E110" s="3" t="s">
        <v>350</v>
      </c>
      <c r="F110" s="3" t="s">
        <v>350</v>
      </c>
      <c r="G110" s="3" t="s">
        <v>350</v>
      </c>
      <c r="H110" s="31" t="str">
        <f t="shared" si="19"/>
        <v>KABA (22)</v>
      </c>
      <c r="I110" s="41" t="b">
        <v>0</v>
      </c>
      <c r="L110" s="253">
        <v>24</v>
      </c>
      <c r="M110" s="4" t="str">
        <f t="shared" si="18"/>
        <v>Kalenderwoche 24</v>
      </c>
    </row>
    <row r="111" spans="4:14" ht="12.75" customHeight="1" x14ac:dyDescent="0.2">
      <c r="D111" s="2" t="s">
        <v>351</v>
      </c>
      <c r="E111" s="3" t="s">
        <v>351</v>
      </c>
      <c r="F111" s="3" t="s">
        <v>351</v>
      </c>
      <c r="G111" s="4" t="s">
        <v>351</v>
      </c>
      <c r="H111" s="31" t="str">
        <f t="shared" si="19"/>
        <v>PZ / Euro (17)</v>
      </c>
      <c r="I111" s="41" t="b">
        <v>0</v>
      </c>
      <c r="L111" s="253">
        <v>25</v>
      </c>
      <c r="M111" s="4" t="str">
        <f t="shared" si="18"/>
        <v>Kalenderwoche 25</v>
      </c>
    </row>
    <row r="112" spans="4:14" x14ac:dyDescent="0.2">
      <c r="D112" s="2" t="s">
        <v>392</v>
      </c>
      <c r="E112" s="3" t="s">
        <v>393</v>
      </c>
      <c r="F112" s="3" t="s">
        <v>394</v>
      </c>
      <c r="G112" s="4" t="s">
        <v>395</v>
      </c>
      <c r="H112" s="31" t="str">
        <f>IF($B$3=$A$3,D112,IF($B$3=$A$4,E112,IF($B$3=$A$5,F112,IF($B$3=$A$6,G112,""))))</f>
        <v>mit CFK</v>
      </c>
      <c r="I112" s="41"/>
      <c r="L112" s="253">
        <v>26</v>
      </c>
      <c r="M112" s="4" t="str">
        <f t="shared" si="18"/>
        <v>Kalenderwoche 26</v>
      </c>
    </row>
    <row r="113" spans="4:14" x14ac:dyDescent="0.2">
      <c r="D113" s="2" t="s">
        <v>396</v>
      </c>
      <c r="E113" s="3" t="s">
        <v>397</v>
      </c>
      <c r="F113" s="3" t="s">
        <v>398</v>
      </c>
      <c r="G113" s="4" t="s">
        <v>399</v>
      </c>
      <c r="H113" s="31" t="str">
        <f>IF($B$3=$A$3,D113,IF($B$3=$A$4,E113,IF($B$3=$A$5,F113,IF($B$3=$A$6,G113,""))))</f>
        <v>ohne CFK</v>
      </c>
      <c r="I113" s="41"/>
      <c r="L113" s="253">
        <v>27</v>
      </c>
      <c r="M113" s="4" t="str">
        <f t="shared" si="18"/>
        <v>Kalenderwoche 27</v>
      </c>
      <c r="N113" s="322"/>
    </row>
    <row r="114" spans="4:14" x14ac:dyDescent="0.2">
      <c r="D114" s="2" t="s">
        <v>400</v>
      </c>
      <c r="E114" s="3" t="s">
        <v>402</v>
      </c>
      <c r="F114" s="3" t="s">
        <v>404</v>
      </c>
      <c r="G114" s="4" t="s">
        <v>438</v>
      </c>
      <c r="H114" s="31" t="str">
        <f>IF($B$3=$A$3,D114,IF($B$3=$A$4,E114,IF($B$3=$A$5,F114,IF($B$3=$A$6,G114,""))))</f>
        <v>mit Stahl</v>
      </c>
      <c r="I114" s="41"/>
      <c r="L114" s="253">
        <v>28</v>
      </c>
      <c r="M114" s="4" t="str">
        <f t="shared" si="18"/>
        <v>Kalenderwoche 28</v>
      </c>
    </row>
    <row r="115" spans="4:14" x14ac:dyDescent="0.2">
      <c r="D115" s="2" t="s">
        <v>401</v>
      </c>
      <c r="E115" s="3" t="s">
        <v>403</v>
      </c>
      <c r="F115" s="3" t="s">
        <v>405</v>
      </c>
      <c r="G115" s="4" t="s">
        <v>439</v>
      </c>
      <c r="H115" s="31" t="str">
        <f>IF($B$3=$A$3,D115,IF($B$3=$A$4,E115,IF($B$3=$A$5,F115,IF($B$3=$A$6,G115,""))))</f>
        <v>ohne Stahl</v>
      </c>
      <c r="I115" s="41"/>
      <c r="L115" s="253">
        <v>29</v>
      </c>
      <c r="M115" s="4" t="str">
        <f t="shared" si="18"/>
        <v>Kalenderwoche 29</v>
      </c>
    </row>
    <row r="116" spans="4:14" x14ac:dyDescent="0.2">
      <c r="D116" s="2" t="s">
        <v>408</v>
      </c>
      <c r="E116" s="3" t="s">
        <v>411</v>
      </c>
      <c r="F116" s="3" t="s">
        <v>413</v>
      </c>
      <c r="G116" s="4" t="s">
        <v>416</v>
      </c>
      <c r="H116" s="31" t="str">
        <f>IF($B$3=$A$3,D116,IF($B$3=$A$4,E116,IF($B$3=$A$5,F116,IF($B$3=$A$6,G116,""))))</f>
        <v>Ganzglas-Ecke</v>
      </c>
      <c r="I116" s="41"/>
      <c r="L116" s="253">
        <v>30</v>
      </c>
      <c r="M116" s="4" t="str">
        <f t="shared" si="18"/>
        <v>Kalenderwoche 30</v>
      </c>
    </row>
    <row r="117" spans="4:14" x14ac:dyDescent="0.2">
      <c r="D117" s="2" t="s">
        <v>409</v>
      </c>
      <c r="E117" s="279" t="s">
        <v>755</v>
      </c>
      <c r="F117" s="3" t="s">
        <v>414</v>
      </c>
      <c r="G117" s="4" t="s">
        <v>417</v>
      </c>
      <c r="H117" s="31" t="str">
        <f t="shared" ref="H117:H133" si="20">IF($B$3=$A$3,D117,IF($B$3=$A$4,E117,IF($B$3=$A$5,F117,IF($B$3=$A$6,G117,""))))</f>
        <v>Ecke RC2 (WK2)</v>
      </c>
      <c r="I117" s="41"/>
      <c r="L117" s="253">
        <v>31</v>
      </c>
      <c r="M117" s="4" t="str">
        <f t="shared" si="18"/>
        <v>Kalenderwoche 31</v>
      </c>
    </row>
    <row r="118" spans="4:14" x14ac:dyDescent="0.2">
      <c r="D118" s="2" t="s">
        <v>410</v>
      </c>
      <c r="E118" s="3" t="s">
        <v>412</v>
      </c>
      <c r="F118" s="3" t="s">
        <v>415</v>
      </c>
      <c r="G118" s="4" t="s">
        <v>418</v>
      </c>
      <c r="H118" s="31" t="str">
        <f t="shared" si="20"/>
        <v>Standard (RC2 in Anlehnung)</v>
      </c>
      <c r="I118" s="41"/>
      <c r="L118" s="253">
        <v>32</v>
      </c>
      <c r="M118" s="4" t="str">
        <f t="shared" si="18"/>
        <v>Kalenderwoche 32</v>
      </c>
    </row>
    <row r="119" spans="4:14" x14ac:dyDescent="0.2">
      <c r="D119" s="281" t="s">
        <v>923</v>
      </c>
      <c r="E119" s="316" t="s">
        <v>924</v>
      </c>
      <c r="F119" s="316" t="s">
        <v>925</v>
      </c>
      <c r="G119" s="317" t="s">
        <v>926</v>
      </c>
      <c r="H119" s="31" t="str">
        <f t="shared" si="20"/>
        <v>RC2 mit Blech</v>
      </c>
      <c r="I119" s="41"/>
      <c r="L119" s="253">
        <v>33</v>
      </c>
      <c r="M119" s="4" t="str">
        <f t="shared" si="18"/>
        <v>Kalenderwoche 33</v>
      </c>
    </row>
    <row r="120" spans="4:14" x14ac:dyDescent="0.2">
      <c r="D120" s="2" t="s">
        <v>421</v>
      </c>
      <c r="E120" s="3" t="s">
        <v>424</v>
      </c>
      <c r="F120" s="3" t="s">
        <v>425</v>
      </c>
      <c r="G120" s="4" t="s">
        <v>427</v>
      </c>
      <c r="H120" s="31" t="str">
        <f t="shared" si="20"/>
        <v>mit AL.</v>
      </c>
      <c r="I120" s="41"/>
      <c r="L120" s="253">
        <v>34</v>
      </c>
      <c r="M120" s="4" t="str">
        <f t="shared" si="18"/>
        <v>Kalenderwoche 34</v>
      </c>
    </row>
    <row r="121" spans="4:14" x14ac:dyDescent="0.2">
      <c r="D121" s="2" t="s">
        <v>422</v>
      </c>
      <c r="E121" s="3" t="s">
        <v>423</v>
      </c>
      <c r="F121" s="3" t="s">
        <v>426</v>
      </c>
      <c r="G121" s="4" t="s">
        <v>428</v>
      </c>
      <c r="H121" s="31" t="str">
        <f t="shared" si="20"/>
        <v>ohne AL.</v>
      </c>
      <c r="I121" s="41"/>
      <c r="L121" s="253">
        <v>35</v>
      </c>
      <c r="M121" s="4" t="str">
        <f t="shared" si="18"/>
        <v>Kalenderwoche 35</v>
      </c>
    </row>
    <row r="122" spans="4:14" x14ac:dyDescent="0.2">
      <c r="D122" s="281" t="s">
        <v>843</v>
      </c>
      <c r="E122" s="316" t="s">
        <v>845</v>
      </c>
      <c r="F122" s="316" t="s">
        <v>847</v>
      </c>
      <c r="G122" s="317" t="s">
        <v>849</v>
      </c>
      <c r="H122" s="31" t="str">
        <f t="shared" si="20"/>
        <v>mit Stahl (&gt;2.5m)</v>
      </c>
      <c r="I122" s="41"/>
      <c r="L122" s="253">
        <v>36</v>
      </c>
      <c r="M122" s="4" t="str">
        <f t="shared" si="18"/>
        <v>Kalenderwoche 36</v>
      </c>
    </row>
    <row r="123" spans="4:14" x14ac:dyDescent="0.2">
      <c r="D123" s="281" t="s">
        <v>844</v>
      </c>
      <c r="E123" s="316" t="s">
        <v>846</v>
      </c>
      <c r="F123" s="316" t="s">
        <v>848</v>
      </c>
      <c r="G123" s="317" t="s">
        <v>850</v>
      </c>
      <c r="H123" s="31" t="str">
        <f t="shared" si="20"/>
        <v>ohne Stahl (&lt;2.5m)</v>
      </c>
      <c r="I123" s="41"/>
      <c r="L123" s="253">
        <v>37</v>
      </c>
      <c r="M123" s="4" t="str">
        <f t="shared" si="18"/>
        <v>Kalenderwoche 37</v>
      </c>
    </row>
    <row r="124" spans="4:14" x14ac:dyDescent="0.2">
      <c r="D124" s="2" t="s">
        <v>431</v>
      </c>
      <c r="E124" s="279" t="s">
        <v>754</v>
      </c>
      <c r="F124" s="3" t="s">
        <v>432</v>
      </c>
      <c r="G124" s="4" t="s">
        <v>433</v>
      </c>
      <c r="H124" s="31" t="str">
        <f t="shared" si="20"/>
        <v>Ecke:</v>
      </c>
      <c r="I124" s="41"/>
      <c r="L124" s="253">
        <v>38</v>
      </c>
      <c r="M124" s="4" t="str">
        <f t="shared" si="18"/>
        <v>Kalenderwoche 38</v>
      </c>
    </row>
    <row r="125" spans="4:14" x14ac:dyDescent="0.2">
      <c r="D125" s="2" t="s">
        <v>455</v>
      </c>
      <c r="E125" s="3" t="s">
        <v>455</v>
      </c>
      <c r="F125" s="3" t="s">
        <v>455</v>
      </c>
      <c r="G125" s="4" t="s">
        <v>455</v>
      </c>
      <c r="H125" s="31" t="str">
        <f t="shared" si="20"/>
        <v>NFRC (USA)</v>
      </c>
      <c r="I125" s="41" t="b">
        <v>0</v>
      </c>
      <c r="L125" s="253">
        <v>39</v>
      </c>
      <c r="M125" s="4" t="str">
        <f t="shared" si="18"/>
        <v>Kalenderwoche 39</v>
      </c>
    </row>
    <row r="126" spans="4:14" x14ac:dyDescent="0.2">
      <c r="D126" s="2" t="s">
        <v>467</v>
      </c>
      <c r="E126" s="3" t="s">
        <v>501</v>
      </c>
      <c r="F126" s="3" t="s">
        <v>504</v>
      </c>
      <c r="G126" s="4" t="s">
        <v>488</v>
      </c>
      <c r="H126" s="31" t="str">
        <f t="shared" si="20"/>
        <v>Bestellung vollständig ausfüllen.</v>
      </c>
      <c r="I126" s="41"/>
      <c r="L126" s="253">
        <v>40</v>
      </c>
      <c r="M126" s="4" t="str">
        <f t="shared" si="18"/>
        <v>Kalenderwoche 40</v>
      </c>
    </row>
    <row r="127" spans="4:14" x14ac:dyDescent="0.2">
      <c r="D127" s="2" t="s">
        <v>482</v>
      </c>
      <c r="E127" s="3" t="s">
        <v>502</v>
      </c>
      <c r="F127" s="3" t="s">
        <v>506</v>
      </c>
      <c r="G127" s="4" t="s">
        <v>489</v>
      </c>
      <c r="H127" s="31" t="str">
        <f t="shared" si="20"/>
        <v>Überprüfen ob keine roten Rahmen aufleuchten.</v>
      </c>
      <c r="I127" s="41"/>
      <c r="L127" s="253">
        <v>41</v>
      </c>
      <c r="M127" s="4" t="str">
        <f t="shared" si="18"/>
        <v>Kalenderwoche 41</v>
      </c>
    </row>
    <row r="128" spans="4:14" x14ac:dyDescent="0.2">
      <c r="D128" s="2" t="s">
        <v>483</v>
      </c>
      <c r="E128" s="3" t="s">
        <v>503</v>
      </c>
      <c r="F128" s="3" t="s">
        <v>505</v>
      </c>
      <c r="G128" s="4" t="s">
        <v>490</v>
      </c>
      <c r="H128" s="31" t="str">
        <f t="shared" si="20"/>
        <v>Bestellung senden an:</v>
      </c>
      <c r="I128" s="41"/>
      <c r="L128" s="253">
        <v>42</v>
      </c>
      <c r="M128" s="4" t="str">
        <f t="shared" si="18"/>
        <v>Kalenderwoche 42</v>
      </c>
    </row>
    <row r="129" spans="4:13" x14ac:dyDescent="0.2">
      <c r="D129" s="2" t="s">
        <v>481</v>
      </c>
      <c r="E129" s="3" t="s">
        <v>500</v>
      </c>
      <c r="F129" s="3" t="s">
        <v>500</v>
      </c>
      <c r="G129" s="4" t="s">
        <v>487</v>
      </c>
      <c r="H129" s="31" t="str">
        <f t="shared" si="20"/>
        <v>Anleitung:</v>
      </c>
      <c r="I129" s="41"/>
      <c r="L129" s="253">
        <v>43</v>
      </c>
      <c r="M129" s="4" t="str">
        <f t="shared" si="18"/>
        <v>Kalenderwoche 43</v>
      </c>
    </row>
    <row r="130" spans="4:13" x14ac:dyDescent="0.2">
      <c r="D130" s="2" t="s">
        <v>512</v>
      </c>
      <c r="E130" s="3" t="s">
        <v>511</v>
      </c>
      <c r="F130" s="3" t="s">
        <v>517</v>
      </c>
      <c r="G130" s="4" t="s">
        <v>700</v>
      </c>
      <c r="H130" s="31" t="str">
        <f t="shared" si="20"/>
        <v>Vertriebspartner:</v>
      </c>
      <c r="I130" s="41"/>
      <c r="L130" s="253">
        <v>44</v>
      </c>
      <c r="M130" s="4" t="str">
        <f t="shared" si="18"/>
        <v>Kalenderwoche 44</v>
      </c>
    </row>
    <row r="131" spans="4:13" x14ac:dyDescent="0.2">
      <c r="D131" s="2" t="s">
        <v>509</v>
      </c>
      <c r="E131" s="3" t="s">
        <v>519</v>
      </c>
      <c r="F131" s="3" t="s">
        <v>518</v>
      </c>
      <c r="G131" s="4" t="s">
        <v>521</v>
      </c>
      <c r="H131" s="31" t="str">
        <f t="shared" si="20"/>
        <v>Bemerkungen:</v>
      </c>
      <c r="I131" s="41"/>
      <c r="L131" s="253">
        <v>45</v>
      </c>
      <c r="M131" s="4" t="str">
        <f t="shared" si="18"/>
        <v>Kalenderwoche 45</v>
      </c>
    </row>
    <row r="132" spans="4:13" x14ac:dyDescent="0.2">
      <c r="D132" s="2" t="s">
        <v>525</v>
      </c>
      <c r="E132" s="3" t="s">
        <v>529</v>
      </c>
      <c r="F132" s="3" t="s">
        <v>530</v>
      </c>
      <c r="G132" s="4" t="s">
        <v>531</v>
      </c>
      <c r="H132" s="31" t="str">
        <f>IF($B$3=$A$3,D132,IF($B$3=$A$4,E132,IF($B$3=$A$5,F132,IF($B$3=$A$6,G132,""))))</f>
        <v>Öffnung angeben →</v>
      </c>
      <c r="I132" s="41"/>
      <c r="L132" s="253">
        <v>46</v>
      </c>
      <c r="M132" s="4" t="str">
        <f t="shared" si="18"/>
        <v>Kalenderwoche 46</v>
      </c>
    </row>
    <row r="133" spans="4:13" x14ac:dyDescent="0.2">
      <c r="D133" s="2" t="s">
        <v>581</v>
      </c>
      <c r="E133" s="3" t="s">
        <v>582</v>
      </c>
      <c r="F133" s="3" t="s">
        <v>584</v>
      </c>
      <c r="G133" s="4" t="s">
        <v>583</v>
      </c>
      <c r="H133" s="31" t="str">
        <f t="shared" si="20"/>
        <v>5-gleisig</v>
      </c>
      <c r="I133" s="41" t="b">
        <f>IF(AND(I12=TRUE,'Pos. 1'!AT5=1),TRUE,FALSE)</f>
        <v>0</v>
      </c>
      <c r="L133" s="253">
        <v>47</v>
      </c>
      <c r="M133" s="4" t="str">
        <f t="shared" si="18"/>
        <v>Kalenderwoche 47</v>
      </c>
    </row>
    <row r="134" spans="4:13" x14ac:dyDescent="0.2">
      <c r="D134" s="102" t="s">
        <v>586</v>
      </c>
      <c r="E134" s="3" t="s">
        <v>586</v>
      </c>
      <c r="F134" s="3" t="s">
        <v>586</v>
      </c>
      <c r="G134" s="4" t="s">
        <v>586</v>
      </c>
      <c r="H134" s="31" t="str">
        <f t="shared" ref="H134:H157" si="21">IF($B$3=$A$3,D134,IF($B$3=$A$4,E134,IF($B$3=$A$5,F134,IF($B$3=$A$6,G134,""))))</f>
        <v>Features</v>
      </c>
      <c r="I134" s="41"/>
      <c r="J134" s="1" t="str">
        <f>H159</f>
        <v>Keine</v>
      </c>
      <c r="L134" s="253">
        <v>48</v>
      </c>
      <c r="M134" s="4" t="str">
        <f t="shared" si="18"/>
        <v>Kalenderwoche 48</v>
      </c>
    </row>
    <row r="135" spans="4:13" x14ac:dyDescent="0.2">
      <c r="D135" s="2" t="s">
        <v>600</v>
      </c>
      <c r="E135" s="3" t="s">
        <v>602</v>
      </c>
      <c r="F135" s="3" t="s">
        <v>603</v>
      </c>
      <c r="G135" s="4" t="s">
        <v>604</v>
      </c>
      <c r="H135" s="31" t="str">
        <f t="shared" si="21"/>
        <v>Oben Links</v>
      </c>
      <c r="I135" s="41"/>
      <c r="J135" s="1" t="str">
        <f>H135</f>
        <v>Oben Links</v>
      </c>
      <c r="L135" s="253">
        <v>49</v>
      </c>
      <c r="M135" s="4" t="str">
        <f t="shared" si="18"/>
        <v>Kalenderwoche 49</v>
      </c>
    </row>
    <row r="136" spans="4:13" x14ac:dyDescent="0.2">
      <c r="D136" s="2" t="s">
        <v>601</v>
      </c>
      <c r="E136" s="3" t="s">
        <v>605</v>
      </c>
      <c r="F136" s="3" t="s">
        <v>606</v>
      </c>
      <c r="G136" s="4" t="s">
        <v>607</v>
      </c>
      <c r="H136" s="31" t="str">
        <f t="shared" si="21"/>
        <v>Oben Rechts</v>
      </c>
      <c r="I136" s="41"/>
      <c r="J136" s="1" t="str">
        <f>H136</f>
        <v>Oben Rechts</v>
      </c>
      <c r="L136" s="253">
        <v>50</v>
      </c>
      <c r="M136" s="4" t="str">
        <f t="shared" si="18"/>
        <v>Kalenderwoche 50</v>
      </c>
    </row>
    <row r="137" spans="4:13" x14ac:dyDescent="0.2">
      <c r="D137" s="2" t="s">
        <v>608</v>
      </c>
      <c r="E137" s="3" t="s">
        <v>609</v>
      </c>
      <c r="F137" s="3" t="s">
        <v>610</v>
      </c>
      <c r="G137" s="4" t="s">
        <v>611</v>
      </c>
      <c r="H137" s="31" t="str">
        <f t="shared" si="21"/>
        <v>Lage Glasspinne (Ansicht von Aussen)</v>
      </c>
      <c r="I137" s="41"/>
      <c r="L137" s="253">
        <v>51</v>
      </c>
      <c r="M137" s="4" t="str">
        <f t="shared" si="18"/>
        <v>Kalenderwoche 51</v>
      </c>
    </row>
    <row r="138" spans="4:13" ht="13.5" thickBot="1" x14ac:dyDescent="0.25">
      <c r="D138" s="2" t="s">
        <v>612</v>
      </c>
      <c r="E138" s="3" t="s">
        <v>732</v>
      </c>
      <c r="F138" s="3" t="s">
        <v>703</v>
      </c>
      <c r="G138" s="4" t="s">
        <v>712</v>
      </c>
      <c r="H138" s="31" t="str">
        <f t="shared" si="21"/>
        <v>Rinnenbestellung</v>
      </c>
      <c r="I138" s="41"/>
      <c r="L138" s="254">
        <v>52</v>
      </c>
      <c r="M138" s="47" t="str">
        <f t="shared" si="18"/>
        <v>Kalenderwoche 52</v>
      </c>
    </row>
    <row r="139" spans="4:13" x14ac:dyDescent="0.2">
      <c r="D139" s="2" t="s">
        <v>647</v>
      </c>
      <c r="E139" s="3" t="s">
        <v>733</v>
      </c>
      <c r="F139" s="3" t="s">
        <v>725</v>
      </c>
      <c r="G139" s="4" t="s">
        <v>713</v>
      </c>
      <c r="H139" s="31" t="str">
        <f t="shared" si="21"/>
        <v>Wahl des Rinnensystems:</v>
      </c>
      <c r="I139" s="41"/>
    </row>
    <row r="140" spans="4:13" x14ac:dyDescent="0.2">
      <c r="D140" s="2" t="s">
        <v>646</v>
      </c>
      <c r="E140" s="3" t="s">
        <v>734</v>
      </c>
      <c r="F140" s="3" t="s">
        <v>726</v>
      </c>
      <c r="G140" s="317" t="s">
        <v>838</v>
      </c>
      <c r="H140" s="31" t="str">
        <f t="shared" si="21"/>
        <v>Einzug an der linken Anlagenseite:</v>
      </c>
      <c r="I140" s="41"/>
    </row>
    <row r="141" spans="4:13" x14ac:dyDescent="0.2">
      <c r="D141" s="2" t="s">
        <v>645</v>
      </c>
      <c r="E141" s="3" t="s">
        <v>735</v>
      </c>
      <c r="F141" s="3" t="s">
        <v>727</v>
      </c>
      <c r="G141" s="317" t="s">
        <v>839</v>
      </c>
      <c r="H141" s="31" t="str">
        <f t="shared" si="21"/>
        <v>Einzug an der rechten Anlagenseite:</v>
      </c>
      <c r="I141" s="41"/>
    </row>
    <row r="142" spans="4:13" x14ac:dyDescent="0.2">
      <c r="D142" s="2" t="s">
        <v>644</v>
      </c>
      <c r="E142" s="3" t="s">
        <v>736</v>
      </c>
      <c r="F142" s="3" t="s">
        <v>728</v>
      </c>
      <c r="G142" s="4" t="s">
        <v>714</v>
      </c>
      <c r="H142" s="31" t="str">
        <f t="shared" si="21"/>
        <v>Anschlussstutzen:</v>
      </c>
      <c r="I142" s="41"/>
    </row>
    <row r="143" spans="4:13" x14ac:dyDescent="0.2">
      <c r="D143" s="2" t="s">
        <v>613</v>
      </c>
      <c r="E143" s="3" t="s">
        <v>737</v>
      </c>
      <c r="F143" s="3" t="s">
        <v>704</v>
      </c>
      <c r="G143" s="4" t="s">
        <v>715</v>
      </c>
      <c r="H143" s="31" t="str">
        <f t="shared" si="21"/>
        <v>lose mitliefern</v>
      </c>
      <c r="I143" s="41"/>
      <c r="J143" s="1" t="str">
        <f>H143</f>
        <v>lose mitliefern</v>
      </c>
    </row>
    <row r="144" spans="4:13" x14ac:dyDescent="0.2">
      <c r="D144" s="2" t="s">
        <v>614</v>
      </c>
      <c r="E144" s="3" t="s">
        <v>738</v>
      </c>
      <c r="F144" s="3" t="s">
        <v>705</v>
      </c>
      <c r="G144" s="4" t="s">
        <v>716</v>
      </c>
      <c r="H144" s="31" t="str">
        <f t="shared" si="21"/>
        <v>vordefiniert</v>
      </c>
      <c r="I144" s="41"/>
      <c r="J144" s="1" t="str">
        <f>H144</f>
        <v>vordefiniert</v>
      </c>
    </row>
    <row r="145" spans="4:10" x14ac:dyDescent="0.2">
      <c r="D145" s="2" t="s">
        <v>648</v>
      </c>
      <c r="E145" s="3" t="s">
        <v>739</v>
      </c>
      <c r="F145" s="3" t="s">
        <v>729</v>
      </c>
      <c r="G145" s="4" t="s">
        <v>717</v>
      </c>
      <c r="H145" s="31" t="str">
        <f t="shared" si="21"/>
        <v>Anzahl Anschlussstutzen:</v>
      </c>
      <c r="I145" s="41"/>
    </row>
    <row r="146" spans="4:10" x14ac:dyDescent="0.2">
      <c r="D146" s="2" t="s">
        <v>615</v>
      </c>
      <c r="E146" s="3" t="s">
        <v>706</v>
      </c>
      <c r="F146" s="3" t="s">
        <v>706</v>
      </c>
      <c r="G146" s="4" t="s">
        <v>718</v>
      </c>
      <c r="H146" s="31" t="str">
        <f t="shared" si="21"/>
        <v>Typ A</v>
      </c>
      <c r="I146" s="41"/>
      <c r="J146" s="1" t="str">
        <f>H146</f>
        <v>Typ A</v>
      </c>
    </row>
    <row r="147" spans="4:10" x14ac:dyDescent="0.2">
      <c r="D147" s="2" t="s">
        <v>616</v>
      </c>
      <c r="E147" s="3" t="s">
        <v>707</v>
      </c>
      <c r="F147" s="3" t="s">
        <v>707</v>
      </c>
      <c r="G147" s="4" t="s">
        <v>719</v>
      </c>
      <c r="H147" s="31" t="str">
        <f t="shared" si="21"/>
        <v>Typ B</v>
      </c>
      <c r="I147" s="41"/>
      <c r="J147" s="1" t="str">
        <f>H147</f>
        <v>Typ B</v>
      </c>
    </row>
    <row r="148" spans="4:10" x14ac:dyDescent="0.2">
      <c r="D148" s="281" t="s">
        <v>617</v>
      </c>
      <c r="E148" s="3" t="s">
        <v>740</v>
      </c>
      <c r="F148" s="3" t="s">
        <v>730</v>
      </c>
      <c r="G148" s="4" t="s">
        <v>720</v>
      </c>
      <c r="H148" s="31" t="str">
        <f t="shared" si="21"/>
        <v>Abstände Ablaufstutzen:</v>
      </c>
      <c r="I148" s="41"/>
    </row>
    <row r="149" spans="4:10" x14ac:dyDescent="0.2">
      <c r="D149" s="2" t="s">
        <v>618</v>
      </c>
      <c r="E149" s="3" t="s">
        <v>741</v>
      </c>
      <c r="F149" s="279" t="s">
        <v>753</v>
      </c>
      <c r="G149" s="4" t="s">
        <v>721</v>
      </c>
      <c r="H149" s="31" t="str">
        <f t="shared" si="21"/>
        <v>Rinnenanschluss:</v>
      </c>
      <c r="I149" s="41"/>
    </row>
    <row r="150" spans="4:10" x14ac:dyDescent="0.2">
      <c r="D150" s="2" t="s">
        <v>695</v>
      </c>
      <c r="E150" s="3" t="s">
        <v>742</v>
      </c>
      <c r="F150" s="3" t="s">
        <v>731</v>
      </c>
      <c r="G150" s="4" t="s">
        <v>722</v>
      </c>
      <c r="H150" s="31" t="str">
        <f t="shared" si="21"/>
        <v>Farbe Panele:</v>
      </c>
      <c r="I150" s="41"/>
    </row>
    <row r="151" spans="4:10" x14ac:dyDescent="0.2">
      <c r="D151" s="2" t="s">
        <v>16</v>
      </c>
      <c r="E151" s="3" t="s">
        <v>16</v>
      </c>
      <c r="F151" s="3" t="s">
        <v>16</v>
      </c>
      <c r="G151" s="4" t="s">
        <v>16</v>
      </c>
      <c r="H151" s="31" t="str">
        <f t="shared" si="21"/>
        <v>Standard</v>
      </c>
      <c r="I151" s="41"/>
      <c r="J151" s="1" t="str">
        <f>H151</f>
        <v>Standard</v>
      </c>
    </row>
    <row r="152" spans="4:10" x14ac:dyDescent="0.2">
      <c r="D152" s="2" t="s">
        <v>696</v>
      </c>
      <c r="E152" s="3" t="s">
        <v>743</v>
      </c>
      <c r="F152" s="3" t="s">
        <v>708</v>
      </c>
      <c r="G152" s="4" t="s">
        <v>723</v>
      </c>
      <c r="H152" s="31" t="str">
        <f t="shared" si="21"/>
        <v>Rahmenfarbe</v>
      </c>
      <c r="I152" s="41"/>
      <c r="J152" s="1" t="str">
        <f>H152</f>
        <v>Rahmenfarbe</v>
      </c>
    </row>
    <row r="153" spans="4:10" x14ac:dyDescent="0.2">
      <c r="D153" s="2" t="s">
        <v>697</v>
      </c>
      <c r="E153" s="3" t="s">
        <v>744</v>
      </c>
      <c r="F153" s="3" t="s">
        <v>709</v>
      </c>
      <c r="G153" s="4" t="s">
        <v>724</v>
      </c>
      <c r="H153" s="31" t="str">
        <f t="shared" si="21"/>
        <v>Glas Satinato</v>
      </c>
      <c r="I153" s="41"/>
      <c r="J153" s="1" t="str">
        <f>H153</f>
        <v>Glas Satinato</v>
      </c>
    </row>
    <row r="154" spans="4:10" x14ac:dyDescent="0.2">
      <c r="D154" s="2" t="s">
        <v>710</v>
      </c>
      <c r="E154" s="3" t="s">
        <v>745</v>
      </c>
      <c r="F154" s="3" t="s">
        <v>746</v>
      </c>
      <c r="G154" s="4" t="s">
        <v>747</v>
      </c>
      <c r="H154" s="31" t="str">
        <f t="shared" si="21"/>
        <v>Kalenderwoche</v>
      </c>
      <c r="I154" s="41"/>
    </row>
    <row r="155" spans="4:10" x14ac:dyDescent="0.2">
      <c r="D155" s="281" t="s">
        <v>769</v>
      </c>
      <c r="E155" s="316" t="s">
        <v>777</v>
      </c>
      <c r="F155" s="316" t="s">
        <v>780</v>
      </c>
      <c r="G155" s="317" t="s">
        <v>792</v>
      </c>
      <c r="H155" s="31" t="str">
        <f>IF($B$3=$A$3,D155,IF($B$3=$A$4,E155,IF($B$3=$A$5,F155,IF($B$3=$A$6,G155,""))))</f>
        <v>Bestellformular unvollständig!</v>
      </c>
      <c r="I155" s="41"/>
    </row>
    <row r="156" spans="4:10" x14ac:dyDescent="0.2">
      <c r="D156" s="281" t="s">
        <v>779</v>
      </c>
      <c r="E156" s="316" t="s">
        <v>778</v>
      </c>
      <c r="F156" s="316" t="s">
        <v>781</v>
      </c>
      <c r="G156" s="317" t="s">
        <v>793</v>
      </c>
      <c r="H156" s="31" t="str">
        <f t="shared" si="21"/>
        <v>Bestellformular vollständig.</v>
      </c>
      <c r="I156" s="41"/>
    </row>
    <row r="157" spans="4:10" x14ac:dyDescent="0.2">
      <c r="D157" s="281" t="s">
        <v>774</v>
      </c>
      <c r="E157" s="316" t="s">
        <v>773</v>
      </c>
      <c r="F157" s="316" t="s">
        <v>772</v>
      </c>
      <c r="G157" s="317" t="s">
        <v>775</v>
      </c>
      <c r="H157" s="31" t="str">
        <f t="shared" si="21"/>
        <v>B2B-Login Projektnr:</v>
      </c>
      <c r="I157" s="41"/>
    </row>
    <row r="158" spans="4:10" ht="12.75" customHeight="1" x14ac:dyDescent="0.2">
      <c r="D158" s="323" t="s">
        <v>784</v>
      </c>
      <c r="E158" s="316" t="s">
        <v>785</v>
      </c>
      <c r="F158" s="316" t="s">
        <v>786</v>
      </c>
      <c r="G158" s="317" t="s">
        <v>787</v>
      </c>
      <c r="H158" s="31" t="str">
        <f t="shared" ref="H158:H167" si="22">IF($B$3=$A$3,D158,IF($B$3=$A$4,E158,IF($B$3=$A$5,F158,IF($B$3=$A$6,G158,""))))</f>
        <v>OHNE Glas</v>
      </c>
      <c r="I158" s="41"/>
    </row>
    <row r="159" spans="4:10" ht="12.75" customHeight="1" x14ac:dyDescent="0.2">
      <c r="D159" s="281" t="s">
        <v>788</v>
      </c>
      <c r="E159" s="316" t="s">
        <v>789</v>
      </c>
      <c r="F159" s="316" t="s">
        <v>297</v>
      </c>
      <c r="G159" s="317" t="s">
        <v>310</v>
      </c>
      <c r="H159" s="31" t="str">
        <f t="shared" si="22"/>
        <v>Keine</v>
      </c>
      <c r="I159" s="41"/>
    </row>
    <row r="160" spans="4:10" ht="12.75" customHeight="1" x14ac:dyDescent="0.2">
      <c r="D160" s="281" t="s">
        <v>795</v>
      </c>
      <c r="E160" s="316" t="s">
        <v>796</v>
      </c>
      <c r="F160" s="316" t="s">
        <v>797</v>
      </c>
      <c r="G160" s="317" t="s">
        <v>798</v>
      </c>
      <c r="H160" s="31" t="str">
        <f t="shared" si="22"/>
        <v>ohne Verschlussraster (Zylinder)</v>
      </c>
      <c r="I160" s="41"/>
    </row>
    <row r="161" spans="4:10" x14ac:dyDescent="0.2">
      <c r="D161" s="2"/>
      <c r="E161" s="3"/>
      <c r="F161" s="3"/>
      <c r="G161" s="4"/>
      <c r="H161" s="31">
        <f t="shared" si="22"/>
        <v>0</v>
      </c>
      <c r="I161" s="41"/>
    </row>
    <row r="162" spans="4:10" x14ac:dyDescent="0.2">
      <c r="D162" s="2"/>
      <c r="E162" s="3"/>
      <c r="F162" s="3"/>
      <c r="G162" s="4"/>
      <c r="H162" s="31">
        <f t="shared" si="22"/>
        <v>0</v>
      </c>
      <c r="I162" s="41"/>
    </row>
    <row r="163" spans="4:10" x14ac:dyDescent="0.2">
      <c r="D163" s="2"/>
      <c r="E163" s="3"/>
      <c r="F163" s="3"/>
      <c r="G163" s="4"/>
      <c r="H163" s="31">
        <f t="shared" si="22"/>
        <v>0</v>
      </c>
      <c r="I163" s="41"/>
    </row>
    <row r="164" spans="4:10" x14ac:dyDescent="0.2">
      <c r="D164" s="2"/>
      <c r="E164" s="3"/>
      <c r="F164" s="3"/>
      <c r="G164" s="4"/>
      <c r="H164" s="31">
        <f t="shared" si="22"/>
        <v>0</v>
      </c>
      <c r="I164" s="41"/>
    </row>
    <row r="165" spans="4:10" x14ac:dyDescent="0.2">
      <c r="D165" s="281" t="s">
        <v>927</v>
      </c>
      <c r="E165" s="331" t="s">
        <v>928</v>
      </c>
      <c r="F165" s="331" t="s">
        <v>518</v>
      </c>
      <c r="G165" s="331" t="s">
        <v>929</v>
      </c>
      <c r="H165" s="49" t="str">
        <f t="shared" si="22"/>
        <v>Hinweise:</v>
      </c>
      <c r="I165" s="41"/>
    </row>
    <row r="166" spans="4:10" x14ac:dyDescent="0.2">
      <c r="D166" s="281" t="s">
        <v>804</v>
      </c>
      <c r="E166" s="332" t="s">
        <v>812</v>
      </c>
      <c r="F166" s="331" t="s">
        <v>820</v>
      </c>
      <c r="G166" s="332" t="s">
        <v>828</v>
      </c>
      <c r="H166" s="49" t="str">
        <f t="shared" si="22"/>
        <v>Angabe erstöffnender Flügel</v>
      </c>
      <c r="I166" s="41"/>
    </row>
    <row r="167" spans="4:10" ht="102" x14ac:dyDescent="0.2">
      <c r="D167" s="330" t="s">
        <v>805</v>
      </c>
      <c r="E167" s="333" t="s">
        <v>813</v>
      </c>
      <c r="F167" s="333" t="s">
        <v>821</v>
      </c>
      <c r="G167" s="333" t="s">
        <v>829</v>
      </c>
      <c r="H167" s="49" t="str">
        <f t="shared" si="22"/>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1"/>
    </row>
    <row r="168" spans="4:10" x14ac:dyDescent="0.2">
      <c r="D168" s="330" t="s">
        <v>806</v>
      </c>
      <c r="E168" s="332" t="s">
        <v>814</v>
      </c>
      <c r="F168" s="332" t="s">
        <v>822</v>
      </c>
      <c r="G168" s="333" t="s">
        <v>830</v>
      </c>
      <c r="H168" s="49" t="str">
        <f t="shared" ref="H168:H181" si="23">IF($B$3=$A$3,D168,IF($B$3=$A$4,E168,IF($B$3=$A$5,F168,IF($B$3=$A$6,G168,""))))</f>
        <v>Eingabe Ecke ≠ 90° (von 60° - 160°)</v>
      </c>
      <c r="I168" s="41"/>
    </row>
    <row r="169" spans="4:10" ht="63.75" x14ac:dyDescent="0.2">
      <c r="D169" s="330" t="s">
        <v>807</v>
      </c>
      <c r="E169" s="333" t="s">
        <v>815</v>
      </c>
      <c r="F169" s="333" t="s">
        <v>823</v>
      </c>
      <c r="G169" s="333" t="s">
        <v>831</v>
      </c>
      <c r="H169" s="49" t="str">
        <f t="shared" si="23"/>
        <v xml:space="preserve">Um eine Ecke auszuwählen, welche grösser oder kleiner wie 90° ist, muss das dementsprechende Feld ausgewählt werden. Danach muss der gewünschte Wert angegeben werden. </v>
      </c>
      <c r="I169" s="41"/>
    </row>
    <row r="170" spans="4:10" ht="25.5" x14ac:dyDescent="0.2">
      <c r="D170" s="330" t="s">
        <v>808</v>
      </c>
      <c r="E170" s="332" t="s">
        <v>816</v>
      </c>
      <c r="F170" s="332" t="s">
        <v>824</v>
      </c>
      <c r="G170" s="333" t="s">
        <v>832</v>
      </c>
      <c r="H170" s="49" t="str">
        <f t="shared" si="23"/>
        <v>Breitenangabe bei Eckanlagen</v>
      </c>
      <c r="I170" s="41"/>
    </row>
    <row r="171" spans="4:10" ht="102" x14ac:dyDescent="0.2">
      <c r="D171" s="330" t="s">
        <v>809</v>
      </c>
      <c r="E171" s="333" t="s">
        <v>817</v>
      </c>
      <c r="F171" s="333" t="s">
        <v>825</v>
      </c>
      <c r="G171" s="333" t="s">
        <v>833</v>
      </c>
      <c r="H171" s="49" t="str">
        <f t="shared" si="23"/>
        <v>Wird eine Eckanlage eingegeben, erscheint bei der Angabe "Breite" automatisch ein neues Eingabefeld. Die Länge der einzelnen Fronten muss hier separat angegeben werden (Rahmenaussenmass). Die verschiedenen Fronten sind von links nach rechts anzugeben:</v>
      </c>
      <c r="I171" s="41"/>
    </row>
    <row r="172" spans="4:10" x14ac:dyDescent="0.2">
      <c r="D172" s="330" t="s">
        <v>810</v>
      </c>
      <c r="E172" s="332" t="s">
        <v>818</v>
      </c>
      <c r="F172" s="332" t="s">
        <v>826</v>
      </c>
      <c r="G172" s="333" t="s">
        <v>834</v>
      </c>
      <c r="H172" s="49" t="str">
        <f t="shared" si="23"/>
        <v>Rinnenlänge angeben</v>
      </c>
      <c r="I172" s="41"/>
    </row>
    <row r="173" spans="4:10" ht="140.25" x14ac:dyDescent="0.2">
      <c r="D173" s="442" t="s">
        <v>811</v>
      </c>
      <c r="E173" s="334" t="s">
        <v>819</v>
      </c>
      <c r="F173" s="333" t="s">
        <v>827</v>
      </c>
      <c r="G173" s="333" t="s">
        <v>835</v>
      </c>
      <c r="H173" s="49" t="str">
        <f t="shared" si="23"/>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1"/>
    </row>
    <row r="174" spans="4:10" x14ac:dyDescent="0.2">
      <c r="D174" s="281" t="s">
        <v>16</v>
      </c>
      <c r="E174" s="316" t="s">
        <v>16</v>
      </c>
      <c r="F174" s="316" t="s">
        <v>16</v>
      </c>
      <c r="G174" s="317" t="s">
        <v>16</v>
      </c>
      <c r="H174" s="49" t="str">
        <f t="shared" si="23"/>
        <v>Standard</v>
      </c>
      <c r="I174" s="41"/>
      <c r="J174" s="1" t="str">
        <f>H174</f>
        <v>Standard</v>
      </c>
    </row>
    <row r="175" spans="4:10" x14ac:dyDescent="0.2">
      <c r="D175" s="281" t="s">
        <v>852</v>
      </c>
      <c r="E175" s="316" t="s">
        <v>853</v>
      </c>
      <c r="F175" s="316" t="s">
        <v>854</v>
      </c>
      <c r="G175" s="317" t="s">
        <v>855</v>
      </c>
      <c r="H175" s="49" t="str">
        <f t="shared" si="23"/>
        <v>Seaside (Pool/Meer)</v>
      </c>
      <c r="I175" s="41"/>
      <c r="J175" s="1" t="str">
        <f>H175</f>
        <v>Seaside (Pool/Meer)</v>
      </c>
    </row>
    <row r="176" spans="4:10" x14ac:dyDescent="0.2">
      <c r="D176" s="281" t="s">
        <v>862</v>
      </c>
      <c r="E176" s="316" t="s">
        <v>896</v>
      </c>
      <c r="F176" s="316" t="s">
        <v>863</v>
      </c>
      <c r="G176" s="317" t="s">
        <v>864</v>
      </c>
      <c r="H176" s="49" t="str">
        <f t="shared" si="23"/>
        <v>Pulverlack Klasse:</v>
      </c>
      <c r="I176" s="41"/>
    </row>
    <row r="177" spans="4:10" x14ac:dyDescent="0.2">
      <c r="D177" s="281" t="s">
        <v>860</v>
      </c>
      <c r="E177" s="316" t="s">
        <v>860</v>
      </c>
      <c r="F177" s="316" t="s">
        <v>860</v>
      </c>
      <c r="G177" s="317" t="s">
        <v>860</v>
      </c>
      <c r="H177" s="49" t="str">
        <f t="shared" si="23"/>
        <v>Qualicoat 1</v>
      </c>
      <c r="I177" s="41"/>
      <c r="J177" s="1" t="str">
        <f t="shared" ref="J177:J178" si="24">H177</f>
        <v>Qualicoat 1</v>
      </c>
    </row>
    <row r="178" spans="4:10" x14ac:dyDescent="0.2">
      <c r="D178" s="281" t="s">
        <v>861</v>
      </c>
      <c r="E178" s="316" t="s">
        <v>861</v>
      </c>
      <c r="F178" s="316" t="s">
        <v>861</v>
      </c>
      <c r="G178" s="317" t="s">
        <v>861</v>
      </c>
      <c r="H178" s="49" t="str">
        <f t="shared" si="23"/>
        <v>Qualicoat 2</v>
      </c>
      <c r="I178" s="41"/>
      <c r="J178" s="1" t="str">
        <f t="shared" si="24"/>
        <v>Qualicoat 2</v>
      </c>
    </row>
    <row r="179" spans="4:10" x14ac:dyDescent="0.2">
      <c r="D179" s="281" t="s">
        <v>888</v>
      </c>
      <c r="E179" s="316" t="s">
        <v>889</v>
      </c>
      <c r="F179" s="316" t="s">
        <v>890</v>
      </c>
      <c r="G179" s="317" t="s">
        <v>891</v>
      </c>
      <c r="H179" s="49" t="str">
        <f t="shared" si="23"/>
        <v>Übersicht:</v>
      </c>
      <c r="I179" s="41"/>
    </row>
    <row r="180" spans="4:10" x14ac:dyDescent="0.2">
      <c r="D180" s="281" t="s">
        <v>875</v>
      </c>
      <c r="E180" s="316" t="s">
        <v>876</v>
      </c>
      <c r="F180" s="316" t="s">
        <v>877</v>
      </c>
      <c r="G180" s="317" t="s">
        <v>878</v>
      </c>
      <c r="H180" s="49" t="str">
        <f t="shared" si="23"/>
        <v>VE</v>
      </c>
      <c r="I180" s="41"/>
    </row>
    <row r="181" spans="4:10" x14ac:dyDescent="0.2">
      <c r="D181" s="281" t="s">
        <v>893</v>
      </c>
      <c r="E181" s="316" t="s">
        <v>947</v>
      </c>
      <c r="F181" s="3" t="s">
        <v>954</v>
      </c>
      <c r="G181" s="317" t="s">
        <v>922</v>
      </c>
      <c r="H181" s="49" t="str">
        <f t="shared" si="23"/>
        <v>Sky-Frame Beratung vorhanden:</v>
      </c>
      <c r="I181" s="41"/>
    </row>
    <row r="182" spans="4:10" x14ac:dyDescent="0.2">
      <c r="D182" s="281" t="s">
        <v>895</v>
      </c>
      <c r="E182" s="316" t="s">
        <v>948</v>
      </c>
      <c r="F182" s="3" t="s">
        <v>955</v>
      </c>
      <c r="G182" s="317" t="s">
        <v>921</v>
      </c>
      <c r="H182" s="49" t="str">
        <f t="shared" ref="H182:H183" si="25">IF($B$3=$A$3,D182,IF($B$3=$A$4,E182,IF($B$3=$A$5,F182,IF($B$3=$A$6,G182,""))))</f>
        <v>Beratungsnummer: (z.B. P123456)</v>
      </c>
      <c r="I182" s="41"/>
    </row>
    <row r="183" spans="4:10" x14ac:dyDescent="0.2">
      <c r="D183" s="281" t="s">
        <v>897</v>
      </c>
      <c r="E183" s="316" t="s">
        <v>900</v>
      </c>
      <c r="F183" s="316" t="s">
        <v>956</v>
      </c>
      <c r="G183" s="317" t="s">
        <v>920</v>
      </c>
      <c r="H183" s="49" t="str">
        <f t="shared" si="25"/>
        <v>Inch-Rechner</v>
      </c>
      <c r="I183" s="41"/>
    </row>
    <row r="184" spans="4:10" x14ac:dyDescent="0.2">
      <c r="D184" s="281" t="s">
        <v>899</v>
      </c>
      <c r="E184" s="316" t="s">
        <v>901</v>
      </c>
      <c r="F184" s="316" t="s">
        <v>957</v>
      </c>
      <c r="G184" s="317" t="s">
        <v>919</v>
      </c>
      <c r="H184" s="49" t="str">
        <f t="shared" ref="H184:H190" si="26">IF($B$3=$A$3,D184,IF($B$3=$A$4,E184,IF($B$3=$A$5,F184,IF($B$3=$A$6,G184,""))))</f>
        <v>Fuss:</v>
      </c>
      <c r="I184" s="41"/>
    </row>
    <row r="185" spans="4:10" x14ac:dyDescent="0.2">
      <c r="D185" s="281" t="s">
        <v>898</v>
      </c>
      <c r="E185" s="316" t="s">
        <v>902</v>
      </c>
      <c r="F185" s="316" t="s">
        <v>958</v>
      </c>
      <c r="G185" s="317" t="s">
        <v>918</v>
      </c>
      <c r="H185" s="49" t="str">
        <f t="shared" si="26"/>
        <v>Zoll:</v>
      </c>
      <c r="I185" s="41"/>
    </row>
    <row r="186" spans="4:10" x14ac:dyDescent="0.2">
      <c r="D186" s="281" t="s">
        <v>903</v>
      </c>
      <c r="E186" s="316" t="s">
        <v>949</v>
      </c>
      <c r="F186" s="316" t="s">
        <v>959</v>
      </c>
      <c r="G186" s="317" t="s">
        <v>917</v>
      </c>
      <c r="H186" s="49" t="str">
        <f t="shared" si="26"/>
        <v>Bemassung Bahnhof</v>
      </c>
      <c r="I186" s="41"/>
    </row>
    <row r="187" spans="4:10" ht="102" x14ac:dyDescent="0.2">
      <c r="D187" s="442" t="s">
        <v>904</v>
      </c>
      <c r="E187" s="334" t="s">
        <v>952</v>
      </c>
      <c r="F187" s="334" t="s">
        <v>953</v>
      </c>
      <c r="G187" s="443" t="s">
        <v>914</v>
      </c>
      <c r="H187" s="49" t="str">
        <f t="shared" si="26"/>
        <v>Die Vermassung von Bahnhofanlagen funktioniert gleich wie bei normalen Rahmen. Bitte geben Sie uns als Rahmenmass das komplette Mass von Aussenkant Rahmen an. Für die Vermassung der Labyrinthposition geben Sie bitte das Mass bis Achse Labyrinth an.</v>
      </c>
      <c r="I187" s="41"/>
    </row>
    <row r="188" spans="4:10" x14ac:dyDescent="0.2">
      <c r="D188" s="281" t="s">
        <v>905</v>
      </c>
      <c r="E188" s="316" t="s">
        <v>950</v>
      </c>
      <c r="F188" s="316" t="s">
        <v>960</v>
      </c>
      <c r="G188" s="317" t="s">
        <v>916</v>
      </c>
      <c r="H188" s="49" t="str">
        <f t="shared" si="26"/>
        <v>Bahnhof Typ 1:</v>
      </c>
      <c r="I188" s="41"/>
    </row>
    <row r="189" spans="4:10" x14ac:dyDescent="0.2">
      <c r="D189" s="281" t="s">
        <v>906</v>
      </c>
      <c r="E189" s="316" t="s">
        <v>951</v>
      </c>
      <c r="F189" s="316" t="s">
        <v>961</v>
      </c>
      <c r="G189" s="317" t="s">
        <v>915</v>
      </c>
      <c r="H189" s="49" t="str">
        <f t="shared" si="26"/>
        <v>Bahnhof Typ 2:</v>
      </c>
      <c r="I189" s="41"/>
    </row>
    <row r="190" spans="4:10" x14ac:dyDescent="0.2">
      <c r="D190" s="281" t="s">
        <v>908</v>
      </c>
      <c r="E190" s="316" t="s">
        <v>286</v>
      </c>
      <c r="F190" s="316" t="s">
        <v>304</v>
      </c>
      <c r="G190" s="317" t="s">
        <v>315</v>
      </c>
      <c r="H190" s="49" t="str">
        <f t="shared" si="26"/>
        <v>schwarz</v>
      </c>
      <c r="I190" s="41"/>
    </row>
    <row r="191" spans="4:10" x14ac:dyDescent="0.2">
      <c r="D191" s="281" t="s">
        <v>696</v>
      </c>
      <c r="E191" s="316" t="s">
        <v>911</v>
      </c>
      <c r="F191" s="316" t="s">
        <v>910</v>
      </c>
      <c r="G191" s="317" t="s">
        <v>909</v>
      </c>
      <c r="H191" s="49" t="str">
        <f t="shared" ref="H191:H196" si="27">IF($B$3=$A$3,D191,IF($B$3=$A$4,E191,IF($B$3=$A$5,F191,IF($B$3=$A$6,G191,""))))</f>
        <v>Rahmenfarbe</v>
      </c>
      <c r="I191" s="41"/>
    </row>
    <row r="192" spans="4:10" x14ac:dyDescent="0.2">
      <c r="D192" s="281" t="s">
        <v>908</v>
      </c>
      <c r="E192" s="316" t="s">
        <v>286</v>
      </c>
      <c r="F192" s="316" t="s">
        <v>304</v>
      </c>
      <c r="G192" s="317" t="s">
        <v>315</v>
      </c>
      <c r="H192" s="49" t="str">
        <f t="shared" si="27"/>
        <v>schwarz</v>
      </c>
      <c r="I192" s="41"/>
    </row>
    <row r="193" spans="4:9" x14ac:dyDescent="0.2">
      <c r="D193" s="281" t="s">
        <v>930</v>
      </c>
      <c r="E193" s="316" t="s">
        <v>931</v>
      </c>
      <c r="F193" s="316" t="s">
        <v>962</v>
      </c>
      <c r="G193" s="317" t="s">
        <v>966</v>
      </c>
      <c r="H193" s="49" t="str">
        <f t="shared" si="27"/>
        <v>Sonstiges:</v>
      </c>
      <c r="I193" s="41"/>
    </row>
    <row r="194" spans="4:9" x14ac:dyDescent="0.2">
      <c r="D194" s="281" t="s">
        <v>946</v>
      </c>
      <c r="E194" s="316" t="s">
        <v>942</v>
      </c>
      <c r="F194" s="316" t="s">
        <v>968</v>
      </c>
      <c r="G194" s="317" t="s">
        <v>967</v>
      </c>
      <c r="H194" s="49" t="str">
        <f t="shared" si="27"/>
        <v>Sichtbare Rahmenprofile (aussen):</v>
      </c>
      <c r="I194" s="41"/>
    </row>
    <row r="195" spans="4:9" x14ac:dyDescent="0.2">
      <c r="D195" s="281" t="s">
        <v>941</v>
      </c>
      <c r="E195" s="316" t="s">
        <v>940</v>
      </c>
      <c r="F195" s="316" t="s">
        <v>969</v>
      </c>
      <c r="G195" s="317" t="s">
        <v>970</v>
      </c>
      <c r="H195" s="49" t="str">
        <f t="shared" si="27"/>
        <v>Lieferung Glas und Rahmen:</v>
      </c>
      <c r="I195" s="41"/>
    </row>
    <row r="196" spans="4:9" x14ac:dyDescent="0.2">
      <c r="D196" s="281" t="s">
        <v>932</v>
      </c>
      <c r="E196" s="316" t="s">
        <v>938</v>
      </c>
      <c r="F196" s="316" t="s">
        <v>963</v>
      </c>
      <c r="G196" s="317" t="s">
        <v>971</v>
      </c>
      <c r="H196" s="49" t="str">
        <f t="shared" si="27"/>
        <v>zusammen</v>
      </c>
      <c r="I196" s="41"/>
    </row>
    <row r="197" spans="4:9" x14ac:dyDescent="0.2">
      <c r="D197" s="281" t="s">
        <v>933</v>
      </c>
      <c r="E197" s="316" t="s">
        <v>939</v>
      </c>
      <c r="F197" s="316" t="s">
        <v>964</v>
      </c>
      <c r="G197" s="317" t="s">
        <v>972</v>
      </c>
      <c r="H197" s="49" t="str">
        <f t="shared" ref="H197:H205" si="28">IF($B$3=$A$3,D197,IF($B$3=$A$4,E197,IF($B$3=$A$5,F197,IF($B$3=$A$6,G197,""))))</f>
        <v>getrennt</v>
      </c>
      <c r="I197" s="41"/>
    </row>
    <row r="198" spans="4:9" x14ac:dyDescent="0.2">
      <c r="D198" s="281" t="s">
        <v>934</v>
      </c>
      <c r="E198" s="316" t="s">
        <v>936</v>
      </c>
      <c r="F198" s="316" t="s">
        <v>936</v>
      </c>
      <c r="G198" s="317" t="s">
        <v>973</v>
      </c>
      <c r="H198" s="49" t="str">
        <f t="shared" si="28"/>
        <v>sichtbar</v>
      </c>
      <c r="I198" s="41"/>
    </row>
    <row r="199" spans="4:9" x14ac:dyDescent="0.2">
      <c r="D199" s="281" t="s">
        <v>935</v>
      </c>
      <c r="E199" s="316" t="s">
        <v>937</v>
      </c>
      <c r="F199" s="316" t="s">
        <v>965</v>
      </c>
      <c r="G199" s="317" t="s">
        <v>974</v>
      </c>
      <c r="H199" s="49" t="str">
        <f t="shared" si="28"/>
        <v>nicht sichtbar</v>
      </c>
      <c r="I199" s="41"/>
    </row>
    <row r="200" spans="4:9" x14ac:dyDescent="0.2">
      <c r="D200" s="281"/>
      <c r="E200" s="316"/>
      <c r="F200" s="316"/>
      <c r="G200" s="4"/>
      <c r="H200" s="49">
        <f t="shared" si="28"/>
        <v>0</v>
      </c>
      <c r="I200" s="41"/>
    </row>
    <row r="201" spans="4:9" x14ac:dyDescent="0.2">
      <c r="D201" s="281"/>
      <c r="E201" s="316"/>
      <c r="F201" s="316"/>
      <c r="G201" s="4"/>
      <c r="H201" s="49">
        <f t="shared" si="28"/>
        <v>0</v>
      </c>
      <c r="I201" s="41"/>
    </row>
    <row r="202" spans="4:9" x14ac:dyDescent="0.2">
      <c r="D202" s="281"/>
      <c r="E202" s="316"/>
      <c r="F202" s="316"/>
      <c r="G202" s="4"/>
      <c r="H202" s="49">
        <f t="shared" si="28"/>
        <v>0</v>
      </c>
      <c r="I202" s="41"/>
    </row>
    <row r="203" spans="4:9" x14ac:dyDescent="0.2">
      <c r="D203" s="281"/>
      <c r="E203" s="316"/>
      <c r="F203" s="316"/>
      <c r="G203" s="4"/>
      <c r="H203" s="49">
        <f t="shared" si="28"/>
        <v>0</v>
      </c>
      <c r="I203" s="41"/>
    </row>
    <row r="204" spans="4:9" x14ac:dyDescent="0.2">
      <c r="D204" s="281"/>
      <c r="E204" s="316"/>
      <c r="F204" s="316"/>
      <c r="G204" s="4"/>
      <c r="H204" s="49">
        <f t="shared" si="28"/>
        <v>0</v>
      </c>
      <c r="I204" s="41"/>
    </row>
    <row r="205" spans="4:9" x14ac:dyDescent="0.2">
      <c r="D205" s="281"/>
      <c r="E205" s="316"/>
      <c r="F205" s="316"/>
      <c r="G205" s="4"/>
      <c r="H205" s="49">
        <f t="shared" si="28"/>
        <v>0</v>
      </c>
      <c r="I205" s="41"/>
    </row>
  </sheetData>
  <mergeCells count="5">
    <mergeCell ref="N40:P40"/>
    <mergeCell ref="AB4:AB18"/>
    <mergeCell ref="M60:M61"/>
    <mergeCell ref="B87:C87"/>
    <mergeCell ref="L85:M85"/>
  </mergeCells>
  <dataValidations disablePrompts="1" count="1">
    <dataValidation type="list" allowBlank="1" showInputMessage="1" showErrorMessage="1" sqref="P38" xr:uid="{00000000-0002-0000-0200-000000000000}">
      <formula1>$O$45:$O$46</formula1>
    </dataValidation>
  </dataValidations>
  <pageMargins left="0.7" right="0.7" top="0.78740157499999996" bottom="0.78740157499999996" header="0.3" footer="0.3"/>
  <pageSetup paperSize="9" orientation="portrait" r:id="rId1"/>
  <ignoredErrors>
    <ignoredError sqref="H89"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Eingabefenste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6" width="5.5703125" style="141" customWidth="1"/>
    <col min="57" max="57" width="5.140625" style="141" customWidth="1"/>
    <col min="58" max="58" width="1.85546875" style="141" customWidth="1"/>
    <col min="59" max="59" width="5.7109375" style="141" customWidth="1"/>
    <col min="60" max="60" width="6.28515625" style="141" customWidth="1"/>
    <col min="61" max="61" width="5.85546875" style="141" customWidth="1"/>
    <col min="62" max="64" width="11.42578125" style="141" hidden="1" customWidth="1"/>
    <col min="65" max="16384" width="11.42578125" style="141"/>
  </cols>
  <sheetData>
    <row r="1" spans="1:64" ht="13.5" thickBot="1" x14ac:dyDescent="0.25">
      <c r="A1" s="159" t="s">
        <v>533</v>
      </c>
      <c r="C1" s="61"/>
      <c r="AW1" s="160"/>
    </row>
    <row r="2" spans="1:64" ht="13.5" thickTop="1" x14ac:dyDescent="0.2">
      <c r="B2" s="204">
        <v>1</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13"/>
      <c r="AW2" s="422"/>
      <c r="AX2" s="241"/>
      <c r="AY2" s="241"/>
      <c r="AZ2" s="241"/>
      <c r="BA2" s="241"/>
      <c r="BB2" s="359" t="str">
        <f>CONCATENATE(ROUND(SUM(I46:K49)*Z42/1000000,2)*AJ6,"m²")</f>
        <v>0m²</v>
      </c>
      <c r="BD2" s="240"/>
      <c r="BE2" s="241"/>
      <c r="BF2" s="241"/>
      <c r="BG2" s="241"/>
      <c r="BH2" s="241"/>
      <c r="BI2" s="242"/>
    </row>
    <row r="3" spans="1:64" ht="36.75" customHeight="1" x14ac:dyDescent="0.3">
      <c r="B3" s="20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42"/>
      <c r="AR3" s="84"/>
      <c r="AS3" s="84"/>
      <c r="AT3" s="143" t="s">
        <v>456</v>
      </c>
      <c r="AU3" s="115"/>
      <c r="AW3" s="243"/>
      <c r="AX3" s="244" t="str">
        <f>'Sprachen &amp; Rückgabewerte'!$H$2</f>
        <v>Sprache:</v>
      </c>
      <c r="AY3" s="61"/>
      <c r="AZ3" s="61"/>
      <c r="BA3" s="61"/>
      <c r="BB3" s="378" t="str">
        <f>IF(AND(AJ6&gt;1),CONCATENATE(AH6," ",AJ6),"")</f>
        <v/>
      </c>
      <c r="BD3" s="243"/>
      <c r="BE3" s="416" t="str">
        <f>'Sprachen &amp; Rückgabewerte'!H183</f>
        <v>Inch-Rechner</v>
      </c>
      <c r="BF3" s="416"/>
      <c r="BG3" s="61"/>
      <c r="BH3" s="61"/>
      <c r="BI3" s="245"/>
    </row>
    <row r="4" spans="1:64" ht="19.5" customHeight="1" x14ac:dyDescent="0.2">
      <c r="B4" s="111"/>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13"/>
      <c r="AW4" s="243"/>
      <c r="AX4" s="61"/>
      <c r="AY4" s="61"/>
      <c r="AZ4" s="61"/>
      <c r="BA4" s="61"/>
      <c r="BB4" s="245"/>
      <c r="BD4" s="243"/>
      <c r="BE4" s="156" t="str">
        <f>'Sprachen &amp; Rückgabewerte'!H184</f>
        <v>Fuss:</v>
      </c>
      <c r="BF4" s="156"/>
      <c r="BG4" s="156" t="str">
        <f>'Sprachen &amp; Rückgabewerte'!H185</f>
        <v>Zoll:</v>
      </c>
      <c r="BH4" s="61"/>
      <c r="BI4" s="245"/>
    </row>
    <row r="5" spans="1:64" ht="15" customHeight="1" x14ac:dyDescent="0.2">
      <c r="B5" s="60"/>
      <c r="C5" s="126"/>
      <c r="D5" s="127"/>
      <c r="E5" s="128" t="str">
        <f>'Sprachen &amp; Rückgabewerte'!H4</f>
        <v>BESTELLUNG</v>
      </c>
      <c r="F5" s="127"/>
      <c r="G5" s="127"/>
      <c r="H5" s="127"/>
      <c r="I5" s="127"/>
      <c r="J5" s="127"/>
      <c r="K5" s="127"/>
      <c r="L5" s="127"/>
      <c r="M5" s="127"/>
      <c r="N5" s="127"/>
      <c r="O5" s="127"/>
      <c r="P5" s="127"/>
      <c r="Q5" s="127"/>
      <c r="R5" s="129"/>
      <c r="S5" s="680" t="str">
        <f>'Sprachen &amp; Rückgabewerte'!$H$130</f>
        <v>Vertriebspartner:</v>
      </c>
      <c r="T5" s="681"/>
      <c r="U5" s="681"/>
      <c r="V5" s="681"/>
      <c r="W5" s="681"/>
      <c r="X5" s="682"/>
      <c r="Y5" s="689"/>
      <c r="Z5" s="690"/>
      <c r="AA5" s="690"/>
      <c r="AB5" s="690"/>
      <c r="AC5" s="690"/>
      <c r="AD5" s="690"/>
      <c r="AE5" s="690"/>
      <c r="AF5" s="691"/>
      <c r="AG5" s="144"/>
      <c r="AH5" s="130" t="str">
        <f>'Sprachen &amp; Rückgabewerte'!H55</f>
        <v>Pos:</v>
      </c>
      <c r="AI5" s="145"/>
      <c r="AJ5" s="683"/>
      <c r="AK5" s="684"/>
      <c r="AL5" s="685"/>
      <c r="AM5" s="144"/>
      <c r="AN5" s="130" t="str">
        <f>'Sprachen &amp; Rückgabewerte'!$H$10</f>
        <v>2-gleisig</v>
      </c>
      <c r="AO5" s="145"/>
      <c r="AP5" s="145"/>
      <c r="AQ5" s="145"/>
      <c r="AR5" s="145"/>
      <c r="AS5" s="145"/>
      <c r="AT5" s="189"/>
      <c r="AU5" s="114"/>
      <c r="AW5" s="243"/>
      <c r="AY5" s="61"/>
      <c r="AZ5" s="61"/>
      <c r="BA5" s="61"/>
      <c r="BB5" s="245"/>
      <c r="BD5" s="243"/>
      <c r="BE5" s="582"/>
      <c r="BF5" s="586" t="str">
        <f>"'"</f>
        <v>'</v>
      </c>
      <c r="BG5" s="584"/>
      <c r="BH5" s="414"/>
      <c r="BI5" s="245"/>
      <c r="BJ5" s="141">
        <f>BE5*304.8</f>
        <v>0</v>
      </c>
      <c r="BK5" s="141">
        <f>BG5*25.4</f>
        <v>0</v>
      </c>
      <c r="BL5" s="141">
        <f>IF(AND(BH5="",BH6=""),0,25.4*BH5/BH6)</f>
        <v>0</v>
      </c>
    </row>
    <row r="6" spans="1:64" ht="12" customHeight="1" x14ac:dyDescent="0.2">
      <c r="B6" s="60"/>
      <c r="C6" s="131"/>
      <c r="D6" s="132"/>
      <c r="E6" s="67"/>
      <c r="F6" s="132" t="str">
        <f>'Sprachen &amp; Rückgabewerte'!$H$5</f>
        <v>Gemäss Zeichnung Nr.:</v>
      </c>
      <c r="G6" s="132"/>
      <c r="H6" s="132"/>
      <c r="I6" s="132"/>
      <c r="J6" s="132"/>
      <c r="K6" s="132"/>
      <c r="L6" s="146"/>
      <c r="M6" s="546"/>
      <c r="N6" s="547"/>
      <c r="O6" s="547"/>
      <c r="P6" s="547"/>
      <c r="Q6" s="548"/>
      <c r="R6" s="133"/>
      <c r="S6" s="134" t="str">
        <f>'Sprachen &amp; Rückgabewerte'!$H$7</f>
        <v xml:space="preserve">Objekt: </v>
      </c>
      <c r="T6" s="132"/>
      <c r="U6" s="132"/>
      <c r="V6" s="132"/>
      <c r="W6" s="132"/>
      <c r="X6" s="91"/>
      <c r="Y6" s="686"/>
      <c r="Z6" s="687"/>
      <c r="AA6" s="687"/>
      <c r="AB6" s="687"/>
      <c r="AC6" s="687"/>
      <c r="AD6" s="687"/>
      <c r="AE6" s="687"/>
      <c r="AF6" s="688"/>
      <c r="AG6" s="133"/>
      <c r="AH6" s="134" t="str">
        <f>'Sprachen &amp; Rückgabewerte'!H56</f>
        <v>Stück:</v>
      </c>
      <c r="AI6" s="132"/>
      <c r="AJ6" s="692"/>
      <c r="AK6" s="693"/>
      <c r="AL6" s="694"/>
      <c r="AM6" s="116"/>
      <c r="AN6" s="134" t="str">
        <f>'Sprachen &amp; Rückgabewerte'!$H$11</f>
        <v>3-gleisig</v>
      </c>
      <c r="AO6" s="132"/>
      <c r="AP6" s="132"/>
      <c r="AQ6" s="132"/>
      <c r="AR6" s="132"/>
      <c r="AS6" s="132"/>
      <c r="AT6" s="133"/>
      <c r="AU6" s="114"/>
      <c r="AW6" s="243"/>
      <c r="AY6" s="61"/>
      <c r="AZ6" s="61"/>
      <c r="BA6" s="61"/>
      <c r="BB6" s="245"/>
      <c r="BD6" s="243"/>
      <c r="BE6" s="583"/>
      <c r="BF6" s="586"/>
      <c r="BG6" s="585"/>
      <c r="BH6" s="415"/>
      <c r="BI6" s="245"/>
    </row>
    <row r="7" spans="1:64" ht="12" customHeight="1" x14ac:dyDescent="0.2">
      <c r="B7" s="60"/>
      <c r="C7" s="131"/>
      <c r="D7" s="132"/>
      <c r="E7" s="67"/>
      <c r="F7" s="132" t="str">
        <f>'Sprachen &amp; Rückgabewerte'!$H$6</f>
        <v>Gemäss Skizze: (Ansicht von Aussen)</v>
      </c>
      <c r="G7" s="132"/>
      <c r="H7" s="132"/>
      <c r="I7" s="132"/>
      <c r="J7" s="132"/>
      <c r="K7" s="132"/>
      <c r="L7" s="132"/>
      <c r="M7" s="132"/>
      <c r="N7" s="132"/>
      <c r="O7" s="132"/>
      <c r="P7" s="132"/>
      <c r="Q7" s="132"/>
      <c r="R7" s="133"/>
      <c r="S7" s="134" t="str">
        <f>'Sprachen &amp; Rückgabewerte'!$H$8</f>
        <v>Bestelldatum:</v>
      </c>
      <c r="T7" s="132"/>
      <c r="U7" s="132"/>
      <c r="V7" s="132"/>
      <c r="W7" s="132"/>
      <c r="X7" s="91"/>
      <c r="Y7" s="673"/>
      <c r="Z7" s="674"/>
      <c r="AA7" s="674"/>
      <c r="AB7" s="674"/>
      <c r="AC7" s="674"/>
      <c r="AD7" s="674"/>
      <c r="AE7" s="674"/>
      <c r="AF7" s="675"/>
      <c r="AG7" s="147"/>
      <c r="AH7" s="134" t="str">
        <f>'Sprachen &amp; Rückgabewerte'!H57</f>
        <v>Seite:</v>
      </c>
      <c r="AI7" s="148"/>
      <c r="AJ7" s="683"/>
      <c r="AK7" s="684"/>
      <c r="AL7" s="685"/>
      <c r="AM7" s="116"/>
      <c r="AN7" s="134" t="str">
        <f>IF($AT$5="",'Sprachen &amp; Rückgabewerte'!$H$12,'Sprachen &amp; Rückgabewerte'!$H$133)</f>
        <v>4-gleisig</v>
      </c>
      <c r="AO7" s="91"/>
      <c r="AP7" s="146"/>
      <c r="AQ7" s="146"/>
      <c r="AR7" s="146"/>
      <c r="AS7" s="146"/>
      <c r="AT7" s="133"/>
      <c r="AU7" s="114"/>
      <c r="AW7" s="243"/>
      <c r="AX7" s="155" t="str">
        <f>'Sprachen &amp; Rückgabewerte'!H193</f>
        <v>Sonstiges:</v>
      </c>
      <c r="AY7" s="61"/>
      <c r="AZ7" s="61"/>
      <c r="BA7" s="61"/>
      <c r="BB7" s="245"/>
      <c r="BD7" s="243"/>
      <c r="BE7" s="61"/>
      <c r="BF7" s="61"/>
      <c r="BG7" s="61"/>
      <c r="BH7" s="61"/>
      <c r="BI7" s="245"/>
    </row>
    <row r="8" spans="1:64" ht="7.5" customHeight="1" thickBot="1" x14ac:dyDescent="0.25">
      <c r="B8" s="60"/>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3"/>
      <c r="AX8" s="61"/>
      <c r="AY8" s="61"/>
      <c r="AZ8" s="61"/>
      <c r="BA8" s="61"/>
      <c r="BB8" s="245"/>
      <c r="BD8" s="243"/>
      <c r="BE8" s="61"/>
      <c r="BF8" s="61"/>
      <c r="BG8" s="61"/>
      <c r="BH8" s="61"/>
      <c r="BI8" s="245"/>
    </row>
    <row r="9" spans="1:64" ht="15" customHeight="1" thickTop="1" x14ac:dyDescent="0.2">
      <c r="A9" s="653" t="str">
        <f>IF('Sprachen &amp; Rückgabewerte'!L62=1,'Sprachen &amp; Rückgabewerte'!$H$132,"")</f>
        <v/>
      </c>
      <c r="B9" s="228"/>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4"/>
      <c r="AU9" s="114"/>
      <c r="AW9" s="243"/>
      <c r="AX9" s="425" t="str">
        <f>'Sprachen &amp; Rückgabewerte'!H194</f>
        <v>Sichtbare Rahmenprofile (aussen):</v>
      </c>
      <c r="AY9" s="425"/>
      <c r="AZ9" s="617"/>
      <c r="BA9" s="619"/>
      <c r="BB9" s="245"/>
      <c r="BD9" s="243"/>
      <c r="BE9" s="587">
        <f>ROUND(SUM(BJ5,BK5,BL5),1)</f>
        <v>0</v>
      </c>
      <c r="BF9" s="588"/>
      <c r="BG9" s="589"/>
      <c r="BH9" s="156" t="s">
        <v>179</v>
      </c>
      <c r="BI9" s="245"/>
    </row>
    <row r="10" spans="1:64" ht="15" customHeight="1" thickBot="1" x14ac:dyDescent="0.25">
      <c r="A10" s="654"/>
      <c r="B10" s="228"/>
      <c r="C10" s="60"/>
      <c r="D10" s="61"/>
      <c r="E10" s="61"/>
      <c r="F10" s="676"/>
      <c r="G10" s="677"/>
      <c r="H10" s="61"/>
      <c r="I10" s="61"/>
      <c r="J10" s="676"/>
      <c r="K10" s="677"/>
      <c r="L10" s="61"/>
      <c r="M10" s="61"/>
      <c r="N10" s="676"/>
      <c r="O10" s="677"/>
      <c r="P10" s="61"/>
      <c r="Q10" s="61"/>
      <c r="R10" s="676"/>
      <c r="S10" s="677"/>
      <c r="T10" s="61"/>
      <c r="U10" s="61"/>
      <c r="V10" s="676"/>
      <c r="W10" s="677"/>
      <c r="X10" s="61"/>
      <c r="Y10" s="61"/>
      <c r="Z10" s="676"/>
      <c r="AA10" s="677"/>
      <c r="AB10" s="61"/>
      <c r="AC10" s="61"/>
      <c r="AD10" s="676"/>
      <c r="AE10" s="677"/>
      <c r="AF10" s="61"/>
      <c r="AG10" s="61"/>
      <c r="AH10" s="676"/>
      <c r="AI10" s="677"/>
      <c r="AJ10" s="61"/>
      <c r="AK10" s="61"/>
      <c r="AL10" s="676"/>
      <c r="AM10" s="677"/>
      <c r="AN10" s="61"/>
      <c r="AO10" s="61"/>
      <c r="AP10" s="676"/>
      <c r="AQ10" s="677"/>
      <c r="AR10" s="61"/>
      <c r="AS10" s="61"/>
      <c r="AT10" s="114"/>
      <c r="AU10" s="114"/>
      <c r="AW10" s="243"/>
      <c r="AX10" s="425" t="str">
        <f>'Sprachen &amp; Rückgabewerte'!H195</f>
        <v>Lieferung Glas und Rahmen:</v>
      </c>
      <c r="AY10" s="425"/>
      <c r="AZ10" s="617"/>
      <c r="BA10" s="619"/>
      <c r="BB10" s="245"/>
      <c r="BD10" s="259"/>
      <c r="BE10" s="249"/>
      <c r="BF10" s="249"/>
      <c r="BG10" s="249"/>
      <c r="BH10" s="249"/>
      <c r="BI10" s="251"/>
    </row>
    <row r="11" spans="1:64" ht="15" customHeight="1" thickTop="1" thickBot="1" x14ac:dyDescent="0.25">
      <c r="A11" s="655"/>
      <c r="B11" s="228"/>
      <c r="C11" s="239">
        <f>COUNTBLANK(E11:AO11)</f>
        <v>37</v>
      </c>
      <c r="D11" s="61"/>
      <c r="E11" s="67"/>
      <c r="F11" s="67"/>
      <c r="G11" s="67"/>
      <c r="H11" s="162"/>
      <c r="I11" s="162"/>
      <c r="J11" s="67"/>
      <c r="K11" s="67"/>
      <c r="L11" s="162"/>
      <c r="M11" s="162"/>
      <c r="N11" s="67"/>
      <c r="O11" s="67"/>
      <c r="P11" s="162"/>
      <c r="Q11" s="162"/>
      <c r="R11" s="67"/>
      <c r="S11" s="67"/>
      <c r="T11" s="162"/>
      <c r="U11" s="162"/>
      <c r="V11" s="67"/>
      <c r="W11" s="67"/>
      <c r="X11" s="162"/>
      <c r="Y11" s="162"/>
      <c r="Z11" s="67"/>
      <c r="AA11" s="67"/>
      <c r="AB11" s="162"/>
      <c r="AC11" s="162"/>
      <c r="AD11" s="67"/>
      <c r="AE11" s="67"/>
      <c r="AF11" s="162"/>
      <c r="AG11" s="162"/>
      <c r="AH11" s="67"/>
      <c r="AI11" s="67"/>
      <c r="AJ11" s="162"/>
      <c r="AK11" s="162"/>
      <c r="AL11" s="67"/>
      <c r="AM11" s="67"/>
      <c r="AN11" s="162"/>
      <c r="AO11" s="162"/>
      <c r="AP11" s="67"/>
      <c r="AQ11" s="67"/>
      <c r="AR11" s="67"/>
      <c r="AS11" s="61"/>
      <c r="AT11" s="114"/>
      <c r="AU11" s="114"/>
      <c r="AW11" s="243"/>
      <c r="AY11" s="61"/>
      <c r="AZ11" s="61"/>
      <c r="BA11" s="61"/>
      <c r="BB11" s="245"/>
    </row>
    <row r="12" spans="1:64" ht="13.5" customHeight="1" thickTop="1" x14ac:dyDescent="0.2">
      <c r="B12" s="60"/>
      <c r="C12" s="60"/>
      <c r="D12" s="61"/>
      <c r="E12" s="95"/>
      <c r="F12" s="82"/>
      <c r="G12" s="82"/>
      <c r="H12" s="83" t="str">
        <f>IF(F10&lt;&gt;"",IF(AND(F10&gt;0,F10&lt;&gt;"F"),CONCATENATE('Sprachen &amp; Rückgabewerte'!$C$28," ",'Sprachen &amp; Rückgabewerte'!$C$29," ",'Sprachen &amp; Rückgabewerte'!$C$30),'Sprachen &amp; Rückgabewerte'!$C$30),"")</f>
        <v/>
      </c>
      <c r="I12" s="95"/>
      <c r="J12" s="82"/>
      <c r="K12" s="82"/>
      <c r="L12" s="83" t="str">
        <f>IF(J10&lt;&gt;"",IF(AND(J10&gt;0,J10&lt;&gt;"F"),CONCATENATE('Sprachen &amp; Rückgabewerte'!$C$28," ",'Sprachen &amp; Rückgabewerte'!$C$29," ",'Sprachen &amp; Rückgabewerte'!$C$30),'Sprachen &amp; Rückgabewerte'!$C$30),"")</f>
        <v/>
      </c>
      <c r="M12" s="95"/>
      <c r="N12" s="82"/>
      <c r="O12" s="82"/>
      <c r="P12" s="83" t="str">
        <f>IF(N10&lt;&gt;"",IF(AND(N10&gt;0,N10&lt;&gt;"F"),CONCATENATE('Sprachen &amp; Rückgabewerte'!$C$28," ",'Sprachen &amp; Rückgabewerte'!$C$29," ",'Sprachen &amp; Rückgabewerte'!$C$30),'Sprachen &amp; Rückgabewerte'!$C$30),"")</f>
        <v/>
      </c>
      <c r="Q12" s="95"/>
      <c r="R12" s="82"/>
      <c r="S12" s="82"/>
      <c r="T12" s="83" t="str">
        <f>IF(R10&lt;&gt;"",IF(AND(R10&gt;0,R10&lt;&gt;"F"),CONCATENATE('Sprachen &amp; Rückgabewerte'!$C$28," ",'Sprachen &amp; Rückgabewerte'!$C$29," ",'Sprachen &amp; Rückgabewerte'!$C$30),'Sprachen &amp; Rückgabewerte'!$C$30),"")</f>
        <v/>
      </c>
      <c r="U12" s="95"/>
      <c r="V12" s="82"/>
      <c r="W12" s="82"/>
      <c r="X12" s="83" t="str">
        <f>IF(V10&lt;&gt;"",IF(AND(V10&gt;0,V10&lt;&gt;"F"),CONCATENATE('Sprachen &amp; Rückgabewerte'!$C$28," ",'Sprachen &amp; Rückgabewerte'!$C$29," ",'Sprachen &amp; Rückgabewerte'!$C$30),'Sprachen &amp; Rückgabewerte'!$C$30),"")</f>
        <v/>
      </c>
      <c r="Y12" s="95"/>
      <c r="Z12" s="82"/>
      <c r="AA12" s="82"/>
      <c r="AB12" s="83" t="str">
        <f>IF(Z10&lt;&gt;"",IF(AND(Z10&gt;0,Z10&lt;&gt;"F"),CONCATENATE('Sprachen &amp; Rückgabewerte'!$C$28," ",'Sprachen &amp; Rückgabewerte'!$C$29," ",'Sprachen &amp; Rückgabewerte'!$C$30),'Sprachen &amp; Rückgabewerte'!$C$30),"")</f>
        <v/>
      </c>
      <c r="AC12" s="95"/>
      <c r="AD12" s="82"/>
      <c r="AE12" s="82"/>
      <c r="AF12" s="83" t="str">
        <f>IF(AD10&lt;&gt;"",IF(AND(AD10&gt;0,AD10&lt;&gt;"F"),CONCATENATE('Sprachen &amp; Rückgabewerte'!$C$28," ",'Sprachen &amp; Rückgabewerte'!$C$29," ",'Sprachen &amp; Rückgabewerte'!$C$30),'Sprachen &amp; Rückgabewerte'!$C$30),"")</f>
        <v/>
      </c>
      <c r="AG12" s="95"/>
      <c r="AH12" s="82"/>
      <c r="AI12" s="82"/>
      <c r="AJ12" s="83" t="str">
        <f>IF(AH10&lt;&gt;"",IF(AND(AH10&gt;0,AH10&lt;&gt;"F"),CONCATENATE('Sprachen &amp; Rückgabewerte'!$C$28," ",'Sprachen &amp; Rückgabewerte'!$C$29," ",'Sprachen &amp; Rückgabewerte'!$C$30),'Sprachen &amp; Rückgabewerte'!$C$30),"")</f>
        <v/>
      </c>
      <c r="AK12" s="95"/>
      <c r="AL12" s="82"/>
      <c r="AM12" s="82"/>
      <c r="AN12" s="83" t="str">
        <f>IF(AL10&lt;&gt;"",IF(AND(AL10&gt;0,AL10&lt;&gt;"F"),CONCATENATE('Sprachen &amp; Rückgabewerte'!$C$28," ",'Sprachen &amp; Rückgabewerte'!$C$29," ",'Sprachen &amp; Rückgabewerte'!$C$30),'Sprachen &amp; Rückgabewerte'!$C$30),"")</f>
        <v/>
      </c>
      <c r="AO12" s="95"/>
      <c r="AP12" s="82"/>
      <c r="AQ12" s="82"/>
      <c r="AR12" s="83" t="str">
        <f>IF(AP10&lt;&gt;"",IF(AND(AP10&gt;0,AP10&lt;&gt;"F"),CONCATENATE('Sprachen &amp; Rückgabewerte'!$C$28," ",'Sprachen &amp; Rückgabewerte'!$C$29," ",'Sprachen &amp; Rückgabewerte'!$C$30),'Sprachen &amp; Rückgabewerte'!$C$30),"")</f>
        <v/>
      </c>
      <c r="AS12" s="149"/>
      <c r="AT12" s="114"/>
      <c r="AU12" s="114"/>
      <c r="AW12" s="243"/>
      <c r="AX12" s="246"/>
      <c r="AY12" s="61"/>
      <c r="AZ12" s="61"/>
      <c r="BA12" s="61"/>
      <c r="BB12" s="245"/>
    </row>
    <row r="13" spans="1:64" ht="13.5" customHeight="1" x14ac:dyDescent="0.2">
      <c r="B13" s="60"/>
      <c r="C13" s="60"/>
      <c r="D13" s="61"/>
      <c r="E13" s="656" t="str">
        <f>IF(AND('Sprachen &amp; Rückgabewerte'!$I$30=TRUE,$F$10="R"),'Sprachen &amp; Rückgabewerte'!H60,"")</f>
        <v/>
      </c>
      <c r="F13" s="61"/>
      <c r="G13" s="61"/>
      <c r="H13" s="647" t="str">
        <f>IF(AND('Sprachen &amp; Rückgabewerte'!$I$31=TRUE,$F$10="L",$J$10=""),'Sprachen &amp; Rückgabewerte'!$H$60,"")</f>
        <v/>
      </c>
      <c r="I13" s="60"/>
      <c r="J13" s="61"/>
      <c r="K13" s="61"/>
      <c r="L13" s="647" t="str">
        <f>IF(AND('Sprachen &amp; Rückgabewerte'!$I$31=TRUE,$J$10="L",$N$10=""),'Sprachen &amp; Rückgabewerte'!$H$60,"")</f>
        <v/>
      </c>
      <c r="M13" s="60"/>
      <c r="N13" s="61"/>
      <c r="O13" s="61"/>
      <c r="P13" s="647" t="str">
        <f>IF(AND('Sprachen &amp; Rückgabewerte'!$I$31=TRUE,$N$10="L",$R$10=""),'Sprachen &amp; Rückgabewerte'!$H$60,"")</f>
        <v/>
      </c>
      <c r="Q13" s="60"/>
      <c r="R13" s="61"/>
      <c r="S13" s="61"/>
      <c r="T13" s="647" t="str">
        <f>IF(AND('Sprachen &amp; Rückgabewerte'!$I$31=TRUE,$R$10="L",$V$10=""),'Sprachen &amp; Rückgabewerte'!$H$60,"")</f>
        <v/>
      </c>
      <c r="U13" s="60"/>
      <c r="V13" s="61"/>
      <c r="W13" s="61"/>
      <c r="X13" s="647" t="str">
        <f>IF(AND('Sprachen &amp; Rückgabewerte'!$I$31=TRUE,$V$10="L",$Z$10=""),'Sprachen &amp; Rückgabewerte'!$H$60,"")</f>
        <v/>
      </c>
      <c r="Y13" s="60"/>
      <c r="Z13" s="61"/>
      <c r="AA13" s="61"/>
      <c r="AB13" s="647" t="str">
        <f>IF(AND('Sprachen &amp; Rückgabewerte'!$I$31=TRUE,$Z$10="L",$AD$10=""),'Sprachen &amp; Rückgabewerte'!$H$60,"")</f>
        <v/>
      </c>
      <c r="AC13" s="60"/>
      <c r="AD13" s="61"/>
      <c r="AE13" s="61"/>
      <c r="AF13" s="647" t="str">
        <f>IF(AND('Sprachen &amp; Rückgabewerte'!$I$31=TRUE,$AD$10="L",$AH$10=""),'Sprachen &amp; Rückgabewerte'!$H$60,"")</f>
        <v/>
      </c>
      <c r="AG13" s="60"/>
      <c r="AH13" s="61"/>
      <c r="AI13" s="61"/>
      <c r="AJ13" s="647" t="str">
        <f>IF(AND('Sprachen &amp; Rückgabewerte'!$I$31=TRUE,$AH$10="L",$AL$10=""),'Sprachen &amp; Rückgabewerte'!$H$60,"")</f>
        <v/>
      </c>
      <c r="AK13" s="60"/>
      <c r="AL13" s="61"/>
      <c r="AM13" s="61"/>
      <c r="AN13" s="647" t="str">
        <f>IF(AND('Sprachen &amp; Rückgabewerte'!$I$31=TRUE,$AL$10="L",$AP$10=""),'Sprachen &amp; Rückgabewerte'!$H$60,"")</f>
        <v/>
      </c>
      <c r="AO13" s="60"/>
      <c r="AP13" s="61"/>
      <c r="AQ13" s="61"/>
      <c r="AR13" s="647" t="str">
        <f>IF(AND('Sprachen &amp; Rückgabewerte'!$I$31=TRUE,$AP$10="L"),'Sprachen &amp; Rückgabewerte'!$H$60,"")</f>
        <v/>
      </c>
      <c r="AS13" s="150"/>
      <c r="AT13" s="114"/>
      <c r="AU13" s="114"/>
      <c r="AW13" s="243"/>
      <c r="AX13" s="61"/>
      <c r="AY13" s="61"/>
      <c r="AZ13" s="61"/>
      <c r="BA13" s="61"/>
      <c r="BB13" s="245"/>
    </row>
    <row r="14" spans="1:64" ht="13.5" customHeight="1" x14ac:dyDescent="0.2">
      <c r="B14" s="60"/>
      <c r="C14" s="60"/>
      <c r="D14" s="61"/>
      <c r="E14" s="656"/>
      <c r="F14" s="635" t="str">
        <f>IF(F10='Sprachen &amp; Rückgabewerte'!$B$9,'Sprachen &amp; Rückgabewerte'!$C$9,IF(F10='Sprachen &amp; Rückgabewerte'!$B$10,'Sprachen &amp; Rückgabewerte'!$C$10,IF(F10='Sprachen &amp; Rückgabewerte'!$B$11,'Sprachen &amp; Rückgabewerte'!$C$11,IF(F10='Sprachen &amp; Rückgabewerte'!$B$12,'Sprachen &amp; Rückgabewerte'!$C$12,IF(F10='Sprachen &amp; Rückgabewerte'!$B$13,'Sprachen &amp; Rückgabewerte'!$C$13,IF(F10='Sprachen &amp; Rückgabewerte'!$B$14,'Sprachen &amp; Rückgabewerte'!$C$14,""))))))</f>
        <v/>
      </c>
      <c r="G14" s="635"/>
      <c r="H14" s="647"/>
      <c r="I14" s="60"/>
      <c r="J14" s="635" t="str">
        <f>IF(J10='Sprachen &amp; Rückgabewerte'!$B$9,'Sprachen &amp; Rückgabewerte'!$C$9,IF(J10='Sprachen &amp; Rückgabewerte'!$B$10,'Sprachen &amp; Rückgabewerte'!$C$10,IF(J10='Sprachen &amp; Rückgabewerte'!$B$11,'Sprachen &amp; Rückgabewerte'!$C$11,IF(J10='Sprachen &amp; Rückgabewerte'!$B$12,'Sprachen &amp; Rückgabewerte'!$C$12,IF(J10='Sprachen &amp; Rückgabewerte'!$B$13,'Sprachen &amp; Rückgabewerte'!$C$13,IF(J10='Sprachen &amp; Rückgabewerte'!$B$14,'Sprachen &amp; Rückgabewerte'!$C$14,""))))))</f>
        <v/>
      </c>
      <c r="K14" s="635"/>
      <c r="L14" s="647"/>
      <c r="M14" s="60"/>
      <c r="N14" s="635" t="str">
        <f>IF(N10='Sprachen &amp; Rückgabewerte'!$B$9,'Sprachen &amp; Rückgabewerte'!$C$9,IF(N10='Sprachen &amp; Rückgabewerte'!$B$10,'Sprachen &amp; Rückgabewerte'!$C$10,IF(N10='Sprachen &amp; Rückgabewerte'!$B$11,'Sprachen &amp; Rückgabewerte'!$C$11,IF(N10='Sprachen &amp; Rückgabewerte'!$B$12,'Sprachen &amp; Rückgabewerte'!$C$12,IF(N10='Sprachen &amp; Rückgabewerte'!$B$13,'Sprachen &amp; Rückgabewerte'!$C$13,IF(N10='Sprachen &amp; Rückgabewerte'!$B$14,'Sprachen &amp; Rückgabewerte'!$C$14,""))))))</f>
        <v/>
      </c>
      <c r="O14" s="635"/>
      <c r="P14" s="647"/>
      <c r="Q14" s="60"/>
      <c r="R14" s="635" t="str">
        <f>IF(R10='Sprachen &amp; Rückgabewerte'!$B$9,'Sprachen &amp; Rückgabewerte'!$C$9,IF(R10='Sprachen &amp; Rückgabewerte'!$B$10,'Sprachen &amp; Rückgabewerte'!$C$10,IF(R10='Sprachen &amp; Rückgabewerte'!$B$11,'Sprachen &amp; Rückgabewerte'!$C$11,IF(R10='Sprachen &amp; Rückgabewerte'!$B$12,'Sprachen &amp; Rückgabewerte'!$C$12,IF(R10='Sprachen &amp; Rückgabewerte'!$B$13,'Sprachen &amp; Rückgabewerte'!$C$13,IF(R10='Sprachen &amp; Rückgabewerte'!$B$14,'Sprachen &amp; Rückgabewerte'!$C$14,""))))))</f>
        <v/>
      </c>
      <c r="S14" s="635"/>
      <c r="T14" s="647"/>
      <c r="U14" s="60"/>
      <c r="V14" s="635" t="str">
        <f>IF(V10='Sprachen &amp; Rückgabewerte'!$B$9,'Sprachen &amp; Rückgabewerte'!$C$9,IF(V10='Sprachen &amp; Rückgabewerte'!$B$10,'Sprachen &amp; Rückgabewerte'!$C$10,IF(V10='Sprachen &amp; Rückgabewerte'!$B$11,'Sprachen &amp; Rückgabewerte'!$C$11,IF(V10='Sprachen &amp; Rückgabewerte'!$B$12,'Sprachen &amp; Rückgabewerte'!$C$12,IF(V10='Sprachen &amp; Rückgabewerte'!$B$13,'Sprachen &amp; Rückgabewerte'!$C$13,IF(V10='Sprachen &amp; Rückgabewerte'!$B$14,'Sprachen &amp; Rückgabewerte'!$C$14,""))))))</f>
        <v/>
      </c>
      <c r="W14" s="635"/>
      <c r="X14" s="647"/>
      <c r="Y14" s="60"/>
      <c r="Z14" s="635" t="str">
        <f>IF(Z10='Sprachen &amp; Rückgabewerte'!$B$9,'Sprachen &amp; Rückgabewerte'!$C$9,IF(Z10='Sprachen &amp; Rückgabewerte'!$B$10,'Sprachen &amp; Rückgabewerte'!$C$10,IF(Z10='Sprachen &amp; Rückgabewerte'!$B$11,'Sprachen &amp; Rückgabewerte'!$C$11,IF(Z10='Sprachen &amp; Rückgabewerte'!$B$12,'Sprachen &amp; Rückgabewerte'!$C$12,IF(Z10='Sprachen &amp; Rückgabewerte'!$B$13,'Sprachen &amp; Rückgabewerte'!$C$13,IF(Z10='Sprachen &amp; Rückgabewerte'!$B$14,'Sprachen &amp; Rückgabewerte'!$C$14,""))))))</f>
        <v/>
      </c>
      <c r="AA14" s="635"/>
      <c r="AB14" s="647"/>
      <c r="AC14" s="60"/>
      <c r="AD14" s="635" t="str">
        <f>IF(AD10='Sprachen &amp; Rückgabewerte'!$B$9,'Sprachen &amp; Rückgabewerte'!$C$9,IF(AD10='Sprachen &amp; Rückgabewerte'!$B$10,'Sprachen &amp; Rückgabewerte'!$C$10,IF(AD10='Sprachen &amp; Rückgabewerte'!$B$11,'Sprachen &amp; Rückgabewerte'!$C$11,IF(AD10='Sprachen &amp; Rückgabewerte'!$B$12,'Sprachen &amp; Rückgabewerte'!$C$12,IF(AD10='Sprachen &amp; Rückgabewerte'!$B$13,'Sprachen &amp; Rückgabewerte'!$C$13,IF(AD10='Sprachen &amp; Rückgabewerte'!$B$14,'Sprachen &amp; Rückgabewerte'!$C$14,""))))))</f>
        <v/>
      </c>
      <c r="AE14" s="635"/>
      <c r="AF14" s="647"/>
      <c r="AG14" s="60"/>
      <c r="AH14" s="635" t="str">
        <f>IF(AH10='Sprachen &amp; Rückgabewerte'!$B$9,'Sprachen &amp; Rückgabewerte'!$C$9,IF(AH10='Sprachen &amp; Rückgabewerte'!$B$10,'Sprachen &amp; Rückgabewerte'!$C$10,IF(AH10='Sprachen &amp; Rückgabewerte'!$B$11,'Sprachen &amp; Rückgabewerte'!$C$11,IF(AH10='Sprachen &amp; Rückgabewerte'!$B$12,'Sprachen &amp; Rückgabewerte'!$C$12,IF(AH10='Sprachen &amp; Rückgabewerte'!$B$13,'Sprachen &amp; Rückgabewerte'!$C$13,IF(AH10='Sprachen &amp; Rückgabewerte'!$B$14,'Sprachen &amp; Rückgabewerte'!$C$14,""))))))</f>
        <v/>
      </c>
      <c r="AI14" s="635"/>
      <c r="AJ14" s="647"/>
      <c r="AK14" s="60"/>
      <c r="AL14" s="635" t="str">
        <f>IF(AL10='Sprachen &amp; Rückgabewerte'!$B$9,'Sprachen &amp; Rückgabewerte'!$C$9,IF(AL10='Sprachen &amp; Rückgabewerte'!$B$10,'Sprachen &amp; Rückgabewerte'!$C$10,IF(AL10='Sprachen &amp; Rückgabewerte'!$B$11,'Sprachen &amp; Rückgabewerte'!$C$11,IF(AL10='Sprachen &amp; Rückgabewerte'!$B$12,'Sprachen &amp; Rückgabewerte'!$C$12,IF(AL10='Sprachen &amp; Rückgabewerte'!$B$13,'Sprachen &amp; Rückgabewerte'!$C$13,IF(AL10='Sprachen &amp; Rückgabewerte'!$B$14,'Sprachen &amp; Rückgabewerte'!$C$14,""))))))</f>
        <v/>
      </c>
      <c r="AM14" s="635"/>
      <c r="AN14" s="647"/>
      <c r="AO14" s="60"/>
      <c r="AP14" s="635" t="str">
        <f>IF(AP10='Sprachen &amp; Rückgabewerte'!$B$9,'Sprachen &amp; Rückgabewerte'!$C$9,IF(AP10='Sprachen &amp; Rückgabewerte'!$B$10,'Sprachen &amp; Rückgabewerte'!$C$10,IF(AP10='Sprachen &amp; Rückgabewerte'!$B$11,'Sprachen &amp; Rückgabewerte'!$C$11,IF(AP10='Sprachen &amp; Rückgabewerte'!$B$12,'Sprachen &amp; Rückgabewerte'!$C$12,IF(AP10='Sprachen &amp; Rückgabewerte'!$B$13,'Sprachen &amp; Rückgabewerte'!$C$13,IF(AP10='Sprachen &amp; Rückgabewerte'!$B$14,'Sprachen &amp; Rückgabewerte'!$C$14,""))))))</f>
        <v/>
      </c>
      <c r="AQ14" s="635"/>
      <c r="AR14" s="647"/>
      <c r="AS14" s="149"/>
      <c r="AT14" s="114"/>
      <c r="AU14" s="114"/>
      <c r="AW14" s="243"/>
      <c r="AX14" s="155" t="str">
        <f>'Sprachen &amp; Rückgabewerte'!H131</f>
        <v>Bemerkungen:</v>
      </c>
      <c r="AY14" s="61"/>
      <c r="AZ14" s="61"/>
      <c r="BA14" s="61"/>
      <c r="BB14" s="245"/>
    </row>
    <row r="15" spans="1:64" ht="13.5" customHeight="1" x14ac:dyDescent="0.2">
      <c r="B15" s="60"/>
      <c r="C15" s="60"/>
      <c r="D15" s="61"/>
      <c r="E15" s="656"/>
      <c r="F15" s="635"/>
      <c r="G15" s="635"/>
      <c r="H15" s="647"/>
      <c r="I15" s="60"/>
      <c r="J15" s="635"/>
      <c r="K15" s="635"/>
      <c r="L15" s="647"/>
      <c r="M15" s="60"/>
      <c r="N15" s="635"/>
      <c r="O15" s="635"/>
      <c r="P15" s="647"/>
      <c r="Q15" s="60"/>
      <c r="R15" s="635"/>
      <c r="S15" s="635"/>
      <c r="T15" s="647"/>
      <c r="U15" s="60"/>
      <c r="V15" s="635"/>
      <c r="W15" s="635"/>
      <c r="X15" s="647"/>
      <c r="Y15" s="60"/>
      <c r="Z15" s="635"/>
      <c r="AA15" s="635"/>
      <c r="AB15" s="647"/>
      <c r="AC15" s="60"/>
      <c r="AD15" s="635"/>
      <c r="AE15" s="635"/>
      <c r="AF15" s="647"/>
      <c r="AG15" s="60"/>
      <c r="AH15" s="635"/>
      <c r="AI15" s="635"/>
      <c r="AJ15" s="647"/>
      <c r="AK15" s="60"/>
      <c r="AL15" s="635"/>
      <c r="AM15" s="635"/>
      <c r="AN15" s="647"/>
      <c r="AO15" s="60"/>
      <c r="AP15" s="635"/>
      <c r="AQ15" s="635"/>
      <c r="AR15" s="647"/>
      <c r="AS15" s="61"/>
      <c r="AT15" s="114"/>
      <c r="AU15" s="114"/>
      <c r="AW15" s="243"/>
      <c r="AX15" s="637" t="s">
        <v>520</v>
      </c>
      <c r="AY15" s="638"/>
      <c r="AZ15" s="638"/>
      <c r="BA15" s="639"/>
      <c r="BB15" s="245"/>
    </row>
    <row r="16" spans="1:64" ht="13.5" customHeight="1" x14ac:dyDescent="0.2">
      <c r="B16" s="60"/>
      <c r="C16" s="60"/>
      <c r="D16" s="61"/>
      <c r="E16" s="656"/>
      <c r="F16" s="634"/>
      <c r="G16" s="634"/>
      <c r="H16" s="647"/>
      <c r="I16" s="60"/>
      <c r="J16" s="634"/>
      <c r="K16" s="634"/>
      <c r="L16" s="647"/>
      <c r="M16" s="60"/>
      <c r="N16" s="634"/>
      <c r="O16" s="634"/>
      <c r="P16" s="647"/>
      <c r="Q16" s="60"/>
      <c r="R16" s="634"/>
      <c r="S16" s="634"/>
      <c r="T16" s="647"/>
      <c r="U16" s="60"/>
      <c r="V16" s="634"/>
      <c r="W16" s="634"/>
      <c r="X16" s="647"/>
      <c r="Y16" s="60"/>
      <c r="Z16" s="634"/>
      <c r="AA16" s="634"/>
      <c r="AB16" s="647"/>
      <c r="AC16" s="60"/>
      <c r="AD16" s="634"/>
      <c r="AE16" s="634"/>
      <c r="AF16" s="647"/>
      <c r="AG16" s="60"/>
      <c r="AH16" s="634"/>
      <c r="AI16" s="634"/>
      <c r="AJ16" s="647"/>
      <c r="AK16" s="60"/>
      <c r="AL16" s="634"/>
      <c r="AM16" s="634"/>
      <c r="AN16" s="647"/>
      <c r="AO16" s="60"/>
      <c r="AP16" s="634"/>
      <c r="AQ16" s="634"/>
      <c r="AR16" s="647"/>
      <c r="AS16" s="61"/>
      <c r="AT16" s="114"/>
      <c r="AU16" s="114"/>
      <c r="AW16" s="247"/>
      <c r="AX16" s="640"/>
      <c r="AY16" s="641"/>
      <c r="AZ16" s="641"/>
      <c r="BA16" s="642"/>
      <c r="BB16" s="245"/>
    </row>
    <row r="17" spans="1:57" ht="13.5" customHeight="1" x14ac:dyDescent="0.2">
      <c r="B17" s="60"/>
      <c r="C17" s="60"/>
      <c r="D17" s="61"/>
      <c r="E17" s="656"/>
      <c r="F17" s="634"/>
      <c r="G17" s="634"/>
      <c r="H17" s="647"/>
      <c r="I17" s="60"/>
      <c r="J17" s="634"/>
      <c r="K17" s="634"/>
      <c r="L17" s="647"/>
      <c r="M17" s="60"/>
      <c r="N17" s="634"/>
      <c r="O17" s="634"/>
      <c r="P17" s="647"/>
      <c r="Q17" s="60"/>
      <c r="R17" s="634"/>
      <c r="S17" s="634"/>
      <c r="T17" s="647"/>
      <c r="U17" s="60"/>
      <c r="V17" s="634"/>
      <c r="W17" s="634"/>
      <c r="X17" s="647"/>
      <c r="Y17" s="60"/>
      <c r="Z17" s="634"/>
      <c r="AA17" s="634"/>
      <c r="AB17" s="647"/>
      <c r="AC17" s="60"/>
      <c r="AD17" s="634"/>
      <c r="AE17" s="634"/>
      <c r="AF17" s="647"/>
      <c r="AG17" s="60"/>
      <c r="AH17" s="634"/>
      <c r="AI17" s="634"/>
      <c r="AJ17" s="647"/>
      <c r="AK17" s="60"/>
      <c r="AL17" s="634"/>
      <c r="AM17" s="634"/>
      <c r="AN17" s="647"/>
      <c r="AO17" s="60"/>
      <c r="AP17" s="634"/>
      <c r="AQ17" s="634"/>
      <c r="AR17" s="647"/>
      <c r="AS17" s="61"/>
      <c r="AT17" s="114"/>
      <c r="AU17" s="114"/>
      <c r="AW17" s="247"/>
      <c r="AX17" s="640"/>
      <c r="AY17" s="641"/>
      <c r="AZ17" s="641"/>
      <c r="BA17" s="642"/>
      <c r="BB17" s="245"/>
    </row>
    <row r="18" spans="1:57" ht="13.5" customHeight="1" x14ac:dyDescent="0.2">
      <c r="B18" s="60"/>
      <c r="C18" s="60"/>
      <c r="D18" s="61"/>
      <c r="E18" s="656"/>
      <c r="F18" s="96"/>
      <c r="G18" s="96"/>
      <c r="H18" s="647"/>
      <c r="I18" s="60"/>
      <c r="J18" s="96"/>
      <c r="K18" s="96"/>
      <c r="L18" s="647"/>
      <c r="M18" s="60"/>
      <c r="N18" s="96"/>
      <c r="O18" s="96"/>
      <c r="P18" s="647"/>
      <c r="Q18" s="60"/>
      <c r="R18" s="96"/>
      <c r="S18" s="96"/>
      <c r="T18" s="647"/>
      <c r="U18" s="60"/>
      <c r="V18" s="96"/>
      <c r="W18" s="96"/>
      <c r="X18" s="647"/>
      <c r="Y18" s="60"/>
      <c r="Z18" s="96"/>
      <c r="AA18" s="96"/>
      <c r="AB18" s="647"/>
      <c r="AC18" s="60"/>
      <c r="AD18" s="96"/>
      <c r="AE18" s="96"/>
      <c r="AF18" s="647"/>
      <c r="AG18" s="60"/>
      <c r="AH18" s="96"/>
      <c r="AI18" s="96"/>
      <c r="AJ18" s="647"/>
      <c r="AK18" s="60"/>
      <c r="AL18" s="96"/>
      <c r="AM18" s="96"/>
      <c r="AN18" s="647"/>
      <c r="AO18" s="60"/>
      <c r="AP18" s="96"/>
      <c r="AQ18" s="96"/>
      <c r="AR18" s="647"/>
      <c r="AS18" s="61"/>
      <c r="AT18" s="114"/>
      <c r="AU18" s="114"/>
      <c r="AW18" s="247"/>
      <c r="AX18" s="643"/>
      <c r="AY18" s="644"/>
      <c r="AZ18" s="644"/>
      <c r="BA18" s="645"/>
      <c r="BB18" s="245"/>
    </row>
    <row r="19" spans="1:57" ht="13.5" customHeight="1" x14ac:dyDescent="0.2">
      <c r="B19" s="60"/>
      <c r="C19" s="60"/>
      <c r="D19" s="61"/>
      <c r="E19" s="657"/>
      <c r="F19" s="84"/>
      <c r="G19" s="84"/>
      <c r="H19" s="648"/>
      <c r="I19" s="68"/>
      <c r="J19" s="84"/>
      <c r="K19" s="84"/>
      <c r="L19" s="648"/>
      <c r="M19" s="68"/>
      <c r="N19" s="84"/>
      <c r="O19" s="84"/>
      <c r="P19" s="648"/>
      <c r="Q19" s="68"/>
      <c r="R19" s="84"/>
      <c r="S19" s="84"/>
      <c r="T19" s="648"/>
      <c r="U19" s="68"/>
      <c r="V19" s="84"/>
      <c r="W19" s="84"/>
      <c r="X19" s="648"/>
      <c r="Y19" s="68"/>
      <c r="Z19" s="84"/>
      <c r="AA19" s="84"/>
      <c r="AB19" s="648"/>
      <c r="AC19" s="68"/>
      <c r="AD19" s="84"/>
      <c r="AE19" s="84"/>
      <c r="AF19" s="648"/>
      <c r="AG19" s="68"/>
      <c r="AH19" s="84"/>
      <c r="AI19" s="84"/>
      <c r="AJ19" s="648"/>
      <c r="AK19" s="68"/>
      <c r="AL19" s="84"/>
      <c r="AM19" s="84"/>
      <c r="AN19" s="648"/>
      <c r="AO19" s="68"/>
      <c r="AP19" s="84"/>
      <c r="AQ19" s="84"/>
      <c r="AR19" s="648"/>
      <c r="AS19" s="61"/>
      <c r="AT19" s="114"/>
      <c r="AU19" s="114"/>
      <c r="AW19" s="247"/>
      <c r="AX19" s="561" t="str">
        <f>IF('Sprachen &amp; Rückgabewerte'!U83=FALSE,'Sprachen &amp; Rückgabewerte'!H155,'Sprachen &amp; Rückgabewerte'!H156)</f>
        <v>Bestellformular unvollständig!</v>
      </c>
      <c r="AY19" s="561"/>
      <c r="AZ19" s="561"/>
      <c r="BA19" s="561"/>
      <c r="BB19" s="245"/>
    </row>
    <row r="20" spans="1:57" ht="13.5" customHeight="1" thickBot="1" x14ac:dyDescent="0.25">
      <c r="B20" s="60"/>
      <c r="C20" s="60"/>
      <c r="D20" s="61"/>
      <c r="E20" s="61"/>
      <c r="F20" s="91" t="str">
        <f>'Sprachen &amp; Rückgabewerte'!$H$124</f>
        <v>Ecke:</v>
      </c>
      <c r="G20" s="679"/>
      <c r="H20" s="679"/>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79"/>
      <c r="AP20" s="679"/>
      <c r="AQ20" s="61"/>
      <c r="AR20" s="62"/>
      <c r="AS20" s="61"/>
      <c r="AT20" s="114"/>
      <c r="AU20" s="114"/>
      <c r="AW20" s="248"/>
      <c r="AX20" s="562"/>
      <c r="AY20" s="562"/>
      <c r="AZ20" s="562"/>
      <c r="BA20" s="562"/>
      <c r="BB20" s="251"/>
    </row>
    <row r="21" spans="1:57" ht="13.5" customHeight="1" thickTop="1" thickBot="1" x14ac:dyDescent="0.25">
      <c r="B21" s="60"/>
      <c r="C21" s="60"/>
      <c r="D21" s="61"/>
      <c r="E21" s="64"/>
      <c r="F21" s="91" t="str">
        <f>IF(OR(G20='Sprachen &amp; Rückgabewerte'!$H$106,G20='Sprachen &amp; Rückgabewerte'!$H$107,K20='Sprachen &amp; Rückgabewerte'!$H$106,K20='Sprachen &amp; Rückgabewerte'!$H$107,O20='Sprachen &amp; Rückgabewerte'!$H$106,O20='Sprachen &amp; Rückgabewerte'!$H$107,S20='Sprachen &amp; Rückgabewerte'!$H$106,S20='Sprachen &amp; Rückgabewerte'!$H$107,W20='Sprachen &amp; Rückgabewerte'!$H$106,W20='Sprachen &amp; Rückgabewerte'!$H$107,AA20='Sprachen &amp; Rückgabewerte'!$H$106,AA20='Sprachen &amp; Rückgabewerte'!$H$107,AE20='Sprachen &amp; Rückgabewerte'!$H$106,AE20='Sprachen &amp; Rückgabewerte'!$H$107,AI20='Sprachen &amp; Rückgabewerte'!$H$106,AI20='Sprachen &amp; Rückgabewerte'!$H$107,AM20='Sprachen &amp; Rückgabewerte'!$H$106,AM20='Sprachen &amp; Rückgabewerte'!$H$107),'Sprachen &amp; Rückgabewerte'!$H$108,"")</f>
        <v/>
      </c>
      <c r="G21" s="65"/>
      <c r="H21" s="646"/>
      <c r="I21" s="646"/>
      <c r="J21" s="66"/>
      <c r="K21" s="66"/>
      <c r="L21" s="646"/>
      <c r="M21" s="646"/>
      <c r="N21" s="649"/>
      <c r="O21" s="649"/>
      <c r="P21" s="646"/>
      <c r="Q21" s="646"/>
      <c r="R21" s="678"/>
      <c r="S21" s="678"/>
      <c r="T21" s="646"/>
      <c r="U21" s="646"/>
      <c r="V21" s="649"/>
      <c r="W21" s="649"/>
      <c r="X21" s="646"/>
      <c r="Y21" s="646"/>
      <c r="Z21" s="649"/>
      <c r="AA21" s="649"/>
      <c r="AB21" s="646"/>
      <c r="AC21" s="646"/>
      <c r="AD21" s="649"/>
      <c r="AE21" s="649"/>
      <c r="AF21" s="646"/>
      <c r="AG21" s="646"/>
      <c r="AH21" s="649"/>
      <c r="AI21" s="649"/>
      <c r="AJ21" s="646"/>
      <c r="AK21" s="646"/>
      <c r="AL21" s="649"/>
      <c r="AM21" s="649"/>
      <c r="AN21" s="646"/>
      <c r="AO21" s="646"/>
      <c r="AP21" s="61"/>
      <c r="AQ21" s="61"/>
      <c r="AR21" s="62"/>
      <c r="AS21" s="61"/>
      <c r="AT21" s="114"/>
      <c r="AU21" s="114"/>
      <c r="AW21" s="151"/>
      <c r="AY21" s="190"/>
      <c r="AZ21" s="190"/>
      <c r="BA21" s="190"/>
    </row>
    <row r="22" spans="1:57" ht="9.75" customHeight="1" thickTop="1" x14ac:dyDescent="0.2">
      <c r="B22" s="60"/>
      <c r="C22" s="60"/>
      <c r="D22" s="61"/>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61"/>
      <c r="AT22" s="114"/>
      <c r="AU22" s="114"/>
      <c r="AW22" s="240"/>
      <c r="AX22" s="569" t="str">
        <f>'Sprachen &amp; Rückgabewerte'!H157</f>
        <v>B2B-Login Projektnr:</v>
      </c>
      <c r="AY22" s="569"/>
      <c r="AZ22" s="569"/>
      <c r="BA22" s="569"/>
      <c r="BB22" s="242"/>
    </row>
    <row r="23" spans="1:57" ht="9.9499999999999993" customHeight="1" x14ac:dyDescent="0.2">
      <c r="B23" s="60"/>
      <c r="C23" s="60"/>
      <c r="D23" s="61"/>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6"/>
      <c r="AD23" s="576"/>
      <c r="AE23" s="576"/>
      <c r="AF23" s="576"/>
      <c r="AG23" s="576"/>
      <c r="AH23" s="576"/>
      <c r="AI23" s="576"/>
      <c r="AJ23" s="576"/>
      <c r="AK23" s="576"/>
      <c r="AL23" s="576"/>
      <c r="AM23" s="576"/>
      <c r="AN23" s="576"/>
      <c r="AO23" s="576"/>
      <c r="AP23" s="576"/>
      <c r="AQ23" s="576"/>
      <c r="AR23" s="576"/>
      <c r="AS23" s="67"/>
      <c r="AT23" s="114"/>
      <c r="AU23" s="114"/>
      <c r="AW23" s="243"/>
      <c r="AX23" s="570"/>
      <c r="AY23" s="570"/>
      <c r="AZ23" s="570"/>
      <c r="BA23" s="570"/>
      <c r="BB23" s="245"/>
    </row>
    <row r="24" spans="1:57" ht="9.9499999999999993" customHeight="1" x14ac:dyDescent="0.2">
      <c r="B24" s="60"/>
      <c r="C24" s="60"/>
      <c r="D24" s="61"/>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6"/>
      <c r="AD24" s="576"/>
      <c r="AE24" s="576"/>
      <c r="AF24" s="576"/>
      <c r="AG24" s="576"/>
      <c r="AH24" s="576"/>
      <c r="AI24" s="576"/>
      <c r="AJ24" s="576"/>
      <c r="AK24" s="576"/>
      <c r="AL24" s="576"/>
      <c r="AM24" s="576"/>
      <c r="AN24" s="576"/>
      <c r="AO24" s="576"/>
      <c r="AP24" s="576"/>
      <c r="AQ24" s="576"/>
      <c r="AR24" s="576"/>
      <c r="AS24" s="67"/>
      <c r="AT24" s="114"/>
      <c r="AU24" s="114"/>
      <c r="AW24" s="243"/>
      <c r="AX24" s="570"/>
      <c r="AY24" s="570"/>
      <c r="AZ24" s="570"/>
      <c r="BA24" s="570"/>
      <c r="BB24" s="245"/>
    </row>
    <row r="25" spans="1:57" ht="9.9499999999999993" customHeight="1" x14ac:dyDescent="0.2">
      <c r="B25" s="60"/>
      <c r="C25" s="60"/>
      <c r="D25" s="61"/>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67"/>
      <c r="AT25" s="114"/>
      <c r="AU25" s="114"/>
      <c r="AW25" s="243"/>
      <c r="AX25" s="563"/>
      <c r="AY25" s="564"/>
      <c r="AZ25" s="565"/>
      <c r="BA25" s="190"/>
      <c r="BB25" s="245"/>
    </row>
    <row r="26" spans="1:57" ht="9.9499999999999993" customHeight="1" x14ac:dyDescent="0.2">
      <c r="B26" s="60"/>
      <c r="C26" s="60"/>
      <c r="D26" s="61"/>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6"/>
      <c r="AD26" s="576"/>
      <c r="AE26" s="576"/>
      <c r="AF26" s="576"/>
      <c r="AG26" s="576"/>
      <c r="AH26" s="576"/>
      <c r="AI26" s="576"/>
      <c r="AJ26" s="576"/>
      <c r="AK26" s="576"/>
      <c r="AL26" s="576"/>
      <c r="AM26" s="576"/>
      <c r="AN26" s="576"/>
      <c r="AO26" s="576"/>
      <c r="AP26" s="576"/>
      <c r="AQ26" s="576"/>
      <c r="AR26" s="576"/>
      <c r="AS26" s="67"/>
      <c r="AT26" s="114"/>
      <c r="AU26" s="114"/>
      <c r="AW26" s="243"/>
      <c r="AX26" s="566"/>
      <c r="AY26" s="567"/>
      <c r="AZ26" s="568"/>
      <c r="BA26" s="190"/>
      <c r="BB26" s="245"/>
    </row>
    <row r="27" spans="1:57" ht="15.75" customHeight="1" thickBot="1" x14ac:dyDescent="0.25">
      <c r="B27" s="60"/>
      <c r="C27" s="60"/>
      <c r="D27" s="61"/>
      <c r="E27" s="92"/>
      <c r="F27" s="93"/>
      <c r="G27" s="93"/>
      <c r="H27" s="94"/>
      <c r="I27" s="92"/>
      <c r="J27" s="93"/>
      <c r="K27" s="93"/>
      <c r="L27" s="94"/>
      <c r="M27" s="92"/>
      <c r="N27" s="93"/>
      <c r="O27" s="93"/>
      <c r="P27" s="94"/>
      <c r="Q27" s="92"/>
      <c r="R27" s="93"/>
      <c r="S27" s="93"/>
      <c r="T27" s="94"/>
      <c r="U27" s="92"/>
      <c r="V27" s="93"/>
      <c r="W27" s="93"/>
      <c r="X27" s="94"/>
      <c r="Y27" s="92"/>
      <c r="Z27" s="93"/>
      <c r="AA27" s="93"/>
      <c r="AB27" s="94"/>
      <c r="AC27" s="92"/>
      <c r="AD27" s="93"/>
      <c r="AE27" s="93"/>
      <c r="AF27" s="94"/>
      <c r="AG27" s="92"/>
      <c r="AH27" s="93"/>
      <c r="AI27" s="93"/>
      <c r="AJ27" s="94"/>
      <c r="AK27" s="92"/>
      <c r="AL27" s="93"/>
      <c r="AM27" s="93"/>
      <c r="AN27" s="94"/>
      <c r="AO27" s="92"/>
      <c r="AP27" s="93"/>
      <c r="AQ27" s="93"/>
      <c r="AR27" s="94"/>
      <c r="AS27" s="67"/>
      <c r="AT27" s="114"/>
      <c r="AU27" s="114"/>
      <c r="AW27" s="243"/>
      <c r="AX27" s="318"/>
      <c r="AY27" s="190"/>
      <c r="AZ27" s="190"/>
      <c r="BA27" s="190"/>
      <c r="BB27" s="245"/>
    </row>
    <row r="28" spans="1:57" ht="18" customHeight="1" thickBot="1" x14ac:dyDescent="0.25">
      <c r="A28" s="157" t="str">
        <f>IF('Sprachen &amp; Rückgabewerte'!$I$13=TRUE,'Sprachen &amp; Rückgabewerte'!$H$58,"")</f>
        <v/>
      </c>
      <c r="B28" s="228"/>
      <c r="C28" s="60"/>
      <c r="D28" s="84"/>
      <c r="E28" s="573"/>
      <c r="F28" s="574"/>
      <c r="G28" s="574"/>
      <c r="H28" s="575"/>
      <c r="I28" s="573"/>
      <c r="J28" s="574"/>
      <c r="K28" s="574"/>
      <c r="L28" s="575"/>
      <c r="M28" s="573"/>
      <c r="N28" s="574"/>
      <c r="O28" s="574"/>
      <c r="P28" s="575"/>
      <c r="Q28" s="573"/>
      <c r="R28" s="574"/>
      <c r="S28" s="574"/>
      <c r="T28" s="575"/>
      <c r="U28" s="573"/>
      <c r="V28" s="574"/>
      <c r="W28" s="574"/>
      <c r="X28" s="575"/>
      <c r="Y28" s="573"/>
      <c r="Z28" s="574"/>
      <c r="AA28" s="574"/>
      <c r="AB28" s="575"/>
      <c r="AC28" s="573"/>
      <c r="AD28" s="574"/>
      <c r="AE28" s="574"/>
      <c r="AF28" s="575"/>
      <c r="AG28" s="573"/>
      <c r="AH28" s="574"/>
      <c r="AI28" s="574"/>
      <c r="AJ28" s="575"/>
      <c r="AK28" s="573"/>
      <c r="AL28" s="574"/>
      <c r="AM28" s="574"/>
      <c r="AN28" s="575"/>
      <c r="AO28" s="573"/>
      <c r="AP28" s="574"/>
      <c r="AQ28" s="574"/>
      <c r="AR28" s="575"/>
      <c r="AS28" s="68"/>
      <c r="AT28" s="114"/>
      <c r="AU28" s="114"/>
      <c r="AW28" s="259"/>
      <c r="AX28" s="249"/>
      <c r="AY28" s="250"/>
      <c r="AZ28" s="250"/>
      <c r="BA28" s="250"/>
      <c r="BB28" s="251"/>
    </row>
    <row r="29" spans="1:57"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4"/>
      <c r="AU29" s="114"/>
      <c r="AY29" s="190"/>
      <c r="AZ29" s="190"/>
      <c r="BA29" s="190"/>
      <c r="BE29" s="141" t="s">
        <v>945</v>
      </c>
    </row>
    <row r="30" spans="1:57" ht="10.5" customHeight="1" x14ac:dyDescent="0.2">
      <c r="B30" s="60"/>
      <c r="C30" s="68"/>
      <c r="D30" s="84"/>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84"/>
      <c r="AT30" s="115"/>
      <c r="AU30" s="114"/>
      <c r="AW30" s="628" t="str">
        <f>IF('Sprachen &amp; Rückgabewerte'!$I$19=TRUE,'Sprachen &amp; Rückgabewerte'!$H$137,"")</f>
        <v/>
      </c>
      <c r="AX30" s="629"/>
      <c r="AY30" s="629"/>
      <c r="AZ30" s="629"/>
      <c r="BA30" s="630"/>
    </row>
    <row r="31" spans="1:57"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4"/>
      <c r="AW31" s="631"/>
      <c r="AX31" s="632"/>
      <c r="AY31" s="632"/>
      <c r="AZ31" s="632"/>
      <c r="BA31" s="633"/>
    </row>
    <row r="32" spans="1:57" ht="12.75" customHeight="1" x14ac:dyDescent="0.2">
      <c r="B32" s="60"/>
      <c r="C32" s="111"/>
      <c r="D32" s="82"/>
      <c r="E32" s="82"/>
      <c r="F32" s="82"/>
      <c r="G32" s="82"/>
      <c r="H32" s="82"/>
      <c r="I32" s="82"/>
      <c r="J32" s="82"/>
      <c r="K32" s="82"/>
      <c r="L32" s="82"/>
      <c r="M32" s="82"/>
      <c r="N32" s="82"/>
      <c r="O32" s="82"/>
      <c r="P32" s="82"/>
      <c r="Q32" s="82"/>
      <c r="R32" s="82"/>
      <c r="S32" s="82"/>
      <c r="T32" s="82"/>
      <c r="U32" s="82"/>
      <c r="V32" s="82"/>
      <c r="W32" s="82"/>
      <c r="X32" s="82"/>
      <c r="Y32" s="82"/>
      <c r="Z32" s="82"/>
      <c r="AA32" s="82"/>
      <c r="AB32" s="113"/>
      <c r="AC32" s="61"/>
      <c r="AD32" s="111"/>
      <c r="AE32" s="120" t="str">
        <f>'Sprachen &amp; Rückgabewerte'!$H$134</f>
        <v>Features</v>
      </c>
      <c r="AF32" s="120"/>
      <c r="AG32" s="82"/>
      <c r="AH32" s="82"/>
      <c r="AI32" s="82"/>
      <c r="AJ32" s="82"/>
      <c r="AK32" s="82"/>
      <c r="AL32" s="82"/>
      <c r="AM32" s="138"/>
      <c r="AN32" s="82"/>
      <c r="AO32" s="82"/>
      <c r="AP32" s="82"/>
      <c r="AQ32" s="82"/>
      <c r="AR32" s="82"/>
      <c r="AS32" s="82"/>
      <c r="AT32" s="113"/>
      <c r="AU32" s="205"/>
      <c r="AV32" s="113"/>
      <c r="AW32" s="631"/>
      <c r="AX32" s="632"/>
      <c r="AY32" s="632"/>
      <c r="AZ32" s="632"/>
      <c r="BA32" s="633"/>
    </row>
    <row r="33" spans="2:53" ht="12.75" customHeight="1" x14ac:dyDescent="0.2">
      <c r="B33" s="60"/>
      <c r="C33" s="60"/>
      <c r="D33" s="72"/>
      <c r="E33" s="98"/>
      <c r="F33" s="97" t="str">
        <f>'Sprachen &amp; Rückgabewerte'!$H$13</f>
        <v>Teilung Achsmasse</v>
      </c>
      <c r="G33" s="72"/>
      <c r="H33" s="72"/>
      <c r="I33" s="72"/>
      <c r="J33" s="72"/>
      <c r="K33" s="72"/>
      <c r="L33" s="72"/>
      <c r="M33" s="72"/>
      <c r="N33" s="72"/>
      <c r="O33" s="72"/>
      <c r="P33" s="72"/>
      <c r="Q33" s="72"/>
      <c r="R33" s="72"/>
      <c r="S33" s="72"/>
      <c r="T33" s="72"/>
      <c r="U33" s="72"/>
      <c r="V33" s="72"/>
      <c r="W33" s="72"/>
      <c r="X33" s="72"/>
      <c r="Y33" s="72"/>
      <c r="Z33" s="72"/>
      <c r="AA33" s="72"/>
      <c r="AB33" s="122"/>
      <c r="AC33" s="72"/>
      <c r="AD33" s="121"/>
      <c r="AE33" s="72"/>
      <c r="AF33" s="72" t="str">
        <f>'Sprachen &amp; Rückgabewerte'!$H$15</f>
        <v>Standard</v>
      </c>
      <c r="AH33" s="72"/>
      <c r="AI33" s="72"/>
      <c r="AJ33" s="72"/>
      <c r="AK33" s="72"/>
      <c r="AL33" s="72"/>
      <c r="AM33" s="72"/>
      <c r="AN33" s="98"/>
      <c r="AO33" s="61"/>
      <c r="AP33" s="72" t="str">
        <f>'Sprachen &amp; Rückgabewerte'!$H$25</f>
        <v>Pool</v>
      </c>
      <c r="AQ33" s="72"/>
      <c r="AR33" s="72"/>
      <c r="AS33" s="97"/>
      <c r="AT33" s="114"/>
      <c r="AU33" s="114"/>
      <c r="AW33" s="191" t="str">
        <f>IF(AND(F$10&gt;0,'Sprachen &amp; Rückgabewerte'!$I$19=TRUE),CONCATENATE("Pos. ",'Pos. 1'!$B$2,".1"),"")</f>
        <v/>
      </c>
      <c r="AX33" s="571" t="s">
        <v>600</v>
      </c>
      <c r="AY33" s="572"/>
      <c r="AZ33" s="190"/>
      <c r="BA33" s="192"/>
    </row>
    <row r="34" spans="2:53" ht="12.75" customHeight="1" x14ac:dyDescent="0.2">
      <c r="B34" s="60"/>
      <c r="C34" s="60"/>
      <c r="D34" s="72"/>
      <c r="E34" s="98"/>
      <c r="F34" s="73" t="str">
        <f>'Sprachen &amp; Rückgabewerte'!$H$14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22"/>
      <c r="AC34" s="72"/>
      <c r="AD34" s="121"/>
      <c r="AE34" s="72"/>
      <c r="AF34" s="72" t="str">
        <f>'Sprachen &amp; Rückgabewerte'!$H$16</f>
        <v>Einbruchschutz RC2</v>
      </c>
      <c r="AH34" s="72"/>
      <c r="AI34" s="72"/>
      <c r="AJ34" s="72"/>
      <c r="AK34" s="72"/>
      <c r="AL34" s="72"/>
      <c r="AM34" s="72"/>
      <c r="AN34" s="98"/>
      <c r="AO34" s="72"/>
      <c r="AP34" s="72" t="str">
        <f>'Sprachen &amp; Rückgabewerte'!H125</f>
        <v>NFRC (USA)</v>
      </c>
      <c r="AQ34" s="72"/>
      <c r="AR34" s="72"/>
      <c r="AS34" s="97"/>
      <c r="AT34" s="114"/>
      <c r="AU34" s="114"/>
      <c r="AW34" s="191" t="str">
        <f>IF(AND(J10&gt;0,'Sprachen &amp; Rückgabewerte'!$I$19=TRUE),CONCATENATE("Pos. ",'Pos. 1'!$B$2,".2"),"")</f>
        <v/>
      </c>
      <c r="AX34" s="571"/>
      <c r="AY34" s="572"/>
      <c r="AZ34" s="190"/>
      <c r="BA34" s="192"/>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22"/>
      <c r="AC35" s="72"/>
      <c r="AD35" s="121"/>
      <c r="AE35" s="72"/>
      <c r="AF35" s="72" t="str">
        <f>'Sprachen &amp; Rückgabewerte'!$H$17</f>
        <v>Positionsüberwachung (P)</v>
      </c>
      <c r="AH35" s="72"/>
      <c r="AI35" s="72"/>
      <c r="AJ35" s="72"/>
      <c r="AK35" s="72"/>
      <c r="AL35" s="72"/>
      <c r="AM35" s="72"/>
      <c r="AN35" s="98"/>
      <c r="AO35" s="72"/>
      <c r="AP35" s="72"/>
      <c r="AQ35" s="72"/>
      <c r="AR35" s="72"/>
      <c r="AS35" s="74"/>
      <c r="AT35" s="114"/>
      <c r="AU35" s="114"/>
      <c r="AW35" s="191" t="str">
        <f>IF(AND(N10&gt;0,'Sprachen &amp; Rückgabewerte'!$I$19=TRUE),CONCATENATE("Pos. ",'Pos. 1'!$B$2,".3"),"")</f>
        <v/>
      </c>
      <c r="AX35" s="571"/>
      <c r="AY35" s="572"/>
      <c r="AZ35" s="190"/>
      <c r="BA35" s="192"/>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22"/>
      <c r="AC36" s="72"/>
      <c r="AD36" s="121"/>
      <c r="AE36" s="72"/>
      <c r="AF36" s="72" t="str">
        <f>'Sprachen &amp; Rückgabewerte'!$H$18</f>
        <v xml:space="preserve">Riegelüberwachung (R) </v>
      </c>
      <c r="AH36" s="72"/>
      <c r="AI36" s="72"/>
      <c r="AJ36" s="72"/>
      <c r="AK36" s="72"/>
      <c r="AL36" s="72"/>
      <c r="AM36" s="72"/>
      <c r="AN36" s="98"/>
      <c r="AO36" s="72"/>
      <c r="AP36" s="72"/>
      <c r="AQ36" s="72"/>
      <c r="AR36" s="72"/>
      <c r="AS36" s="74"/>
      <c r="AT36" s="114"/>
      <c r="AU36" s="114"/>
      <c r="AW36" s="191" t="str">
        <f>IF(AND(R10&gt;0,'Sprachen &amp; Rückgabewerte'!$I$19=TRUE),CONCATENATE("Pos. ",'Pos. 1'!$B$2,".4"),"")</f>
        <v/>
      </c>
      <c r="AX36" s="571"/>
      <c r="AY36" s="572"/>
      <c r="AZ36" s="190"/>
      <c r="BA36" s="192"/>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22"/>
      <c r="AC37" s="72"/>
      <c r="AD37" s="121"/>
      <c r="AE37" s="72"/>
      <c r="AF37" s="72" t="str">
        <f>'Sprachen &amp; Rückgabewerte'!$H$19</f>
        <v>Glasbruchüberwachung (G)</v>
      </c>
      <c r="AH37" s="72"/>
      <c r="AI37" s="72"/>
      <c r="AJ37" s="72"/>
      <c r="AK37" s="72"/>
      <c r="AL37" s="72"/>
      <c r="AM37" s="72"/>
      <c r="AN37" s="98"/>
      <c r="AO37" s="72"/>
      <c r="AP37" s="72"/>
      <c r="AQ37" s="72"/>
      <c r="AR37" s="72"/>
      <c r="AS37" s="74"/>
      <c r="AT37" s="114"/>
      <c r="AU37" s="114"/>
      <c r="AW37" s="191" t="str">
        <f>IF(AND(V10&gt;0,'Sprachen &amp; Rückgabewerte'!$I$19=TRUE),CONCATENATE("Pos. ",'Pos. 1'!$B$2,".5"),"")</f>
        <v/>
      </c>
      <c r="AX37" s="571"/>
      <c r="AY37" s="572"/>
      <c r="AZ37" s="190"/>
      <c r="BA37" s="192"/>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22"/>
      <c r="AC38" s="72"/>
      <c r="AD38" s="121"/>
      <c r="AE38" s="72"/>
      <c r="AF38" s="607" t="str">
        <f>'Sprachen &amp; Rückgabewerte'!$H$20</f>
        <v>Elektrischer Antrieb, Anzahl</v>
      </c>
      <c r="AG38" s="607"/>
      <c r="AH38" s="607"/>
      <c r="AI38" s="607"/>
      <c r="AJ38" s="607"/>
      <c r="AK38" s="607"/>
      <c r="AL38" s="607"/>
      <c r="AM38" s="636">
        <f>IF('Sprachen &amp; Rückgabewerte'!I20=FALSE,0,COUNTIF(F13:AQ19,"E"))</f>
        <v>0</v>
      </c>
      <c r="AN38" s="636"/>
      <c r="AO38" s="72" t="str">
        <f>'Sprachen &amp; Rückgabewerte'!$H$21</f>
        <v>Stk.</v>
      </c>
      <c r="AQ38" s="72"/>
      <c r="AR38" s="72"/>
      <c r="AS38" s="97"/>
      <c r="AT38" s="114"/>
      <c r="AU38" s="114"/>
      <c r="AW38" s="191" t="str">
        <f>IF(AND(Z10&gt;0,'Sprachen &amp; Rückgabewerte'!$I$19=TRUE),CONCATENATE("Pos. ",'Pos. 1'!$B$2,".6"),"")</f>
        <v/>
      </c>
      <c r="AX38" s="571"/>
      <c r="AY38" s="572"/>
      <c r="AZ38" s="61"/>
      <c r="BA38" s="114"/>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22"/>
      <c r="AC39" s="72"/>
      <c r="AD39" s="121"/>
      <c r="AE39" s="72"/>
      <c r="AF39" s="72" t="str">
        <f>'Sprachen &amp; Rückgabewerte'!$H$22</f>
        <v>geforderte Klassen:</v>
      </c>
      <c r="AH39" s="72"/>
      <c r="AI39" s="72"/>
      <c r="AJ39" s="72"/>
      <c r="AK39" s="72"/>
      <c r="AL39" s="667"/>
      <c r="AM39" s="668"/>
      <c r="AN39" s="668"/>
      <c r="AO39" s="668"/>
      <c r="AP39" s="668"/>
      <c r="AQ39" s="668"/>
      <c r="AR39" s="668"/>
      <c r="AS39" s="669"/>
      <c r="AT39" s="114"/>
      <c r="AU39" s="114"/>
      <c r="AW39" s="191" t="str">
        <f>IF(AND(AD10&gt;0,'Sprachen &amp; Rückgabewerte'!$I$19=TRUE),CONCATENATE("Pos. ",'Pos. 1'!$B$2,".7"),"")</f>
        <v/>
      </c>
      <c r="AX39" s="571"/>
      <c r="AY39" s="572"/>
      <c r="AZ39" s="61"/>
      <c r="BA39" s="114"/>
    </row>
    <row r="40" spans="2:53" ht="12.75" customHeight="1" x14ac:dyDescent="0.2">
      <c r="B40" s="60"/>
      <c r="C40" s="60"/>
      <c r="D40" s="72"/>
      <c r="E40" s="96"/>
      <c r="F40" s="73" t="str">
        <f>'Sprachen &amp; Rückgabewerte'!H30</f>
        <v>nach rechts</v>
      </c>
      <c r="G40" s="72"/>
      <c r="H40" s="72"/>
      <c r="I40" s="72"/>
      <c r="J40" s="72"/>
      <c r="K40" s="72"/>
      <c r="L40" s="72"/>
      <c r="M40" s="72"/>
      <c r="N40" s="75" t="str">
        <f>'Sprachen &amp; Rückgabewerte'!H31</f>
        <v>nach links</v>
      </c>
      <c r="O40" s="96"/>
      <c r="P40" s="75"/>
      <c r="Q40" s="98"/>
      <c r="R40" s="72"/>
      <c r="S40" s="72"/>
      <c r="T40" s="72"/>
      <c r="U40" s="72"/>
      <c r="V40" s="72"/>
      <c r="W40" s="72"/>
      <c r="X40" s="72"/>
      <c r="Y40" s="72"/>
      <c r="Z40" s="578" t="s">
        <v>179</v>
      </c>
      <c r="AA40" s="72"/>
      <c r="AB40" s="122"/>
      <c r="AC40" s="72"/>
      <c r="AD40" s="123"/>
      <c r="AE40" s="124"/>
      <c r="AF40" s="124"/>
      <c r="AG40" s="666"/>
      <c r="AH40" s="666"/>
      <c r="AI40" s="666"/>
      <c r="AJ40" s="666"/>
      <c r="AK40" s="666"/>
      <c r="AL40" s="666"/>
      <c r="AM40" s="666"/>
      <c r="AN40" s="666"/>
      <c r="AO40" s="666"/>
      <c r="AP40" s="666"/>
      <c r="AQ40" s="666"/>
      <c r="AR40" s="666"/>
      <c r="AS40" s="124"/>
      <c r="AT40" s="115"/>
      <c r="AU40" s="114"/>
      <c r="AW40" s="191" t="str">
        <f>IF(AND(AH10&gt;0,'Sprachen &amp; Rückgabewerte'!$I$19=TRUE),CONCATENATE("Pos. ",'Pos. 1'!$B$2,".8"),"")</f>
        <v/>
      </c>
      <c r="AX40" s="571"/>
      <c r="AY40" s="572"/>
      <c r="AZ40" s="61"/>
      <c r="BA40" s="114"/>
    </row>
    <row r="41" spans="2:53" ht="12.75" customHeight="1" x14ac:dyDescent="0.2">
      <c r="B41" s="60"/>
      <c r="C41" s="60"/>
      <c r="D41" s="72"/>
      <c r="E41" s="96"/>
      <c r="F41" s="73"/>
      <c r="G41" s="72"/>
      <c r="H41" s="72"/>
      <c r="I41" s="72"/>
      <c r="J41" s="72"/>
      <c r="K41" s="72"/>
      <c r="L41" s="72"/>
      <c r="M41" s="72"/>
      <c r="N41" s="75"/>
      <c r="O41" s="96"/>
      <c r="P41" s="75"/>
      <c r="Q41" s="98"/>
      <c r="R41" s="72"/>
      <c r="S41" s="72"/>
      <c r="T41" s="72"/>
      <c r="U41" s="72"/>
      <c r="V41" s="72"/>
      <c r="W41" s="72"/>
      <c r="X41" s="72"/>
      <c r="Y41" s="72"/>
      <c r="Z41" s="579"/>
      <c r="AA41" s="72"/>
      <c r="AB41" s="122"/>
      <c r="AC41" s="72"/>
      <c r="AD41" s="72"/>
      <c r="AE41" s="72"/>
      <c r="AF41" s="72"/>
      <c r="AG41" s="76"/>
      <c r="AH41" s="76"/>
      <c r="AI41" s="76"/>
      <c r="AJ41" s="76"/>
      <c r="AK41" s="76"/>
      <c r="AL41" s="76"/>
      <c r="AM41" s="76"/>
      <c r="AN41" s="76"/>
      <c r="AO41" s="76"/>
      <c r="AP41" s="76"/>
      <c r="AQ41" s="76"/>
      <c r="AR41" s="76"/>
      <c r="AS41" s="72"/>
      <c r="AT41" s="61"/>
      <c r="AU41" s="114"/>
      <c r="AW41" s="191" t="str">
        <f>IF(AND(AL10&gt;0,'Sprachen &amp; Rückgabewerte'!$I$19=TRUE),CONCATENATE("Pos. ",'Pos. 1'!$B$2,".9"),"")</f>
        <v/>
      </c>
      <c r="AX41" s="571"/>
      <c r="AY41" s="572"/>
      <c r="AZ41" s="61"/>
      <c r="BA41" s="114"/>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63"/>
      <c r="AA42" s="72"/>
      <c r="AB42" s="122"/>
      <c r="AC42" s="77"/>
      <c r="AD42" s="118"/>
      <c r="AE42" s="120" t="str">
        <f>'Sprachen &amp; Rückgabewerte'!$H$35</f>
        <v>Oberfläche:</v>
      </c>
      <c r="AF42" s="120"/>
      <c r="AG42" s="119"/>
      <c r="AH42" s="119"/>
      <c r="AI42" s="119"/>
      <c r="AJ42" s="119"/>
      <c r="AK42" s="119"/>
      <c r="AL42" s="119"/>
      <c r="AM42" s="139"/>
      <c r="AN42" s="119"/>
      <c r="AO42" s="119"/>
      <c r="AP42" s="119"/>
      <c r="AQ42" s="119"/>
      <c r="AR42" s="119"/>
      <c r="AS42" s="119"/>
      <c r="AT42" s="113"/>
      <c r="AU42" s="114"/>
      <c r="AW42" s="191" t="str">
        <f>IF(AND(AP10&gt;0,'Sprachen &amp; Rückgabewerte'!$I$19=TRUE),CONCATENATE("Pos. ",'Pos. 1'!$B$2,".10"),"")</f>
        <v/>
      </c>
      <c r="AX42" s="571"/>
      <c r="AY42" s="572"/>
      <c r="AZ42" s="61"/>
      <c r="BA42" s="114"/>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64"/>
      <c r="AA43" s="72"/>
      <c r="AB43" s="122"/>
      <c r="AC43" s="77"/>
      <c r="AD43" s="121"/>
      <c r="AE43" s="72"/>
      <c r="AF43" s="180" t="str">
        <f>'Sprachen &amp; Rückgabewerte'!H36</f>
        <v>eloxiert (Qualanod):</v>
      </c>
      <c r="AG43" s="72"/>
      <c r="AH43" s="72"/>
      <c r="AI43" s="72"/>
      <c r="AJ43" s="72"/>
      <c r="AK43" s="72"/>
      <c r="AL43" s="72"/>
      <c r="AM43" s="627"/>
      <c r="AN43" s="627"/>
      <c r="AO43" s="627"/>
      <c r="AP43" s="627"/>
      <c r="AQ43" s="627"/>
      <c r="AR43" s="627"/>
      <c r="AS43" s="627"/>
      <c r="AT43" s="114"/>
      <c r="AU43" s="114"/>
      <c r="AW43" s="206">
        <f>COUNTBLANK(AW33:AW42)</f>
        <v>10</v>
      </c>
      <c r="AX43" s="207">
        <f>COUNTBLANK(AX33:AX42)</f>
        <v>9</v>
      </c>
      <c r="AY43" s="207">
        <f>AW43-AX43</f>
        <v>1</v>
      </c>
      <c r="AZ43" s="84"/>
      <c r="BA43" s="115"/>
    </row>
    <row r="44" spans="2:53" ht="12.75" customHeight="1" x14ac:dyDescent="0.2">
      <c r="B44" s="60"/>
      <c r="C44" s="60"/>
      <c r="D44" s="72"/>
      <c r="E44" s="72"/>
      <c r="F44" s="72"/>
      <c r="G44" s="72"/>
      <c r="H44" s="72"/>
      <c r="I44" s="72"/>
      <c r="J44" s="72"/>
      <c r="K44" s="72"/>
      <c r="L44" s="72"/>
      <c r="M44" s="72"/>
      <c r="N44" s="72"/>
      <c r="O44" s="72"/>
      <c r="P44" s="670" t="str">
        <f>'Sprachen &amp; Rückgabewerte'!$H$33</f>
        <v>Griffhöhe:</v>
      </c>
      <c r="Q44" s="670"/>
      <c r="R44" s="670"/>
      <c r="S44" s="670"/>
      <c r="T44" s="72"/>
      <c r="U44" s="72"/>
      <c r="V44" s="72"/>
      <c r="W44" s="72"/>
      <c r="X44" s="72"/>
      <c r="Y44" s="72"/>
      <c r="Z44" s="664"/>
      <c r="AA44" s="72"/>
      <c r="AB44" s="122"/>
      <c r="AC44" s="77"/>
      <c r="AD44" s="121"/>
      <c r="AE44" s="72"/>
      <c r="AF44" s="98"/>
      <c r="AG44" s="73"/>
      <c r="AH44" s="72"/>
      <c r="AI44" s="72"/>
      <c r="AJ44" s="72"/>
      <c r="AK44" s="72"/>
      <c r="AL44" s="72"/>
      <c r="AM44" s="97"/>
      <c r="AN44" s="98"/>
      <c r="AO44" s="616"/>
      <c r="AP44" s="616"/>
      <c r="AQ44" s="616"/>
      <c r="AR44" s="616"/>
      <c r="AS44" s="616"/>
      <c r="AT44" s="114"/>
      <c r="AU44" s="114"/>
    </row>
    <row r="45" spans="2:53" ht="12.75" customHeight="1" x14ac:dyDescent="0.2">
      <c r="B45" s="60"/>
      <c r="C45" s="60"/>
      <c r="D45" s="72"/>
      <c r="E45" s="72"/>
      <c r="F45" s="72"/>
      <c r="G45" s="72"/>
      <c r="H45" s="72"/>
      <c r="I45" s="72"/>
      <c r="J45" s="72"/>
      <c r="K45" s="72"/>
      <c r="L45" s="72"/>
      <c r="M45" s="72"/>
      <c r="N45" s="72"/>
      <c r="O45" s="72"/>
      <c r="P45" s="670"/>
      <c r="Q45" s="670"/>
      <c r="R45" s="670"/>
      <c r="S45" s="670"/>
      <c r="T45" s="671"/>
      <c r="U45" s="672"/>
      <c r="V45" s="73" t="s">
        <v>179</v>
      </c>
      <c r="W45" s="72"/>
      <c r="X45" s="72"/>
      <c r="Y45" s="72"/>
      <c r="Z45" s="665"/>
      <c r="AA45" s="72"/>
      <c r="AB45" s="122"/>
      <c r="AC45" s="77"/>
      <c r="AD45" s="121"/>
      <c r="AE45" s="72"/>
      <c r="AF45" s="97" t="str">
        <f>'Sprachen &amp; Rückgabewerte'!$H$39</f>
        <v>pulverbeschichtet:</v>
      </c>
      <c r="AG45" s="152"/>
      <c r="AH45" s="152"/>
      <c r="AI45" s="152"/>
      <c r="AJ45" s="152"/>
      <c r="AK45" s="152"/>
      <c r="AL45" s="152"/>
      <c r="AM45" s="601"/>
      <c r="AN45" s="602"/>
      <c r="AO45" s="602"/>
      <c r="AP45" s="602"/>
      <c r="AQ45" s="602"/>
      <c r="AR45" s="602"/>
      <c r="AS45" s="603"/>
      <c r="AT45" s="114"/>
      <c r="AU45" s="205"/>
      <c r="AV45" s="113"/>
      <c r="AW45" s="111"/>
      <c r="AX45" s="113"/>
    </row>
    <row r="46" spans="2:53" ht="12.75" customHeight="1" x14ac:dyDescent="0.2">
      <c r="B46" s="60"/>
      <c r="C46" s="60"/>
      <c r="D46" s="72"/>
      <c r="E46" s="72"/>
      <c r="F46" s="72"/>
      <c r="G46" s="72"/>
      <c r="H46" s="72"/>
      <c r="I46" s="609"/>
      <c r="J46" s="609"/>
      <c r="K46" s="609"/>
      <c r="L46" s="163" t="s">
        <v>193</v>
      </c>
      <c r="M46" s="72"/>
      <c r="N46" s="72"/>
      <c r="O46" s="72"/>
      <c r="P46" s="72"/>
      <c r="Q46" s="72"/>
      <c r="R46" s="72"/>
      <c r="S46" s="72"/>
      <c r="T46" s="72"/>
      <c r="U46" s="72"/>
      <c r="V46" s="72"/>
      <c r="W46" s="72"/>
      <c r="X46" s="72"/>
      <c r="Y46" s="72"/>
      <c r="Z46" s="592" t="str">
        <f>'Sprachen &amp; Rückgabewerte'!$H$34</f>
        <v xml:space="preserve">Höhe = </v>
      </c>
      <c r="AA46" s="72"/>
      <c r="AB46" s="122"/>
      <c r="AC46" s="77"/>
      <c r="AD46" s="121"/>
      <c r="AE46" s="72"/>
      <c r="AF46" s="360" t="str">
        <f>'Sprachen &amp; Rückgabewerte'!$H$40</f>
        <v>Vorbehandlung:</v>
      </c>
      <c r="AG46" s="72"/>
      <c r="AH46" s="72"/>
      <c r="AI46" s="72"/>
      <c r="AJ46" s="72"/>
      <c r="AK46" s="72"/>
      <c r="AL46" s="72"/>
      <c r="AM46" s="658"/>
      <c r="AN46" s="659"/>
      <c r="AO46" s="659"/>
      <c r="AP46" s="659"/>
      <c r="AQ46" s="659"/>
      <c r="AR46" s="659"/>
      <c r="AS46" s="660"/>
      <c r="AT46" s="114"/>
      <c r="AU46" s="114"/>
      <c r="AW46" s="237" t="str">
        <f>'Sprachen &amp; Rückgabewerte'!$H$150</f>
        <v>Farbe Panele:</v>
      </c>
      <c r="AX46" s="114"/>
    </row>
    <row r="47" spans="2:53" ht="12.75" customHeight="1" x14ac:dyDescent="0.2">
      <c r="B47" s="60"/>
      <c r="C47" s="60"/>
      <c r="D47" s="72"/>
      <c r="E47" s="72"/>
      <c r="F47" s="72"/>
      <c r="G47" s="72"/>
      <c r="H47" s="72"/>
      <c r="I47" s="609"/>
      <c r="J47" s="609"/>
      <c r="K47" s="609"/>
      <c r="L47" s="163" t="s">
        <v>193</v>
      </c>
      <c r="M47" s="72"/>
      <c r="N47" s="72"/>
      <c r="O47" s="96"/>
      <c r="P47" s="72"/>
      <c r="Q47" s="72"/>
      <c r="R47" s="72"/>
      <c r="S47" s="72"/>
      <c r="T47" s="72"/>
      <c r="U47" s="72"/>
      <c r="V47" s="72"/>
      <c r="W47" s="72"/>
      <c r="X47" s="72"/>
      <c r="Y47" s="72"/>
      <c r="Z47" s="593"/>
      <c r="AA47" s="96"/>
      <c r="AB47" s="122"/>
      <c r="AC47" s="78"/>
      <c r="AD47" s="121"/>
      <c r="AE47" s="72"/>
      <c r="AF47" s="361" t="str">
        <f>'Sprachen &amp; Rückgabewerte'!H176</f>
        <v>Pulverlack Klasse:</v>
      </c>
      <c r="AG47" s="72"/>
      <c r="AH47" s="72"/>
      <c r="AI47" s="72"/>
      <c r="AJ47" s="72"/>
      <c r="AK47" s="72"/>
      <c r="AL47" s="72"/>
      <c r="AM47" s="624"/>
      <c r="AN47" s="625"/>
      <c r="AO47" s="625"/>
      <c r="AP47" s="625"/>
      <c r="AQ47" s="625"/>
      <c r="AR47" s="625"/>
      <c r="AS47" s="626"/>
      <c r="AT47" s="114"/>
      <c r="AU47" s="114"/>
      <c r="AW47" s="60"/>
      <c r="AX47" s="114"/>
    </row>
    <row r="48" spans="2:53" ht="12.75" customHeight="1" x14ac:dyDescent="0.2">
      <c r="B48" s="60"/>
      <c r="C48" s="60"/>
      <c r="D48" s="72"/>
      <c r="E48" s="72"/>
      <c r="F48" s="72"/>
      <c r="G48" s="72"/>
      <c r="H48" s="72"/>
      <c r="I48" s="597"/>
      <c r="J48" s="597"/>
      <c r="K48" s="597"/>
      <c r="L48" s="163" t="s">
        <v>193</v>
      </c>
      <c r="M48" s="72"/>
      <c r="N48" s="72"/>
      <c r="O48" s="96"/>
      <c r="P48" s="72"/>
      <c r="Q48" s="72"/>
      <c r="R48" s="72"/>
      <c r="S48" s="72"/>
      <c r="T48" s="72"/>
      <c r="U48" s="72"/>
      <c r="V48" s="72"/>
      <c r="W48" s="72"/>
      <c r="X48" s="72"/>
      <c r="Y48" s="72"/>
      <c r="Z48" s="593"/>
      <c r="AA48" s="96"/>
      <c r="AB48" s="122"/>
      <c r="AC48" s="78"/>
      <c r="AD48" s="121"/>
      <c r="AE48" s="72"/>
      <c r="AF48" s="661" t="str">
        <f>'Sprachen &amp; Rückgabewerte'!$H$91</f>
        <v>Farbe Laufschiene + Schraubenarretierungen:</v>
      </c>
      <c r="AG48" s="661"/>
      <c r="AH48" s="661"/>
      <c r="AI48" s="661"/>
      <c r="AJ48" s="661"/>
      <c r="AK48" s="661"/>
      <c r="AL48" s="661"/>
      <c r="AM48" s="61"/>
      <c r="AN48" s="61"/>
      <c r="AO48" s="97"/>
      <c r="AP48" s="72"/>
      <c r="AQ48" s="72"/>
      <c r="AR48" s="72"/>
      <c r="AS48" s="72"/>
      <c r="AT48" s="114"/>
      <c r="AU48" s="114"/>
      <c r="AW48" s="650"/>
      <c r="AX48" s="651"/>
    </row>
    <row r="49" spans="2:50" ht="12.75" customHeight="1" x14ac:dyDescent="0.2">
      <c r="B49" s="60"/>
      <c r="C49" s="60"/>
      <c r="D49" s="72"/>
      <c r="E49" s="72"/>
      <c r="F49" s="72"/>
      <c r="G49" s="72"/>
      <c r="H49" s="75" t="str">
        <f>'Sprachen &amp; Rückgabewerte'!$H$32</f>
        <v>Breite =</v>
      </c>
      <c r="I49" s="594"/>
      <c r="J49" s="595"/>
      <c r="K49" s="596"/>
      <c r="L49" s="73" t="s">
        <v>179</v>
      </c>
      <c r="M49" s="72"/>
      <c r="N49" s="72"/>
      <c r="O49" s="96"/>
      <c r="P49" s="72"/>
      <c r="Q49" s="72"/>
      <c r="R49" s="72"/>
      <c r="S49" s="72"/>
      <c r="T49" s="72"/>
      <c r="U49" s="72"/>
      <c r="V49" s="72"/>
      <c r="W49" s="72"/>
      <c r="X49" s="72"/>
      <c r="Y49" s="72"/>
      <c r="Z49" s="593"/>
      <c r="AA49" s="96"/>
      <c r="AB49" s="122"/>
      <c r="AC49" s="78"/>
      <c r="AD49" s="121"/>
      <c r="AE49" s="72"/>
      <c r="AF49" s="661"/>
      <c r="AG49" s="661"/>
      <c r="AH49" s="661"/>
      <c r="AI49" s="661"/>
      <c r="AJ49" s="661"/>
      <c r="AK49" s="661"/>
      <c r="AL49" s="661"/>
      <c r="AM49" s="604"/>
      <c r="AN49" s="605"/>
      <c r="AO49" s="605"/>
      <c r="AP49" s="606"/>
      <c r="AQ49" s="72"/>
      <c r="AR49" s="72"/>
      <c r="AS49" s="72"/>
      <c r="AT49" s="114"/>
      <c r="AU49" s="114"/>
      <c r="AW49" s="68"/>
      <c r="AX49" s="115"/>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593"/>
      <c r="AA50" s="72"/>
      <c r="AB50" s="122"/>
      <c r="AC50" s="78"/>
      <c r="AD50" s="123"/>
      <c r="AE50" s="124"/>
      <c r="AF50" s="662"/>
      <c r="AG50" s="662"/>
      <c r="AH50" s="662"/>
      <c r="AI50" s="662"/>
      <c r="AJ50" s="662"/>
      <c r="AK50" s="662"/>
      <c r="AL50" s="662"/>
      <c r="AM50" s="140"/>
      <c r="AN50" s="124"/>
      <c r="AO50" s="124"/>
      <c r="AP50" s="124"/>
      <c r="AQ50" s="124"/>
      <c r="AR50" s="124"/>
      <c r="AS50" s="124"/>
      <c r="AT50" s="115"/>
      <c r="AU50" s="114"/>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593"/>
      <c r="AA51" s="72"/>
      <c r="AB51" s="122"/>
      <c r="AC51" s="78"/>
      <c r="AD51" s="72"/>
      <c r="AE51" s="72"/>
      <c r="AF51" s="72"/>
      <c r="AG51" s="72"/>
      <c r="AH51" s="72"/>
      <c r="AI51" s="72"/>
      <c r="AJ51" s="72"/>
      <c r="AK51" s="72"/>
      <c r="AL51" s="72"/>
      <c r="AM51" s="97"/>
      <c r="AN51" s="72"/>
      <c r="AO51" s="72"/>
      <c r="AP51" s="72"/>
      <c r="AQ51" s="72"/>
      <c r="AR51" s="72"/>
      <c r="AS51" s="72"/>
      <c r="AT51" s="61"/>
      <c r="AU51" s="114"/>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593"/>
      <c r="AA52" s="72"/>
      <c r="AB52" s="122"/>
      <c r="AC52" s="78"/>
      <c r="AD52" s="118"/>
      <c r="AE52" s="120" t="str">
        <f>'Sprachen &amp; Rückgabewerte'!$H$42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593"/>
      <c r="AA53" s="72"/>
      <c r="AB53" s="122"/>
      <c r="AC53" s="78"/>
      <c r="AD53" s="121"/>
      <c r="AE53" s="613"/>
      <c r="AF53" s="614"/>
      <c r="AG53" s="615"/>
      <c r="AH53" s="72" t="str">
        <f>'Sprachen &amp; Rückgabewerte'!$W$1</f>
        <v>Ug=</v>
      </c>
      <c r="AI53" s="611">
        <f>LOOKUP($AE$53,'Sprachen &amp; Rückgabewerte'!$V$3:$V$35,'Sprachen &amp; Rückgabewerte'!W3:W35)</f>
        <v>0</v>
      </c>
      <c r="AJ53" s="611"/>
      <c r="AK53" s="612" t="str">
        <f>'Sprachen &amp; Rückgabewerte'!$X$1</f>
        <v>Lt=</v>
      </c>
      <c r="AL53" s="612"/>
      <c r="AM53" s="610">
        <f>LOOKUP(AE53,'Sprachen &amp; Rückgabewerte'!V3:V35,'Sprachen &amp; Rückgabewerte'!X3:X35)</f>
        <v>0</v>
      </c>
      <c r="AN53" s="610"/>
      <c r="AO53" s="211" t="str">
        <f>'Sprachen &amp; Rückgabewerte'!$Y$1</f>
        <v>g=</v>
      </c>
      <c r="AP53" s="610">
        <f>LOOKUP(AE53,'Sprachen &amp; Rückgabewerte'!V3:V35,'Sprachen &amp; Rückgabewerte'!Y3:Y35)</f>
        <v>0</v>
      </c>
      <c r="AQ53" s="610"/>
      <c r="AR53" s="72"/>
      <c r="AS53" s="72"/>
      <c r="AT53" s="114"/>
      <c r="AU53" s="114"/>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593"/>
      <c r="AA54" s="72"/>
      <c r="AB54" s="122"/>
      <c r="AC54" s="72"/>
      <c r="AD54" s="121"/>
      <c r="AE54" s="72"/>
      <c r="AF54" s="72"/>
      <c r="AG54" s="72"/>
      <c r="AH54" s="73" t="str">
        <f>IF(AT52=1,'Sprachen &amp; Rückgabewerte'!H158,LOOKUP(AE53,'Sprachen &amp; Rückgabewerte'!V3:V35,'Sprachen &amp; Rückgabewerte'!Z3:Z35))</f>
        <v>Glastyp wählen</v>
      </c>
      <c r="AI54" s="72"/>
      <c r="AJ54" s="72"/>
      <c r="AK54" s="72"/>
      <c r="AL54" s="72"/>
      <c r="AM54" s="97"/>
      <c r="AN54" s="79"/>
      <c r="AO54" s="79"/>
      <c r="AP54" s="72"/>
      <c r="AQ54" s="72"/>
      <c r="AR54" s="72"/>
      <c r="AS54" s="72"/>
      <c r="AT54" s="114"/>
      <c r="AU54" s="114"/>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22"/>
      <c r="AC55" s="72"/>
      <c r="AD55" s="121"/>
      <c r="AE55" s="607" t="str">
        <f>'Sprachen &amp; Rückgabewerte'!$H$94</f>
        <v>Druckausgleichsventile :</v>
      </c>
      <c r="AF55" s="607"/>
      <c r="AG55" s="607"/>
      <c r="AH55" s="607"/>
      <c r="AI55" s="607"/>
      <c r="AJ55" s="607"/>
      <c r="AK55" s="607"/>
      <c r="AL55" s="607"/>
      <c r="AM55" s="607"/>
      <c r="AN55" s="608"/>
      <c r="AO55" s="549"/>
      <c r="AP55" s="550"/>
      <c r="AQ55" s="72"/>
      <c r="AR55" s="80" t="s">
        <v>379</v>
      </c>
      <c r="AS55" s="72"/>
      <c r="AT55" s="114"/>
      <c r="AU55" s="114"/>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22"/>
      <c r="AC56" s="72"/>
      <c r="AD56" s="121"/>
      <c r="AE56" s="72"/>
      <c r="AF56" s="132" t="str">
        <f>'Sprachen &amp; Rückgabewerte'!$H$43</f>
        <v>Swisspacer-U schwarz</v>
      </c>
      <c r="AG56" s="72"/>
      <c r="AH56" s="72"/>
      <c r="AI56" s="72"/>
      <c r="AJ56" s="72"/>
      <c r="AK56" s="72"/>
      <c r="AL56" s="72"/>
      <c r="AM56" s="72"/>
      <c r="AN56" s="132" t="str">
        <f>'Sprachen &amp; Rückgabewerte'!$H$44</f>
        <v>Swisspacer-U grau</v>
      </c>
      <c r="AQ56" s="72"/>
      <c r="AS56" s="80"/>
      <c r="AT56" s="114"/>
      <c r="AU56" s="114"/>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22"/>
      <c r="AC57" s="72"/>
      <c r="AD57" s="121"/>
      <c r="AE57" s="72"/>
      <c r="AF57" s="132" t="str">
        <f>'Sprachen &amp; Rückgabewerte'!$H$45</f>
        <v>Speziell:</v>
      </c>
      <c r="AG57" s="72"/>
      <c r="AH57" s="72"/>
      <c r="AI57" s="621"/>
      <c r="AJ57" s="622"/>
      <c r="AK57" s="622"/>
      <c r="AL57" s="622"/>
      <c r="AM57" s="622"/>
      <c r="AN57" s="622"/>
      <c r="AO57" s="622"/>
      <c r="AP57" s="622"/>
      <c r="AQ57" s="622"/>
      <c r="AR57" s="622"/>
      <c r="AS57" s="623"/>
      <c r="AT57" s="114"/>
      <c r="AU57" s="114"/>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22"/>
      <c r="AC58" s="72"/>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60"/>
      <c r="C59" s="60"/>
      <c r="D59" s="72"/>
      <c r="E59" s="72"/>
      <c r="F59" s="72"/>
      <c r="G59" s="72"/>
      <c r="H59" s="72"/>
      <c r="I59" s="75"/>
      <c r="J59" s="73"/>
      <c r="K59" s="73"/>
      <c r="L59" s="73"/>
      <c r="M59" s="73"/>
      <c r="N59" s="73"/>
      <c r="O59" s="72"/>
      <c r="P59" s="72"/>
      <c r="Q59" s="72"/>
      <c r="R59" s="72"/>
      <c r="S59" s="72"/>
      <c r="T59" s="72"/>
      <c r="U59" s="72"/>
      <c r="V59" s="72"/>
      <c r="W59" s="72"/>
      <c r="X59" s="72"/>
      <c r="Y59" s="72"/>
      <c r="Z59" s="72"/>
      <c r="AA59" s="72"/>
      <c r="AB59" s="122"/>
      <c r="AC59" s="72"/>
      <c r="AD59" s="72"/>
      <c r="AE59" s="72"/>
      <c r="AF59" s="72"/>
      <c r="AG59" s="72"/>
      <c r="AH59" s="72"/>
      <c r="AI59" s="79"/>
      <c r="AJ59" s="79"/>
      <c r="AK59" s="79"/>
      <c r="AL59" s="79"/>
      <c r="AM59" s="79"/>
      <c r="AN59" s="79"/>
      <c r="AO59" s="79"/>
      <c r="AP59" s="79"/>
      <c r="AQ59" s="79"/>
      <c r="AR59" s="79"/>
      <c r="AS59" s="79"/>
      <c r="AT59" s="61"/>
      <c r="AU59" s="114"/>
    </row>
    <row r="60" spans="2:50" ht="12.75" customHeight="1" x14ac:dyDescent="0.2">
      <c r="B60" s="60"/>
      <c r="C60" s="68"/>
      <c r="D60" s="124"/>
      <c r="E60" s="124"/>
      <c r="F60" s="183" t="str">
        <f>'Sprachen &amp; Rückgabewerte'!$H$110</f>
        <v>KABA (22)</v>
      </c>
      <c r="G60" s="124"/>
      <c r="H60" s="124"/>
      <c r="I60" s="124"/>
      <c r="J60" s="124"/>
      <c r="K60" s="124"/>
      <c r="L60" s="183" t="str">
        <f>'Sprachen &amp; Rückgabewerte'!$H$111</f>
        <v>PZ / Euro (17)</v>
      </c>
      <c r="M60" s="124"/>
      <c r="N60" s="124"/>
      <c r="O60" s="124"/>
      <c r="P60" s="124"/>
      <c r="Q60" s="124"/>
      <c r="R60" s="124"/>
      <c r="S60" s="124"/>
      <c r="T60" s="124"/>
      <c r="U60" s="124"/>
      <c r="V60" s="124"/>
      <c r="W60" s="124"/>
      <c r="X60" s="124"/>
      <c r="Y60" s="124"/>
      <c r="Z60" s="124"/>
      <c r="AA60" s="154"/>
      <c r="AB60" s="125"/>
      <c r="AC60" s="72"/>
      <c r="AD60" s="118"/>
      <c r="AE60" s="120" t="str">
        <f>'Sprachen &amp; Rückgabewerte'!$H$64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21"/>
      <c r="AE61" s="72"/>
      <c r="AF61" s="81"/>
      <c r="AG61" s="72"/>
      <c r="AH61" s="72"/>
      <c r="AI61" s="72"/>
      <c r="AJ61" s="72"/>
      <c r="AK61" s="72"/>
      <c r="AL61" s="72"/>
      <c r="AM61" s="97"/>
      <c r="AN61" s="72"/>
      <c r="AO61" s="72"/>
      <c r="AP61" s="72"/>
      <c r="AQ61" s="72"/>
      <c r="AR61" s="72"/>
      <c r="AS61" s="72"/>
      <c r="AT61" s="114"/>
      <c r="AU61" s="114"/>
    </row>
    <row r="62" spans="2:50" ht="12.75" customHeight="1" x14ac:dyDescent="0.2">
      <c r="B62" s="60"/>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28"/>
      <c r="AC62" s="72"/>
      <c r="AD62" s="121"/>
      <c r="AE62" s="72"/>
      <c r="AF62" s="81"/>
      <c r="AG62" s="72"/>
      <c r="AH62" s="72"/>
      <c r="AI62" s="72"/>
      <c r="AJ62" s="72"/>
      <c r="AK62" s="72"/>
      <c r="AL62" s="72"/>
      <c r="AM62" s="97"/>
      <c r="AN62" s="72"/>
      <c r="AO62" s="72"/>
      <c r="AP62" s="72"/>
      <c r="AQ62" s="72"/>
      <c r="AR62" s="72"/>
      <c r="AS62" s="72"/>
      <c r="AT62" s="114"/>
      <c r="AU62" s="114"/>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22"/>
      <c r="AC63" s="72"/>
      <c r="AD63" s="121"/>
      <c r="AE63" s="72"/>
      <c r="AF63" s="72"/>
      <c r="AG63" s="72"/>
      <c r="AH63" s="72"/>
      <c r="AI63" s="72"/>
      <c r="AJ63" s="72"/>
      <c r="AK63" s="72"/>
      <c r="AL63" s="72"/>
      <c r="AM63" s="97"/>
      <c r="AN63" s="72"/>
      <c r="AO63" s="72"/>
      <c r="AP63" s="72"/>
      <c r="AQ63" s="72"/>
      <c r="AR63" s="72"/>
      <c r="AS63" s="72"/>
      <c r="AT63" s="114"/>
      <c r="AU63" s="114"/>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22"/>
      <c r="AC64" s="72"/>
      <c r="AD64" s="121"/>
      <c r="AE64" s="72"/>
      <c r="AF64" s="72"/>
      <c r="AG64" s="72"/>
      <c r="AH64" s="72"/>
      <c r="AI64" s="72"/>
      <c r="AJ64" s="72"/>
      <c r="AK64" s="72"/>
      <c r="AL64" s="72"/>
      <c r="AM64" s="97"/>
      <c r="AN64" s="72"/>
      <c r="AO64" s="72"/>
      <c r="AP64" s="72"/>
      <c r="AQ64" s="72"/>
      <c r="AR64" s="72"/>
      <c r="AS64" s="72"/>
      <c r="AT64" s="114"/>
      <c r="AU64" s="114"/>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22"/>
      <c r="AC65" s="72"/>
      <c r="AD65" s="121"/>
      <c r="AE65" s="72"/>
      <c r="AF65" s="72"/>
      <c r="AG65" s="72"/>
      <c r="AH65" s="72"/>
      <c r="AI65" s="72"/>
      <c r="AJ65" s="72"/>
      <c r="AK65" s="72"/>
      <c r="AL65" s="72"/>
      <c r="AM65" s="72"/>
      <c r="AN65" s="72"/>
      <c r="AO65" s="72"/>
      <c r="AP65" s="72"/>
      <c r="AQ65" s="72"/>
      <c r="AR65" s="72"/>
      <c r="AS65" s="72"/>
      <c r="AT65" s="114"/>
      <c r="AU65" s="114"/>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22"/>
      <c r="AC66" s="72"/>
      <c r="AD66" s="121"/>
      <c r="AE66" s="72"/>
      <c r="AF66" s="72"/>
      <c r="AG66" s="72"/>
      <c r="AH66" s="72"/>
      <c r="AI66" s="72"/>
      <c r="AJ66" s="72"/>
      <c r="AK66" s="72"/>
      <c r="AL66" s="72"/>
      <c r="AM66" s="72"/>
      <c r="AN66" s="72"/>
      <c r="AO66" s="72"/>
      <c r="AP66" s="72"/>
      <c r="AQ66" s="72"/>
      <c r="AR66" s="72"/>
      <c r="AS66" s="72"/>
      <c r="AT66" s="114"/>
      <c r="AU66" s="114"/>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22"/>
      <c r="AC67" s="72"/>
      <c r="AD67" s="121"/>
      <c r="AE67" s="72"/>
      <c r="AF67" s="72"/>
      <c r="AG67" s="72"/>
      <c r="AH67" s="72"/>
      <c r="AI67" s="72"/>
      <c r="AJ67" s="72"/>
      <c r="AK67" s="72"/>
      <c r="AL67" s="72"/>
      <c r="AM67" s="72"/>
      <c r="AN67" s="72"/>
      <c r="AO67" s="72"/>
      <c r="AP67" s="72"/>
      <c r="AQ67" s="72"/>
      <c r="AR67" s="72"/>
      <c r="AS67" s="72"/>
      <c r="AT67" s="114"/>
      <c r="AU67" s="114"/>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22"/>
      <c r="AC68" s="72"/>
      <c r="AD68" s="121"/>
      <c r="AE68" s="72"/>
      <c r="AF68" s="72"/>
      <c r="AG68" s="72"/>
      <c r="AH68" s="72"/>
      <c r="AI68" s="72"/>
      <c r="AJ68" s="72"/>
      <c r="AK68" s="72"/>
      <c r="AL68" s="72"/>
      <c r="AM68" s="72"/>
      <c r="AN68" s="72"/>
      <c r="AO68" s="72"/>
      <c r="AP68" s="72"/>
      <c r="AQ68" s="72"/>
      <c r="AR68" s="72"/>
      <c r="AS68" s="72"/>
      <c r="AT68" s="114"/>
      <c r="AU68" s="114"/>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22"/>
      <c r="AC69" s="72"/>
      <c r="AD69" s="121"/>
      <c r="AE69" s="72"/>
      <c r="AF69" s="72"/>
      <c r="AG69" s="72"/>
      <c r="AH69" s="72"/>
      <c r="AI69" s="72"/>
      <c r="AJ69" s="72"/>
      <c r="AK69" s="72"/>
      <c r="AL69" s="72"/>
      <c r="AM69" s="72"/>
      <c r="AN69" s="72"/>
      <c r="AO69" s="72"/>
      <c r="AP69" s="72"/>
      <c r="AQ69" s="72"/>
      <c r="AR69" s="72"/>
      <c r="AS69" s="72"/>
      <c r="AT69" s="114"/>
      <c r="AU69" s="114"/>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22"/>
      <c r="AC70" s="72"/>
      <c r="AD70" s="121"/>
      <c r="AE70" s="598"/>
      <c r="AF70" s="599"/>
      <c r="AG70" s="599"/>
      <c r="AH70" s="599"/>
      <c r="AI70" s="599"/>
      <c r="AJ70" s="599"/>
      <c r="AK70" s="599"/>
      <c r="AL70" s="600"/>
      <c r="AM70" s="72"/>
      <c r="AN70" s="551"/>
      <c r="AO70" s="552"/>
      <c r="AP70" s="552"/>
      <c r="AQ70" s="552"/>
      <c r="AR70" s="552"/>
      <c r="AS70" s="553"/>
      <c r="AT70" s="114"/>
      <c r="AU70" s="114"/>
    </row>
    <row r="71" spans="2:50" ht="12.75" customHeight="1" x14ac:dyDescent="0.2">
      <c r="B71" s="60"/>
      <c r="C71" s="60"/>
      <c r="D71" s="72"/>
      <c r="E71" s="72"/>
      <c r="F71" s="73" t="str">
        <f>'Sprachen &amp; Rückgabewerte'!$B$41</f>
        <v>120101/120101</v>
      </c>
      <c r="G71" s="72"/>
      <c r="H71" s="72"/>
      <c r="I71" s="72"/>
      <c r="J71" s="72"/>
      <c r="K71" s="72"/>
      <c r="L71" s="73" t="str">
        <f>'Sprachen &amp; Rückgabewerte'!$B$42</f>
        <v>120101/120401</v>
      </c>
      <c r="M71" s="61"/>
      <c r="N71" s="72"/>
      <c r="O71" s="72"/>
      <c r="P71" s="72"/>
      <c r="Q71" s="72"/>
      <c r="R71" s="73" t="str">
        <f>'Sprachen &amp; Rückgabewerte'!$B$43</f>
        <v>120401/120401</v>
      </c>
      <c r="S71" s="72"/>
      <c r="T71" s="72"/>
      <c r="U71" s="72"/>
      <c r="V71" s="72"/>
      <c r="W71" s="72"/>
      <c r="X71" s="73" t="str">
        <f>'Sprachen &amp; Rückgabewerte'!$B$44</f>
        <v>121101/121101</v>
      </c>
      <c r="Y71" s="61"/>
      <c r="Z71" s="72"/>
      <c r="AA71" s="72"/>
      <c r="AB71" s="122"/>
      <c r="AC71" s="72"/>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60"/>
      <c r="C72" s="60"/>
      <c r="D72" s="72"/>
      <c r="E72" s="72"/>
      <c r="F72" s="695"/>
      <c r="G72" s="696"/>
      <c r="H72" s="696"/>
      <c r="I72" s="697"/>
      <c r="J72" s="72"/>
      <c r="K72" s="72"/>
      <c r="L72" s="695"/>
      <c r="M72" s="696"/>
      <c r="N72" s="696"/>
      <c r="O72" s="697"/>
      <c r="P72" s="72"/>
      <c r="Q72" s="72"/>
      <c r="R72" s="695"/>
      <c r="S72" s="696"/>
      <c r="T72" s="696"/>
      <c r="U72" s="697"/>
      <c r="V72" s="72"/>
      <c r="W72" s="72"/>
      <c r="X72" s="695"/>
      <c r="Y72" s="696"/>
      <c r="Z72" s="696"/>
      <c r="AA72" s="697"/>
      <c r="AB72" s="122"/>
      <c r="AC72" s="72"/>
      <c r="AD72" s="72"/>
      <c r="AE72" s="72"/>
      <c r="AF72" s="72"/>
      <c r="AG72" s="72"/>
      <c r="AH72" s="72"/>
      <c r="AI72" s="72"/>
      <c r="AJ72" s="72"/>
      <c r="AK72" s="72"/>
      <c r="AL72" s="72"/>
      <c r="AM72" s="72"/>
      <c r="AN72" s="72"/>
      <c r="AO72" s="72"/>
      <c r="AP72" s="72"/>
      <c r="AQ72" s="72"/>
      <c r="AR72" s="72"/>
      <c r="AS72" s="72"/>
      <c r="AT72" s="61"/>
      <c r="AU72" s="114"/>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329"/>
      <c r="AC73" s="72"/>
      <c r="AD73" s="118"/>
      <c r="AE73" s="120" t="str">
        <f>'Sprachen &amp; Rückgabewerte'!$H$70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22"/>
      <c r="AC74" s="72"/>
      <c r="AD74" s="121"/>
      <c r="AE74" s="72"/>
      <c r="AF74" s="72" t="str">
        <f>'Sprachen &amp; Rückgabewerte'!$H$71</f>
        <v>Universalschrauben (A2):</v>
      </c>
      <c r="AG74" s="72"/>
      <c r="AH74" s="72"/>
      <c r="AI74" s="72"/>
      <c r="AJ74" s="72"/>
      <c r="AK74" s="72"/>
      <c r="AL74" s="72"/>
      <c r="AM74" s="72" t="str">
        <f>'Sprachen &amp; Rückgabewerte'!H72</f>
        <v>L=52mm</v>
      </c>
      <c r="AN74" s="379"/>
      <c r="AO74" s="381"/>
      <c r="AP74" s="382"/>
      <c r="AQ74" s="72" t="str">
        <f>'Sprachen &amp; Rückgabewerte'!$H$180</f>
        <v>VE</v>
      </c>
      <c r="AR74" s="72"/>
      <c r="AS74" s="72"/>
      <c r="AT74" s="114"/>
      <c r="AU74" s="114"/>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22"/>
      <c r="AC75" s="72"/>
      <c r="AD75" s="121"/>
      <c r="AE75" s="72"/>
      <c r="AF75" s="72"/>
      <c r="AG75" s="79" t="str">
        <f>'Sprachen &amp; Rückgabewerte'!H75</f>
        <v>(VE à 100 Stk.)</v>
      </c>
      <c r="AH75" s="72"/>
      <c r="AI75" s="72"/>
      <c r="AJ75" s="72"/>
      <c r="AK75" s="72"/>
      <c r="AL75" s="72"/>
      <c r="AM75" s="72" t="str">
        <f>'Sprachen &amp; Rückgabewerte'!H73</f>
        <v>L=82mm</v>
      </c>
      <c r="AN75" s="380"/>
      <c r="AO75" s="381"/>
      <c r="AP75" s="382"/>
      <c r="AQ75" s="72" t="str">
        <f>'Sprachen &amp; Rückgabewerte'!$H$180</f>
        <v>VE</v>
      </c>
      <c r="AR75" s="72"/>
      <c r="AS75" s="72"/>
      <c r="AT75" s="114"/>
      <c r="AU75" s="114"/>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22"/>
      <c r="AC76" s="72"/>
      <c r="AD76" s="121"/>
      <c r="AE76" s="72"/>
      <c r="AF76" s="72"/>
      <c r="AG76" s="72"/>
      <c r="AH76" s="72"/>
      <c r="AI76" s="72"/>
      <c r="AJ76" s="72"/>
      <c r="AK76" s="72"/>
      <c r="AL76" s="72"/>
      <c r="AM76" s="72" t="str">
        <f>'Sprachen &amp; Rückgabewerte'!H74</f>
        <v>L=112mm</v>
      </c>
      <c r="AN76" s="97"/>
      <c r="AO76" s="72"/>
      <c r="AP76" s="382"/>
      <c r="AQ76" s="72" t="str">
        <f>'Sprachen &amp; Rückgabewerte'!$H$180</f>
        <v>VE</v>
      </c>
      <c r="AR76" s="72"/>
      <c r="AS76" s="72"/>
      <c r="AT76" s="114"/>
      <c r="AU76" s="114"/>
      <c r="AW76" s="558"/>
      <c r="AX76" s="558"/>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22"/>
      <c r="AC77" s="72"/>
      <c r="AD77" s="121"/>
      <c r="AE77" s="81" t="str">
        <f>'Sprachen &amp; Rückgabewerte'!$H$76</f>
        <v>Sockelbefestigung:</v>
      </c>
      <c r="AF77" s="81"/>
      <c r="AG77" s="72"/>
      <c r="AH77" s="72"/>
      <c r="AI77" s="72"/>
      <c r="AJ77" s="72"/>
      <c r="AK77" s="72"/>
      <c r="AL77" s="72"/>
      <c r="AM77" s="72"/>
      <c r="AN77" s="72"/>
      <c r="AO77" s="72"/>
      <c r="AP77" s="72"/>
      <c r="AQ77" s="72"/>
      <c r="AR77" s="72"/>
      <c r="AS77" s="72"/>
      <c r="AT77" s="114"/>
      <c r="AU77" s="114"/>
      <c r="AW77" s="559"/>
      <c r="AX77" s="559"/>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22"/>
      <c r="AC78" s="72"/>
      <c r="AD78" s="121"/>
      <c r="AE78" s="72" t="str">
        <f>'Sprachen &amp; Rückgabewerte'!$H$77</f>
        <v>Verstellschrauben M10 x</v>
      </c>
      <c r="AF78" s="72"/>
      <c r="AG78" s="72"/>
      <c r="AH78" s="72"/>
      <c r="AI78" s="72"/>
      <c r="AJ78" s="72"/>
      <c r="AK78" s="72"/>
      <c r="AL78" s="72"/>
      <c r="AM78" s="72"/>
      <c r="AN78" s="581"/>
      <c r="AO78" s="581"/>
      <c r="AP78" s="581"/>
      <c r="AQ78" s="72"/>
      <c r="AR78" s="72"/>
      <c r="AS78" s="72"/>
      <c r="AT78" s="114"/>
      <c r="AU78" s="114"/>
      <c r="AW78" s="559"/>
      <c r="AX78" s="559"/>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22"/>
      <c r="AC79" s="72"/>
      <c r="AD79" s="121"/>
      <c r="AE79" s="72" t="str">
        <f>'Sprachen &amp; Rückgabewerte'!$H$52</f>
        <v>Standardgrundplatten:</v>
      </c>
      <c r="AF79" s="72"/>
      <c r="AG79" s="72"/>
      <c r="AH79" s="72"/>
      <c r="AI79" s="72"/>
      <c r="AJ79" s="72"/>
      <c r="AK79" s="72"/>
      <c r="AL79" s="72"/>
      <c r="AM79" s="72"/>
      <c r="AN79" s="581"/>
      <c r="AO79" s="581"/>
      <c r="AP79" s="581"/>
      <c r="AQ79" s="72"/>
      <c r="AR79" s="72"/>
      <c r="AS79" s="72"/>
      <c r="AT79" s="114"/>
      <c r="AU79" s="114"/>
      <c r="AW79" s="559"/>
      <c r="AX79" s="559"/>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22"/>
      <c r="AC80" s="72"/>
      <c r="AD80" s="121"/>
      <c r="AE80" s="188" t="str">
        <f>'Sprachen &amp; Rückgabewerte'!$H$84</f>
        <v>Rahmenzusammenbau:</v>
      </c>
      <c r="AF80" s="72"/>
      <c r="AG80" s="72"/>
      <c r="AH80" s="72"/>
      <c r="AI80" s="72"/>
      <c r="AJ80" s="72"/>
      <c r="AK80" s="72"/>
      <c r="AL80" s="72"/>
      <c r="AM80" s="72"/>
      <c r="AN80" s="719"/>
      <c r="AO80" s="720"/>
      <c r="AP80" s="720"/>
      <c r="AQ80" s="720"/>
      <c r="AR80" s="720"/>
      <c r="AS80" s="721"/>
      <c r="AT80" s="325"/>
      <c r="AU80" s="115"/>
      <c r="AV80" s="326"/>
      <c r="AW80" s="560"/>
      <c r="AX80" s="560"/>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22"/>
      <c r="AC81" s="72"/>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22"/>
      <c r="AC82" s="72"/>
      <c r="AD82" s="72"/>
      <c r="AE82" s="72"/>
      <c r="AF82" s="72"/>
      <c r="AG82" s="72"/>
      <c r="AH82" s="72"/>
      <c r="AI82" s="72"/>
      <c r="AJ82" s="72"/>
      <c r="AK82" s="72"/>
      <c r="AL82" s="72"/>
      <c r="AM82" s="72"/>
      <c r="AN82" s="72"/>
      <c r="AO82" s="72"/>
      <c r="AP82" s="72"/>
      <c r="AQ82" s="72"/>
      <c r="AR82" s="72"/>
      <c r="AS82" s="72"/>
      <c r="AT82" s="61"/>
      <c r="AU82" s="114"/>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22"/>
      <c r="AC83" s="72"/>
      <c r="AD83" s="118"/>
      <c r="AE83" s="120" t="str">
        <f>'Sprachen &amp; Rückgabewerte'!$H$87</f>
        <v>Logistik:</v>
      </c>
      <c r="AF83" s="120"/>
      <c r="AG83" s="119"/>
      <c r="AH83" s="119"/>
      <c r="AI83" s="119"/>
      <c r="AJ83" s="119"/>
      <c r="AK83" s="119"/>
      <c r="AL83" s="119"/>
      <c r="AM83" s="119"/>
      <c r="AN83" s="120" t="str">
        <f>'Sprachen &amp; Rückgabewerte'!$H$49</f>
        <v>Zubehör:</v>
      </c>
      <c r="AO83" s="119"/>
      <c r="AP83" s="119"/>
      <c r="AQ83" s="119"/>
      <c r="AR83" s="119"/>
      <c r="AS83" s="119"/>
      <c r="AT83" s="113"/>
      <c r="AU83" s="114"/>
    </row>
    <row r="84" spans="2:50" ht="12.75" customHeight="1" x14ac:dyDescent="0.2">
      <c r="B84" s="60"/>
      <c r="C84" s="60"/>
      <c r="D84" s="72"/>
      <c r="E84" s="72"/>
      <c r="F84" s="72"/>
      <c r="G84" s="72"/>
      <c r="H84" s="73" t="str">
        <f>'Sprachen &amp; Rückgabewerte'!$B$45</f>
        <v>321901/321901</v>
      </c>
      <c r="I84" s="72"/>
      <c r="J84" s="72"/>
      <c r="K84" s="72"/>
      <c r="L84" s="72"/>
      <c r="M84" s="72"/>
      <c r="N84" s="61"/>
      <c r="O84" s="73" t="str">
        <f>'Sprachen &amp; Rückgabewerte'!$B$46</f>
        <v>321901/322301</v>
      </c>
      <c r="P84" s="72"/>
      <c r="Q84" s="72"/>
      <c r="R84" s="72"/>
      <c r="S84" s="72"/>
      <c r="T84" s="72"/>
      <c r="U84" s="61"/>
      <c r="V84" s="73" t="str">
        <f>'Sprachen &amp; Rückgabewerte'!$B$47</f>
        <v>322301/322301</v>
      </c>
      <c r="W84" s="72"/>
      <c r="X84" s="72"/>
      <c r="Y84" s="72"/>
      <c r="Z84" s="72"/>
      <c r="AA84" s="72"/>
      <c r="AB84" s="122"/>
      <c r="AC84" s="72"/>
      <c r="AD84" s="121"/>
      <c r="AE84" s="617"/>
      <c r="AF84" s="618"/>
      <c r="AG84" s="618"/>
      <c r="AH84" s="618"/>
      <c r="AI84" s="618"/>
      <c r="AJ84" s="618"/>
      <c r="AK84" s="618"/>
      <c r="AL84" s="619"/>
      <c r="AM84" s="72"/>
      <c r="AN84" s="72"/>
      <c r="AO84" s="72" t="str">
        <f>'Sprachen &amp; Rückgabewerte'!$H$50</f>
        <v>Rinne (siehe unten)</v>
      </c>
      <c r="AP84" s="72"/>
      <c r="AQ84" s="72"/>
      <c r="AR84" s="72"/>
      <c r="AS84" s="72"/>
      <c r="AT84" s="114"/>
      <c r="AU84" s="205"/>
      <c r="AV84" s="205"/>
    </row>
    <row r="85" spans="2:50" ht="12.75" customHeight="1" x14ac:dyDescent="0.2">
      <c r="B85" s="60"/>
      <c r="C85" s="60"/>
      <c r="D85" s="72"/>
      <c r="E85" s="72"/>
      <c r="F85" s="72"/>
      <c r="G85" s="72"/>
      <c r="H85" s="695"/>
      <c r="I85" s="696"/>
      <c r="J85" s="696"/>
      <c r="K85" s="697"/>
      <c r="L85" s="72"/>
      <c r="M85" s="72"/>
      <c r="N85" s="72"/>
      <c r="O85" s="695"/>
      <c r="P85" s="696"/>
      <c r="Q85" s="696"/>
      <c r="R85" s="697"/>
      <c r="S85" s="72"/>
      <c r="T85" s="72"/>
      <c r="U85" s="72"/>
      <c r="V85" s="695"/>
      <c r="W85" s="696"/>
      <c r="X85" s="696"/>
      <c r="Y85" s="697"/>
      <c r="Z85" s="72"/>
      <c r="AA85" s="72"/>
      <c r="AB85" s="122"/>
      <c r="AC85" s="72"/>
      <c r="AD85" s="121"/>
      <c r="AE85" s="620"/>
      <c r="AF85" s="620"/>
      <c r="AG85" s="620"/>
      <c r="AH85" s="620"/>
      <c r="AI85" s="620"/>
      <c r="AJ85" s="620"/>
      <c r="AK85" s="620"/>
      <c r="AL85" s="620"/>
      <c r="AM85" s="72"/>
      <c r="AN85" s="72"/>
      <c r="AO85" s="72" t="str">
        <f>'Sprachen &amp; Rückgabewerte'!$H$51</f>
        <v>Wetterschenkel</v>
      </c>
      <c r="AP85" s="72"/>
      <c r="AQ85" s="72"/>
      <c r="AR85" s="72"/>
      <c r="AS85" s="72"/>
      <c r="AT85" s="114"/>
      <c r="AU85" s="114"/>
      <c r="AV85" s="228"/>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4"/>
      <c r="AC86" s="61"/>
      <c r="AD86" s="60"/>
      <c r="AE86" s="61"/>
      <c r="AF86" s="61"/>
      <c r="AG86" s="61"/>
      <c r="AH86" s="61"/>
      <c r="AI86" s="61"/>
      <c r="AJ86" s="61"/>
      <c r="AK86" s="61"/>
      <c r="AL86" s="61"/>
      <c r="AM86" s="61"/>
      <c r="AN86" s="61"/>
      <c r="AO86" s="61" t="str">
        <f>IF('Sprachen &amp; Rückgabewerte'!$I$51=TRUE,"L=","")</f>
        <v/>
      </c>
      <c r="AP86" s="580"/>
      <c r="AQ86" s="580"/>
      <c r="AR86" s="580"/>
      <c r="AS86" s="61" t="str">
        <f>IF('Sprachen &amp; Rückgabewerte'!$I$51=TRUE,"mm","")</f>
        <v/>
      </c>
      <c r="AT86" s="114"/>
      <c r="AU86" s="114"/>
      <c r="AV86" s="228"/>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698" t="str">
        <f>'Sprachen &amp; Rückgabewerte'!$H$118</f>
        <v>Standard (RC2 in Anlehnung)</v>
      </c>
      <c r="AA87" s="698"/>
      <c r="AB87" s="699"/>
      <c r="AC87" s="61"/>
      <c r="AD87" s="60"/>
      <c r="AE87" s="320" t="str">
        <f>'Sprachen &amp; Rückgabewerte'!$H$47</f>
        <v>Windlast:</v>
      </c>
      <c r="AF87" s="81"/>
      <c r="AG87" s="155"/>
      <c r="AH87" s="61"/>
      <c r="AI87" s="61"/>
      <c r="AJ87" s="61"/>
      <c r="AK87" s="61"/>
      <c r="AL87" s="61"/>
      <c r="AM87" s="555"/>
      <c r="AN87" s="556"/>
      <c r="AO87" s="557"/>
      <c r="AP87" s="321" t="s">
        <v>782</v>
      </c>
      <c r="AS87" s="184"/>
      <c r="AT87" s="114"/>
      <c r="AU87" s="114"/>
      <c r="AV87" s="228"/>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698"/>
      <c r="AA88" s="698"/>
      <c r="AB88" s="699"/>
      <c r="AC88" s="61"/>
      <c r="AD88" s="60"/>
      <c r="AE88" s="188" t="str">
        <f>'Sprachen &amp; Rückgabewerte'!$H$90</f>
        <v>Wunschtermin:</v>
      </c>
      <c r="AF88" s="319"/>
      <c r="AG88" s="319"/>
      <c r="AH88" s="319"/>
      <c r="AI88" s="319"/>
      <c r="AJ88" s="319"/>
      <c r="AK88" s="319"/>
      <c r="AL88" s="319"/>
      <c r="AM88" s="715"/>
      <c r="AN88" s="716"/>
      <c r="AO88" s="716"/>
      <c r="AP88" s="717"/>
      <c r="AQ88" s="717"/>
      <c r="AR88" s="718"/>
      <c r="AS88" s="319"/>
      <c r="AT88" s="114"/>
      <c r="AU88" s="114"/>
      <c r="AV88" s="228"/>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698"/>
      <c r="AA89" s="698"/>
      <c r="AB89" s="699"/>
      <c r="AC89" s="61"/>
      <c r="AD89" s="60"/>
      <c r="AF89" s="319"/>
      <c r="AG89" s="319"/>
      <c r="AH89" s="319"/>
      <c r="AI89" s="319"/>
      <c r="AJ89" s="319"/>
      <c r="AK89" s="319"/>
      <c r="AL89" s="319"/>
      <c r="AS89" s="319"/>
      <c r="AT89" s="114"/>
      <c r="AU89" s="114"/>
      <c r="AV89" s="228"/>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6" t="str">
        <f>'Sprachen &amp; Rückgabewerte'!$H$116</f>
        <v>Ganzglas-Ecke</v>
      </c>
      <c r="W90" s="61"/>
      <c r="X90" s="61"/>
      <c r="Y90" s="61"/>
      <c r="Z90" s="61"/>
      <c r="AA90" s="61"/>
      <c r="AB90" s="114"/>
      <c r="AC90" s="61"/>
      <c r="AD90" s="60"/>
      <c r="AE90" s="554" t="str">
        <f>'Sprachen &amp; Rückgabewerte'!$H$102</f>
        <v>Diese Bestellung ist verbindlich und muss komplett ausgefüllt werden. Änderungen werden als Mehraufwand verrechnet.</v>
      </c>
      <c r="AF90" s="554"/>
      <c r="AG90" s="554"/>
      <c r="AH90" s="554"/>
      <c r="AI90" s="554"/>
      <c r="AJ90" s="554"/>
      <c r="AK90" s="554"/>
      <c r="AL90" s="554"/>
      <c r="AM90" s="554"/>
      <c r="AN90" s="554"/>
      <c r="AO90" s="554"/>
      <c r="AP90" s="554"/>
      <c r="AQ90" s="554"/>
      <c r="AR90" s="554"/>
      <c r="AS90" s="554"/>
      <c r="AT90" s="114"/>
      <c r="AU90" s="114"/>
      <c r="AV90" s="228"/>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00" t="str">
        <f>'Sprachen &amp; Rückgabewerte'!$H$119</f>
        <v>RC2 mit Blech</v>
      </c>
      <c r="AA91" s="700"/>
      <c r="AB91" s="701"/>
      <c r="AC91" s="61"/>
      <c r="AD91" s="60"/>
      <c r="AE91" s="554"/>
      <c r="AF91" s="554"/>
      <c r="AG91" s="554"/>
      <c r="AH91" s="554"/>
      <c r="AI91" s="554"/>
      <c r="AJ91" s="554"/>
      <c r="AK91" s="554"/>
      <c r="AL91" s="554"/>
      <c r="AM91" s="554"/>
      <c r="AN91" s="554"/>
      <c r="AO91" s="554"/>
      <c r="AP91" s="554"/>
      <c r="AQ91" s="554"/>
      <c r="AR91" s="554"/>
      <c r="AS91" s="554"/>
      <c r="AT91" s="114"/>
      <c r="AU91" s="114"/>
      <c r="AV91" s="228"/>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00"/>
      <c r="AA92" s="700"/>
      <c r="AB92" s="701"/>
      <c r="AC92" s="61"/>
      <c r="AD92" s="60"/>
      <c r="AE92" s="554"/>
      <c r="AF92" s="554"/>
      <c r="AG92" s="554"/>
      <c r="AH92" s="554"/>
      <c r="AI92" s="554"/>
      <c r="AJ92" s="554"/>
      <c r="AK92" s="554"/>
      <c r="AL92" s="554"/>
      <c r="AM92" s="554"/>
      <c r="AN92" s="554"/>
      <c r="AO92" s="554"/>
      <c r="AP92" s="554"/>
      <c r="AQ92" s="554"/>
      <c r="AR92" s="554"/>
      <c r="AS92" s="554"/>
      <c r="AT92" s="114"/>
      <c r="AU92" s="114"/>
      <c r="AV92" s="228"/>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00"/>
      <c r="AA93" s="700"/>
      <c r="AB93" s="701"/>
      <c r="AC93" s="61"/>
      <c r="AD93" s="68"/>
      <c r="AE93" s="84"/>
      <c r="AF93" s="84"/>
      <c r="AG93" s="84"/>
      <c r="AH93" s="84"/>
      <c r="AI93" s="84"/>
      <c r="AJ93" s="84"/>
      <c r="AK93" s="84"/>
      <c r="AL93" s="84"/>
      <c r="AM93" s="84"/>
      <c r="AN93" s="84"/>
      <c r="AO93" s="84"/>
      <c r="AP93" s="84"/>
      <c r="AQ93" s="84"/>
      <c r="AR93" s="84"/>
      <c r="AS93" s="84"/>
      <c r="AT93" s="115"/>
      <c r="AU93" s="114"/>
      <c r="AV93" s="228"/>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4"/>
      <c r="AC94" s="61"/>
      <c r="AD94" s="61"/>
      <c r="AE94" s="61"/>
      <c r="AF94" s="61"/>
      <c r="AG94" s="61"/>
      <c r="AH94" s="61"/>
      <c r="AI94" s="61"/>
      <c r="AJ94" s="61"/>
      <c r="AK94" s="72"/>
      <c r="AL94" s="72"/>
      <c r="AM94" s="72"/>
      <c r="AN94" s="72"/>
      <c r="AO94" s="72"/>
      <c r="AP94" s="72"/>
      <c r="AQ94" s="72"/>
      <c r="AR94" s="61"/>
      <c r="AS94" s="61"/>
      <c r="AT94" s="61"/>
      <c r="AU94" s="114"/>
      <c r="AV94" s="228"/>
    </row>
    <row r="95" spans="2:50" ht="12.75" customHeight="1" x14ac:dyDescent="0.2">
      <c r="B95" s="60"/>
      <c r="C95" s="60"/>
      <c r="D95" s="61"/>
      <c r="E95" s="61"/>
      <c r="F95" s="61"/>
      <c r="G95" s="61"/>
      <c r="H95" s="156" t="str">
        <f>'Sprachen &amp; Rückgabewerte'!$B$48</f>
        <v>110101/110301</v>
      </c>
      <c r="I95" s="61"/>
      <c r="J95" s="61"/>
      <c r="K95" s="61"/>
      <c r="L95" s="61"/>
      <c r="M95" s="61"/>
      <c r="N95" s="61"/>
      <c r="O95" s="156" t="str">
        <f>'Sprachen &amp; Rückgabewerte'!$B$49</f>
        <v>110101/110501</v>
      </c>
      <c r="P95" s="61"/>
      <c r="Q95" s="61"/>
      <c r="R95" s="61"/>
      <c r="S95" s="61"/>
      <c r="T95" s="61"/>
      <c r="U95" s="61"/>
      <c r="V95" s="156" t="str">
        <f>'Sprachen &amp; Rückgabewerte'!$H$117</f>
        <v>Ecke RC2 (WK2)</v>
      </c>
      <c r="W95" s="61"/>
      <c r="X95" s="61"/>
      <c r="Y95" s="61"/>
      <c r="Z95" s="61"/>
      <c r="AA95" s="61"/>
      <c r="AB95" s="114"/>
      <c r="AC95" s="61"/>
      <c r="AD95" s="111"/>
      <c r="AE95" s="405"/>
      <c r="AF95" s="405"/>
      <c r="AG95" s="405"/>
      <c r="AH95" s="405"/>
      <c r="AI95" s="405"/>
      <c r="AJ95" s="405"/>
      <c r="AK95" s="405"/>
      <c r="AL95" s="405"/>
      <c r="AM95" s="405"/>
      <c r="AN95" s="405"/>
      <c r="AO95" s="405"/>
      <c r="AP95" s="405"/>
      <c r="AQ95" s="405"/>
      <c r="AR95" s="405"/>
      <c r="AS95" s="405"/>
      <c r="AT95" s="406"/>
      <c r="AU95" s="114"/>
      <c r="AV95" s="228"/>
      <c r="AW95" s="412" t="str">
        <f>IF(OR(AQ96="",AQ96='Sprachen &amp; Rückgabewerte'!H96),"",'Sprachen &amp; Rückgabewerte'!H182)</f>
        <v/>
      </c>
    </row>
    <row r="96" spans="2:50" ht="12.75" customHeight="1" x14ac:dyDescent="0.2">
      <c r="B96" s="60"/>
      <c r="C96" s="60"/>
      <c r="D96" s="61"/>
      <c r="E96" s="61"/>
      <c r="F96" s="61"/>
      <c r="G96" s="61"/>
      <c r="H96" s="695"/>
      <c r="I96" s="696"/>
      <c r="J96" s="696"/>
      <c r="K96" s="697"/>
      <c r="L96" s="61"/>
      <c r="M96" s="61"/>
      <c r="N96" s="61"/>
      <c r="O96" s="695"/>
      <c r="P96" s="696"/>
      <c r="Q96" s="696"/>
      <c r="R96" s="697"/>
      <c r="S96" s="61"/>
      <c r="T96" s="61"/>
      <c r="U96" s="61"/>
      <c r="V96" s="712"/>
      <c r="W96" s="713"/>
      <c r="X96" s="713"/>
      <c r="Y96" s="714"/>
      <c r="Z96" s="61"/>
      <c r="AA96" s="61"/>
      <c r="AB96" s="114"/>
      <c r="AC96" s="61"/>
      <c r="AD96" s="60"/>
      <c r="AE96" s="73" t="str">
        <f>'Sprachen &amp; Rückgabewerte'!H181</f>
        <v>Sky-Frame Beratung vorhanden:</v>
      </c>
      <c r="AF96" s="407"/>
      <c r="AG96" s="407"/>
      <c r="AH96" s="407"/>
      <c r="AI96" s="407"/>
      <c r="AJ96" s="407"/>
      <c r="AK96" s="407"/>
      <c r="AL96" s="407"/>
      <c r="AM96" s="407"/>
      <c r="AN96" s="407"/>
      <c r="AO96" s="407"/>
      <c r="AP96" s="407"/>
      <c r="AQ96" s="590"/>
      <c r="AR96" s="591"/>
      <c r="AS96" s="410"/>
      <c r="AT96" s="409"/>
      <c r="AU96" s="115"/>
      <c r="AV96" s="411"/>
      <c r="AW96" s="546"/>
      <c r="AX96" s="548"/>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84"/>
      <c r="W97" s="84"/>
      <c r="X97" s="84"/>
      <c r="Y97" s="84"/>
      <c r="Z97" s="84"/>
      <c r="AA97" s="84"/>
      <c r="AB97" s="115"/>
      <c r="AC97" s="61"/>
      <c r="AD97" s="68"/>
      <c r="AE97" s="408"/>
      <c r="AF97" s="408"/>
      <c r="AG97" s="408"/>
      <c r="AH97" s="408"/>
      <c r="AI97" s="408"/>
      <c r="AJ97" s="408"/>
      <c r="AK97" s="408"/>
      <c r="AL97" s="408"/>
      <c r="AM97" s="408"/>
      <c r="AN97" s="408"/>
      <c r="AO97" s="408"/>
      <c r="AP97" s="408"/>
      <c r="AQ97" s="408"/>
      <c r="AR97" s="408"/>
      <c r="AS97" s="408"/>
      <c r="AT97" s="409"/>
      <c r="AU97" s="114"/>
      <c r="AV97" s="228"/>
    </row>
    <row r="98" spans="2:48" ht="19.5" customHeight="1" x14ac:dyDescent="0.2">
      <c r="B98" s="68"/>
      <c r="C98" s="711" t="s">
        <v>913</v>
      </c>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1"/>
      <c r="AG98" s="711"/>
      <c r="AH98" s="711"/>
      <c r="AI98" s="711"/>
      <c r="AJ98" s="711"/>
      <c r="AK98" s="711"/>
      <c r="AL98" s="711"/>
      <c r="AM98" s="711"/>
      <c r="AN98" s="711"/>
      <c r="AO98" s="711"/>
      <c r="AP98" s="84"/>
      <c r="AQ98" s="84"/>
      <c r="AR98" s="84"/>
      <c r="AS98" s="84"/>
      <c r="AT98" s="158" t="s">
        <v>907</v>
      </c>
      <c r="AU98" s="115"/>
      <c r="AV98" s="228"/>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55"/>
      <c r="AU99" s="61"/>
      <c r="AV99" s="114"/>
    </row>
    <row r="100" spans="2:48" x14ac:dyDescent="0.2">
      <c r="AV100" s="115"/>
    </row>
    <row r="101" spans="2:48" ht="13.5" thickBot="1" x14ac:dyDescent="0.25">
      <c r="B101" s="111"/>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13"/>
    </row>
    <row r="102" spans="2:48" ht="16.5" thickTop="1" x14ac:dyDescent="0.25">
      <c r="B102" s="60"/>
      <c r="C102" s="111"/>
      <c r="D102" s="82"/>
      <c r="E102" s="273" t="str">
        <f>'Sprachen &amp; Rückgabewerte'!$H$138</f>
        <v>Rinnenbestellung</v>
      </c>
      <c r="F102" s="82"/>
      <c r="G102" s="82"/>
      <c r="H102" s="82"/>
      <c r="I102" s="82"/>
      <c r="J102" s="82"/>
      <c r="K102" s="82"/>
      <c r="L102" s="82"/>
      <c r="M102" s="82"/>
      <c r="N102" s="82"/>
      <c r="O102" s="82"/>
      <c r="P102" s="82"/>
      <c r="Q102" s="82"/>
      <c r="R102" s="82"/>
      <c r="S102" s="82"/>
      <c r="T102" s="82"/>
      <c r="U102" s="82"/>
      <c r="V102" s="82"/>
      <c r="W102" s="82"/>
      <c r="X102" s="82"/>
      <c r="Y102" s="82"/>
      <c r="Z102" s="113"/>
      <c r="AA102" s="61"/>
      <c r="AB102" s="240"/>
      <c r="AC102" s="241"/>
      <c r="AD102" s="241"/>
      <c r="AE102" s="241"/>
      <c r="AF102" s="256"/>
      <c r="AG102" s="257"/>
      <c r="AH102" s="260"/>
      <c r="AI102" s="256"/>
      <c r="AJ102" s="256"/>
      <c r="AK102" s="256"/>
      <c r="AL102" s="256"/>
      <c r="AM102" s="257"/>
      <c r="AN102" s="260"/>
      <c r="AO102" s="256"/>
      <c r="AP102" s="256"/>
      <c r="AQ102" s="256"/>
      <c r="AR102" s="256"/>
      <c r="AS102" s="256"/>
      <c r="AT102" s="257"/>
      <c r="AU102" s="114"/>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4"/>
      <c r="AA103" s="61"/>
      <c r="AB103" s="243"/>
      <c r="AC103" s="61"/>
      <c r="AD103" s="61"/>
      <c r="AE103" s="61"/>
      <c r="AF103" s="132"/>
      <c r="AG103" s="258"/>
      <c r="AH103" s="261"/>
      <c r="AI103" s="132"/>
      <c r="AJ103" s="132"/>
      <c r="AK103" s="132"/>
      <c r="AL103" s="132"/>
      <c r="AM103" s="258"/>
      <c r="AN103" s="261"/>
      <c r="AO103" s="132"/>
      <c r="AP103" s="132"/>
      <c r="AQ103" s="132"/>
      <c r="AR103" s="132"/>
      <c r="AS103" s="132"/>
      <c r="AT103" s="258"/>
      <c r="AU103" s="133"/>
    </row>
    <row r="104" spans="2:48" ht="15" customHeight="1" x14ac:dyDescent="0.2">
      <c r="B104" s="60"/>
      <c r="C104" s="60"/>
      <c r="D104" s="61"/>
      <c r="E104" s="72" t="str">
        <f>'Sprachen &amp; Rückgabewerte'!$H$139</f>
        <v>Wahl des Rinnensystems:</v>
      </c>
      <c r="F104" s="61"/>
      <c r="G104" s="61"/>
      <c r="H104" s="61"/>
      <c r="I104" s="61"/>
      <c r="J104" s="61"/>
      <c r="K104" s="61"/>
      <c r="L104" s="61"/>
      <c r="M104" s="61"/>
      <c r="N104" s="61"/>
      <c r="O104" s="61"/>
      <c r="P104" s="61"/>
      <c r="Q104" s="61"/>
      <c r="R104" s="61"/>
      <c r="S104" s="61"/>
      <c r="T104" s="703"/>
      <c r="U104" s="704"/>
      <c r="V104" s="238"/>
      <c r="W104" s="238"/>
      <c r="X104" s="61"/>
      <c r="Y104" s="61"/>
      <c r="Z104" s="114"/>
      <c r="AB104" s="243"/>
      <c r="AC104" s="61"/>
      <c r="AD104" s="61"/>
      <c r="AE104" s="61"/>
      <c r="AF104" s="132"/>
      <c r="AG104" s="258"/>
      <c r="AH104" s="261"/>
      <c r="AI104" s="132"/>
      <c r="AJ104" s="132"/>
      <c r="AK104" s="132"/>
      <c r="AL104" s="132"/>
      <c r="AM104" s="258"/>
      <c r="AN104" s="261"/>
      <c r="AO104" s="132"/>
      <c r="AP104" s="132"/>
      <c r="AQ104" s="132"/>
      <c r="AR104" s="132"/>
      <c r="AS104" s="132"/>
      <c r="AT104" s="258"/>
      <c r="AU104" s="133"/>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4"/>
      <c r="AB105" s="243"/>
      <c r="AC105" s="61"/>
      <c r="AD105" s="61"/>
      <c r="AE105" s="61"/>
      <c r="AF105" s="132"/>
      <c r="AG105" s="258"/>
      <c r="AH105" s="261"/>
      <c r="AI105" s="132"/>
      <c r="AJ105" s="132"/>
      <c r="AK105" s="132"/>
      <c r="AL105" s="132"/>
      <c r="AM105" s="258"/>
      <c r="AN105" s="261"/>
      <c r="AO105" s="132"/>
      <c r="AP105" s="132"/>
      <c r="AQ105" s="132"/>
      <c r="AR105" s="132"/>
      <c r="AS105" s="132"/>
      <c r="AT105" s="258"/>
      <c r="AU105" s="133"/>
    </row>
    <row r="106" spans="2:48" ht="15" customHeight="1" x14ac:dyDescent="0.2">
      <c r="B106" s="60"/>
      <c r="C106" s="60"/>
      <c r="D106" s="61"/>
      <c r="E106" s="72" t="str">
        <f>'Sprachen &amp; Rückgabewerte'!$H$140</f>
        <v>Einzug an der linken Anlagenseite:</v>
      </c>
      <c r="F106" s="61"/>
      <c r="G106" s="61"/>
      <c r="H106" s="61"/>
      <c r="I106" s="61"/>
      <c r="J106" s="61"/>
      <c r="K106" s="61"/>
      <c r="L106" s="61"/>
      <c r="M106" s="61"/>
      <c r="N106" s="61"/>
      <c r="O106" s="61"/>
      <c r="P106" s="61"/>
      <c r="Q106" s="61"/>
      <c r="R106" s="61"/>
      <c r="S106" s="61"/>
      <c r="T106" s="705"/>
      <c r="U106" s="706"/>
      <c r="V106" s="61" t="s">
        <v>179</v>
      </c>
      <c r="W106" s="61"/>
      <c r="X106" s="61"/>
      <c r="Y106" s="61"/>
      <c r="Z106" s="114"/>
      <c r="AB106" s="243"/>
      <c r="AC106" s="61"/>
      <c r="AD106" s="61"/>
      <c r="AE106" s="61"/>
      <c r="AF106" s="132"/>
      <c r="AG106" s="258"/>
      <c r="AH106" s="261"/>
      <c r="AI106" s="132"/>
      <c r="AJ106" s="132"/>
      <c r="AK106" s="132"/>
      <c r="AL106" s="132"/>
      <c r="AM106" s="258"/>
      <c r="AN106" s="261"/>
      <c r="AO106" s="132"/>
      <c r="AP106" s="132"/>
      <c r="AQ106" s="132"/>
      <c r="AR106" s="132"/>
      <c r="AS106" s="132"/>
      <c r="AT106" s="258"/>
      <c r="AU106" s="133"/>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4"/>
      <c r="AB107" s="243"/>
      <c r="AC107" s="61"/>
      <c r="AD107" s="61"/>
      <c r="AE107" s="61"/>
      <c r="AF107" s="132"/>
      <c r="AG107" s="258"/>
      <c r="AH107" s="261"/>
      <c r="AI107" s="132"/>
      <c r="AJ107" s="132"/>
      <c r="AK107" s="132"/>
      <c r="AL107" s="132"/>
      <c r="AM107" s="258"/>
      <c r="AN107" s="261"/>
      <c r="AO107" s="132"/>
      <c r="AP107" s="132"/>
      <c r="AQ107" s="132"/>
      <c r="AR107" s="132"/>
      <c r="AS107" s="132"/>
      <c r="AT107" s="258"/>
      <c r="AU107" s="133"/>
    </row>
    <row r="108" spans="2:48" ht="15" customHeight="1" x14ac:dyDescent="0.2">
      <c r="B108" s="60"/>
      <c r="C108" s="60"/>
      <c r="D108" s="61"/>
      <c r="E108" s="72" t="str">
        <f>'Sprachen &amp; Rückgabewerte'!$H$141</f>
        <v>Einzug an der rechten Anlagenseite:</v>
      </c>
      <c r="F108" s="61"/>
      <c r="G108" s="61"/>
      <c r="H108" s="61"/>
      <c r="I108" s="61"/>
      <c r="J108" s="61"/>
      <c r="K108" s="61"/>
      <c r="L108" s="61"/>
      <c r="M108" s="61"/>
      <c r="N108" s="61"/>
      <c r="O108" s="61"/>
      <c r="P108" s="61"/>
      <c r="Q108" s="61"/>
      <c r="R108" s="61"/>
      <c r="S108" s="61"/>
      <c r="T108" s="705"/>
      <c r="U108" s="706"/>
      <c r="V108" s="61" t="s">
        <v>179</v>
      </c>
      <c r="W108" s="61"/>
      <c r="X108" s="61"/>
      <c r="Y108" s="61"/>
      <c r="Z108" s="114"/>
      <c r="AB108" s="243"/>
      <c r="AC108" s="61"/>
      <c r="AD108" s="61"/>
      <c r="AE108" s="61"/>
      <c r="AF108" s="132"/>
      <c r="AG108" s="258"/>
      <c r="AH108" s="261"/>
      <c r="AI108" s="132"/>
      <c r="AJ108" s="132"/>
      <c r="AK108" s="132"/>
      <c r="AL108" s="132"/>
      <c r="AM108" s="258"/>
      <c r="AN108" s="261"/>
      <c r="AO108" s="132"/>
      <c r="AP108" s="132"/>
      <c r="AQ108" s="132"/>
      <c r="AR108" s="132"/>
      <c r="AS108" s="132"/>
      <c r="AT108" s="258"/>
      <c r="AU108" s="133"/>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4"/>
      <c r="AB109" s="243"/>
      <c r="AC109" s="61"/>
      <c r="AD109" s="61"/>
      <c r="AE109" s="61"/>
      <c r="AF109" s="132"/>
      <c r="AG109" s="258"/>
      <c r="AH109" s="261"/>
      <c r="AI109" s="132"/>
      <c r="AJ109" s="132"/>
      <c r="AK109" s="132"/>
      <c r="AL109" s="132"/>
      <c r="AM109" s="258"/>
      <c r="AN109" s="261"/>
      <c r="AO109" s="132"/>
      <c r="AP109" s="132"/>
      <c r="AQ109" s="132"/>
      <c r="AR109" s="132"/>
      <c r="AS109" s="132"/>
      <c r="AT109" s="258"/>
      <c r="AU109" s="133"/>
    </row>
    <row r="110" spans="2:48" ht="15" customHeight="1" x14ac:dyDescent="0.2">
      <c r="B110" s="60"/>
      <c r="C110" s="60"/>
      <c r="D110" s="61"/>
      <c r="E110" s="72" t="str">
        <f>'Sprachen &amp; Rückgabewerte'!$H$142</f>
        <v>Anschlussstutzen:</v>
      </c>
      <c r="F110" s="61"/>
      <c r="G110" s="61"/>
      <c r="H110" s="61"/>
      <c r="I110" s="61"/>
      <c r="J110" s="61"/>
      <c r="K110" s="61"/>
      <c r="L110" s="61"/>
      <c r="M110" s="61"/>
      <c r="N110" s="61"/>
      <c r="O110" s="61"/>
      <c r="P110" s="61"/>
      <c r="Q110" s="61"/>
      <c r="R110" s="61"/>
      <c r="S110" s="61"/>
      <c r="T110" s="703"/>
      <c r="U110" s="707"/>
      <c r="V110" s="707"/>
      <c r="W110" s="707"/>
      <c r="X110" s="707"/>
      <c r="Y110" s="704"/>
      <c r="Z110" s="274"/>
      <c r="AB110" s="262"/>
      <c r="AC110" s="263"/>
      <c r="AD110" s="263"/>
      <c r="AE110" s="263"/>
      <c r="AF110" s="264"/>
      <c r="AG110" s="265"/>
      <c r="AH110" s="266"/>
      <c r="AI110" s="264"/>
      <c r="AJ110" s="264"/>
      <c r="AK110" s="264"/>
      <c r="AL110" s="264"/>
      <c r="AM110" s="265"/>
      <c r="AN110" s="266"/>
      <c r="AO110" s="264"/>
      <c r="AP110" s="264"/>
      <c r="AQ110" s="264"/>
      <c r="AR110" s="264"/>
      <c r="AS110" s="264"/>
      <c r="AT110" s="265"/>
      <c r="AU110" s="133"/>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4"/>
      <c r="AB111" s="267"/>
      <c r="AC111" s="268"/>
      <c r="AD111" s="268"/>
      <c r="AE111" s="268"/>
      <c r="AF111" s="269"/>
      <c r="AG111" s="270"/>
      <c r="AH111" s="269"/>
      <c r="AI111" s="269"/>
      <c r="AJ111" s="269"/>
      <c r="AK111" s="269"/>
      <c r="AL111" s="269"/>
      <c r="AM111" s="269"/>
      <c r="AN111" s="271"/>
      <c r="AO111" s="269"/>
      <c r="AP111" s="269"/>
      <c r="AQ111" s="269"/>
      <c r="AR111" s="269"/>
      <c r="AS111" s="269"/>
      <c r="AT111" s="270"/>
      <c r="AU111" s="133"/>
    </row>
    <row r="112" spans="2:48" ht="15" customHeight="1" x14ac:dyDescent="0.2">
      <c r="B112" s="60"/>
      <c r="C112" s="60"/>
      <c r="D112" s="61"/>
      <c r="E112" s="61"/>
      <c r="F112" s="61"/>
      <c r="G112" s="61"/>
      <c r="H112" s="61"/>
      <c r="I112" s="61"/>
      <c r="J112" s="61"/>
      <c r="K112" s="61"/>
      <c r="L112" s="61"/>
      <c r="M112" s="61"/>
      <c r="N112" s="61"/>
      <c r="O112" s="61"/>
      <c r="P112" s="61"/>
      <c r="Q112" s="61"/>
      <c r="R112" s="276" t="str">
        <f>IF($T$110='Sprachen &amp; Rückgabewerte'!$J$143,'Sprachen &amp; Rückgabewerte'!$H$145,'Sprachen &amp; Rückgabewerte'!$H$148)</f>
        <v>Abstände Ablaufstutzen:</v>
      </c>
      <c r="S112" s="61"/>
      <c r="T112" s="708"/>
      <c r="U112" s="709"/>
      <c r="V112" s="709"/>
      <c r="W112" s="709"/>
      <c r="X112" s="709"/>
      <c r="Y112" s="710"/>
      <c r="Z112" s="275"/>
      <c r="AB112" s="243"/>
      <c r="AC112" s="61"/>
      <c r="AD112" s="61"/>
      <c r="AE112" s="61"/>
      <c r="AF112" s="132"/>
      <c r="AG112" s="258"/>
      <c r="AH112" s="132"/>
      <c r="AI112" s="132"/>
      <c r="AJ112" s="132"/>
      <c r="AK112" s="132"/>
      <c r="AL112" s="132"/>
      <c r="AM112" s="132"/>
      <c r="AN112" s="261"/>
      <c r="AO112" s="132"/>
      <c r="AP112" s="132"/>
      <c r="AQ112" s="132"/>
      <c r="AR112" s="132"/>
      <c r="AS112" s="132"/>
      <c r="AT112" s="258"/>
      <c r="AU112" s="133"/>
    </row>
    <row r="113" spans="2:47" x14ac:dyDescent="0.2">
      <c r="B113" s="60"/>
      <c r="C113" s="60"/>
      <c r="D113" s="61"/>
      <c r="E113" s="277"/>
      <c r="F113" s="277"/>
      <c r="G113" s="277"/>
      <c r="H113" s="277"/>
      <c r="I113" s="277"/>
      <c r="J113" s="277"/>
      <c r="K113" s="277"/>
      <c r="L113" s="277"/>
      <c r="M113" s="277"/>
      <c r="N113" s="277"/>
      <c r="O113" s="277"/>
      <c r="P113" s="277"/>
      <c r="Q113" s="277"/>
      <c r="R113" s="277"/>
      <c r="S113" s="277"/>
      <c r="T113" s="61"/>
      <c r="U113" s="61"/>
      <c r="V113" s="61"/>
      <c r="W113" s="61"/>
      <c r="X113" s="61"/>
      <c r="Y113" s="61"/>
      <c r="Z113" s="114"/>
      <c r="AB113" s="243"/>
      <c r="AC113" s="61"/>
      <c r="AD113" s="61"/>
      <c r="AE113" s="61"/>
      <c r="AF113" s="132"/>
      <c r="AG113" s="258"/>
      <c r="AH113" s="132"/>
      <c r="AI113" s="132"/>
      <c r="AJ113" s="132"/>
      <c r="AK113" s="132"/>
      <c r="AL113" s="132"/>
      <c r="AM113" s="132"/>
      <c r="AN113" s="261"/>
      <c r="AO113" s="132"/>
      <c r="AP113" s="132"/>
      <c r="AQ113" s="132"/>
      <c r="AR113" s="132"/>
      <c r="AS113" s="132"/>
      <c r="AT113" s="258"/>
      <c r="AU113" s="114"/>
    </row>
    <row r="114" spans="2:47" ht="15" customHeight="1" x14ac:dyDescent="0.2">
      <c r="B114" s="60"/>
      <c r="C114" s="60"/>
      <c r="D114" s="61"/>
      <c r="E114" s="277"/>
      <c r="F114" s="277"/>
      <c r="G114" s="277"/>
      <c r="H114" s="277"/>
      <c r="I114" s="277"/>
      <c r="J114" s="277"/>
      <c r="K114" s="277"/>
      <c r="L114" s="277"/>
      <c r="M114" s="277"/>
      <c r="N114" s="277"/>
      <c r="O114" s="277"/>
      <c r="P114" s="277"/>
      <c r="Q114" s="277"/>
      <c r="R114" s="276" t="str">
        <f>'Sprachen &amp; Rückgabewerte'!H149</f>
        <v>Rinnenanschluss:</v>
      </c>
      <c r="S114" s="277"/>
      <c r="T114" s="703"/>
      <c r="U114" s="704"/>
      <c r="V114" s="61"/>
      <c r="W114" s="61"/>
      <c r="X114" s="61"/>
      <c r="Y114" s="61"/>
      <c r="Z114" s="114"/>
      <c r="AB114" s="243"/>
      <c r="AC114" s="61"/>
      <c r="AD114" s="61"/>
      <c r="AE114" s="61"/>
      <c r="AF114" s="132"/>
      <c r="AG114" s="258"/>
      <c r="AH114" s="132"/>
      <c r="AI114" s="132"/>
      <c r="AJ114" s="132"/>
      <c r="AK114" s="132"/>
      <c r="AL114" s="132"/>
      <c r="AM114" s="132"/>
      <c r="AN114" s="261"/>
      <c r="AO114" s="132"/>
      <c r="AP114" s="132"/>
      <c r="AQ114" s="132"/>
      <c r="AR114" s="132"/>
      <c r="AS114" s="132"/>
      <c r="AT114" s="258"/>
      <c r="AU114" s="114"/>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4"/>
      <c r="AA115" s="61"/>
      <c r="AB115" s="243"/>
      <c r="AC115" s="61"/>
      <c r="AD115" s="61"/>
      <c r="AE115" s="61"/>
      <c r="AF115" s="61"/>
      <c r="AG115" s="258"/>
      <c r="AH115" s="132"/>
      <c r="AI115" s="132"/>
      <c r="AJ115" s="132"/>
      <c r="AK115" s="132"/>
      <c r="AL115" s="132"/>
      <c r="AM115" s="132"/>
      <c r="AN115" s="261"/>
      <c r="AO115" s="61"/>
      <c r="AP115" s="61"/>
      <c r="AQ115" s="61"/>
      <c r="AR115" s="61"/>
      <c r="AS115" s="61"/>
      <c r="AT115" s="245"/>
      <c r="AU115" s="114"/>
    </row>
    <row r="116" spans="2:47" x14ac:dyDescent="0.2">
      <c r="B116" s="60"/>
      <c r="C116" s="60"/>
      <c r="D116" s="61"/>
      <c r="E116" s="702" t="str">
        <f>IF('Sprachen &amp; Rückgabewerte'!$I$50=TRUE,'Sprachen &amp; Rückgabewerte'!$H$102,"")</f>
        <v/>
      </c>
      <c r="F116" s="702"/>
      <c r="G116" s="702"/>
      <c r="H116" s="702"/>
      <c r="I116" s="702"/>
      <c r="J116" s="702"/>
      <c r="K116" s="702"/>
      <c r="L116" s="702"/>
      <c r="M116" s="702"/>
      <c r="N116" s="702"/>
      <c r="O116" s="702"/>
      <c r="P116" s="702"/>
      <c r="Q116" s="702"/>
      <c r="R116" s="702"/>
      <c r="S116" s="61"/>
      <c r="T116" s="61"/>
      <c r="U116" s="61"/>
      <c r="V116" s="61"/>
      <c r="W116" s="61"/>
      <c r="X116" s="61"/>
      <c r="Y116" s="61"/>
      <c r="Z116" s="114"/>
      <c r="AA116" s="61"/>
      <c r="AB116" s="243"/>
      <c r="AC116" s="61"/>
      <c r="AD116" s="61"/>
      <c r="AE116" s="61"/>
      <c r="AF116" s="61"/>
      <c r="AG116" s="258"/>
      <c r="AH116" s="132"/>
      <c r="AI116" s="132"/>
      <c r="AJ116" s="132"/>
      <c r="AK116" s="132"/>
      <c r="AL116" s="132"/>
      <c r="AM116" s="132"/>
      <c r="AN116" s="261"/>
      <c r="AO116" s="61"/>
      <c r="AP116" s="61"/>
      <c r="AQ116" s="61"/>
      <c r="AR116" s="61"/>
      <c r="AS116" s="61"/>
      <c r="AT116" s="245"/>
      <c r="AU116" s="114"/>
    </row>
    <row r="117" spans="2:47" ht="12.75" customHeight="1" x14ac:dyDescent="0.2">
      <c r="B117" s="60"/>
      <c r="C117" s="60"/>
      <c r="D117" s="61"/>
      <c r="E117" s="702"/>
      <c r="F117" s="702"/>
      <c r="G117" s="702"/>
      <c r="H117" s="702"/>
      <c r="I117" s="702"/>
      <c r="J117" s="702"/>
      <c r="K117" s="702"/>
      <c r="L117" s="702"/>
      <c r="M117" s="702"/>
      <c r="N117" s="702"/>
      <c r="O117" s="702"/>
      <c r="P117" s="702"/>
      <c r="Q117" s="702"/>
      <c r="R117" s="702"/>
      <c r="S117" s="132"/>
      <c r="T117" s="132"/>
      <c r="U117" s="132"/>
      <c r="V117" s="132"/>
      <c r="W117" s="132"/>
      <c r="X117" s="132"/>
      <c r="Y117" s="132"/>
      <c r="Z117" s="133"/>
      <c r="AA117" s="132"/>
      <c r="AB117" s="261"/>
      <c r="AC117" s="132"/>
      <c r="AD117" s="132"/>
      <c r="AE117" s="132"/>
      <c r="AF117" s="132"/>
      <c r="AG117" s="258"/>
      <c r="AH117" s="132"/>
      <c r="AI117" s="132"/>
      <c r="AJ117" s="132"/>
      <c r="AK117" s="132"/>
      <c r="AL117" s="132"/>
      <c r="AM117" s="132"/>
      <c r="AN117" s="261"/>
      <c r="AO117" s="61"/>
      <c r="AP117" s="61"/>
      <c r="AQ117" s="61"/>
      <c r="AR117" s="61"/>
      <c r="AS117" s="61"/>
      <c r="AT117" s="245"/>
      <c r="AU117" s="114"/>
    </row>
    <row r="118" spans="2:47" x14ac:dyDescent="0.2">
      <c r="B118" s="60"/>
      <c r="C118" s="60"/>
      <c r="D118" s="61"/>
      <c r="E118" s="702"/>
      <c r="F118" s="702"/>
      <c r="G118" s="702"/>
      <c r="H118" s="702"/>
      <c r="I118" s="702"/>
      <c r="J118" s="702"/>
      <c r="K118" s="702"/>
      <c r="L118" s="702"/>
      <c r="M118" s="702"/>
      <c r="N118" s="702"/>
      <c r="O118" s="702"/>
      <c r="P118" s="702"/>
      <c r="Q118" s="702"/>
      <c r="R118" s="702"/>
      <c r="S118" s="61"/>
      <c r="T118" s="61"/>
      <c r="U118" s="61"/>
      <c r="V118" s="61"/>
      <c r="W118" s="61"/>
      <c r="X118" s="61"/>
      <c r="Y118" s="61"/>
      <c r="Z118" s="114"/>
      <c r="AB118" s="243"/>
      <c r="AC118" s="61"/>
      <c r="AD118" s="61"/>
      <c r="AE118" s="61"/>
      <c r="AF118" s="61"/>
      <c r="AG118" s="245"/>
      <c r="AH118" s="61"/>
      <c r="AI118" s="61"/>
      <c r="AJ118" s="61"/>
      <c r="AK118" s="61"/>
      <c r="AL118" s="61"/>
      <c r="AM118" s="61"/>
      <c r="AN118" s="243"/>
      <c r="AO118" s="61"/>
      <c r="AP118" s="61"/>
      <c r="AQ118" s="61"/>
      <c r="AR118" s="61"/>
      <c r="AS118" s="61"/>
      <c r="AT118" s="245"/>
      <c r="AU118" s="114"/>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4"/>
      <c r="AB119" s="243"/>
      <c r="AC119" s="61"/>
      <c r="AD119" s="61"/>
      <c r="AE119" s="61"/>
      <c r="AF119" s="61"/>
      <c r="AG119" s="245"/>
      <c r="AH119" s="61"/>
      <c r="AI119" s="61"/>
      <c r="AJ119" s="61"/>
      <c r="AK119" s="61"/>
      <c r="AL119" s="61"/>
      <c r="AM119" s="61"/>
      <c r="AN119" s="243"/>
      <c r="AO119" s="61"/>
      <c r="AP119" s="61"/>
      <c r="AQ119" s="61"/>
      <c r="AR119" s="61"/>
      <c r="AS119" s="61"/>
      <c r="AT119" s="245"/>
      <c r="AU119" s="114"/>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5"/>
      <c r="AB120" s="259"/>
      <c r="AC120" s="249"/>
      <c r="AD120" s="249"/>
      <c r="AE120" s="249"/>
      <c r="AF120" s="249"/>
      <c r="AG120" s="251"/>
      <c r="AH120" s="249"/>
      <c r="AI120" s="249"/>
      <c r="AJ120" s="249"/>
      <c r="AK120" s="249"/>
      <c r="AL120" s="249"/>
      <c r="AM120" s="249"/>
      <c r="AN120" s="259"/>
      <c r="AO120" s="249"/>
      <c r="AP120" s="249"/>
      <c r="AQ120" s="249"/>
      <c r="AR120" s="249"/>
      <c r="AS120" s="249"/>
      <c r="AT120" s="251"/>
      <c r="AU120" s="114"/>
    </row>
    <row r="121" spans="2:47" ht="13.5" thickTop="1" x14ac:dyDescent="0.2">
      <c r="B121" s="60"/>
      <c r="AU121" s="114"/>
    </row>
    <row r="122" spans="2:47" ht="12.95" customHeight="1" x14ac:dyDescent="0.2">
      <c r="B122" s="60"/>
      <c r="L122" s="61"/>
      <c r="M122" s="61"/>
      <c r="N122" s="61"/>
      <c r="O122" s="61"/>
      <c r="P122" s="61"/>
      <c r="Q122" s="61"/>
      <c r="R122" s="61"/>
      <c r="S122" s="61"/>
      <c r="T122" s="61"/>
      <c r="U122" s="61"/>
      <c r="V122" s="61"/>
      <c r="W122" s="61"/>
      <c r="X122" s="61"/>
      <c r="Y122" s="61"/>
      <c r="Z122" s="61"/>
      <c r="AA122" s="61"/>
      <c r="AB122" s="111"/>
      <c r="AC122" s="82"/>
      <c r="AD122" s="82"/>
      <c r="AE122" s="82"/>
      <c r="AF122" s="82"/>
      <c r="AG122" s="82"/>
      <c r="AH122" s="82"/>
      <c r="AI122" s="82"/>
      <c r="AJ122" s="82"/>
      <c r="AK122" s="82"/>
      <c r="AL122" s="82"/>
      <c r="AM122" s="82"/>
      <c r="AN122" s="82"/>
      <c r="AO122" s="82"/>
      <c r="AP122" s="82"/>
      <c r="AQ122" s="82"/>
      <c r="AR122" s="82"/>
      <c r="AS122" s="82"/>
      <c r="AT122" s="113"/>
      <c r="AU122" s="114"/>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4"/>
      <c r="AU123" s="114"/>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4"/>
      <c r="AU124" s="114"/>
    </row>
    <row r="125" spans="2:47" ht="12.95" customHeight="1" x14ac:dyDescent="0.2">
      <c r="B125" s="60"/>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4"/>
      <c r="AU125" s="114"/>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32"/>
      <c r="AL126" s="132"/>
      <c r="AM126" s="132"/>
      <c r="AN126" s="132"/>
      <c r="AO126" s="132"/>
      <c r="AP126" s="61"/>
      <c r="AQ126" s="61"/>
      <c r="AR126" s="61"/>
      <c r="AS126" s="61"/>
      <c r="AT126" s="114"/>
      <c r="AU126" s="114"/>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32"/>
      <c r="AL127" s="132"/>
      <c r="AM127" s="132"/>
      <c r="AN127" s="132"/>
      <c r="AO127" s="132"/>
      <c r="AP127" s="61"/>
      <c r="AQ127" s="61"/>
      <c r="AR127" s="61"/>
      <c r="AS127" s="61"/>
      <c r="AT127" s="114"/>
      <c r="AU127" s="114"/>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32"/>
      <c r="AL128" s="132"/>
      <c r="AM128" s="132"/>
      <c r="AN128" s="132"/>
      <c r="AO128" s="132"/>
      <c r="AP128" s="61"/>
      <c r="AQ128" s="61"/>
      <c r="AR128" s="61"/>
      <c r="AS128" s="61"/>
      <c r="AT128" s="114"/>
      <c r="AU128" s="114"/>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55"/>
      <c r="AG129" s="61"/>
      <c r="AH129" s="61"/>
      <c r="AI129" s="61"/>
      <c r="AJ129" s="61"/>
      <c r="AK129" s="132"/>
      <c r="AL129" s="132"/>
      <c r="AM129" s="132"/>
      <c r="AN129" s="132"/>
      <c r="AO129" s="132"/>
      <c r="AP129" s="61"/>
      <c r="AQ129" s="61"/>
      <c r="AR129" s="61"/>
      <c r="AS129" s="61"/>
      <c r="AT129" s="114"/>
      <c r="AU129" s="114"/>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32"/>
      <c r="AL130" s="132"/>
      <c r="AM130" s="132"/>
      <c r="AN130" s="132"/>
      <c r="AO130" s="132"/>
      <c r="AP130" s="61"/>
      <c r="AQ130" s="61"/>
      <c r="AR130" s="61"/>
      <c r="AS130" s="61"/>
      <c r="AT130" s="114"/>
      <c r="AU130" s="114"/>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16"/>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16"/>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16"/>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16"/>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72"/>
      <c r="AF135" s="136"/>
      <c r="AG135" s="136"/>
      <c r="AH135" s="136"/>
      <c r="AI135" s="136"/>
      <c r="AJ135" s="136"/>
      <c r="AK135" s="136"/>
      <c r="AL135" s="136"/>
      <c r="AM135" s="136"/>
      <c r="AN135" s="136"/>
      <c r="AO135" s="136"/>
      <c r="AP135" s="136"/>
      <c r="AQ135" s="136"/>
      <c r="AR135" s="136"/>
      <c r="AS135" s="136"/>
      <c r="AT135" s="137"/>
      <c r="AU135" s="114"/>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5"/>
    </row>
    <row r="137" spans="2:47" x14ac:dyDescent="0.2">
      <c r="AE137" s="212"/>
      <c r="AF137" s="132"/>
      <c r="AG137" s="132"/>
      <c r="AH137" s="132"/>
      <c r="AI137" s="132"/>
      <c r="AJ137" s="132"/>
      <c r="AK137" s="132"/>
      <c r="AL137" s="132"/>
      <c r="AM137" s="132"/>
      <c r="AN137" s="132"/>
      <c r="AO137" s="132"/>
      <c r="AP137" s="132"/>
      <c r="AQ137" s="132"/>
      <c r="AR137" s="132"/>
      <c r="AS137" s="132"/>
      <c r="AT137" s="132"/>
    </row>
    <row r="138" spans="2:47" x14ac:dyDescent="0.2">
      <c r="AE138" s="212"/>
      <c r="AF138" s="132"/>
      <c r="AG138" s="132"/>
      <c r="AH138" s="132"/>
      <c r="AI138" s="132"/>
      <c r="AJ138" s="132"/>
      <c r="AK138" s="132"/>
      <c r="AL138" s="132"/>
      <c r="AM138" s="132"/>
      <c r="AN138" s="132"/>
      <c r="AO138" s="132"/>
      <c r="AP138" s="132"/>
      <c r="AQ138" s="132"/>
      <c r="AR138" s="132"/>
      <c r="AS138" s="132"/>
      <c r="AT138" s="132"/>
    </row>
    <row r="139" spans="2:47" x14ac:dyDescent="0.2">
      <c r="AE139" s="212"/>
      <c r="AF139" s="132"/>
      <c r="AG139" s="132"/>
      <c r="AH139" s="132"/>
      <c r="AI139" s="132"/>
      <c r="AJ139" s="132"/>
      <c r="AK139" s="132"/>
      <c r="AL139" s="132"/>
      <c r="AM139" s="132"/>
      <c r="AN139" s="132"/>
      <c r="AO139" s="132"/>
      <c r="AP139" s="132"/>
      <c r="AQ139" s="132"/>
      <c r="AR139" s="132"/>
      <c r="AS139" s="132"/>
      <c r="AT139" s="132"/>
    </row>
    <row r="140" spans="2:47" x14ac:dyDescent="0.2">
      <c r="AE140" s="212"/>
      <c r="AF140" s="132"/>
      <c r="AG140" s="132"/>
      <c r="AH140" s="132"/>
      <c r="AI140" s="132"/>
      <c r="AJ140" s="132"/>
      <c r="AK140" s="132"/>
      <c r="AL140" s="132"/>
      <c r="AM140" s="132"/>
      <c r="AN140" s="132"/>
      <c r="AO140" s="132"/>
      <c r="AP140" s="132"/>
      <c r="AQ140" s="132"/>
      <c r="AR140" s="132"/>
      <c r="AS140" s="132"/>
      <c r="AT140" s="132"/>
    </row>
    <row r="141" spans="2:47" x14ac:dyDescent="0.2">
      <c r="AE141" s="212"/>
      <c r="AF141" s="132"/>
      <c r="AG141" s="132"/>
      <c r="AH141" s="132"/>
      <c r="AI141" s="132"/>
      <c r="AJ141" s="132"/>
      <c r="AK141" s="132"/>
      <c r="AL141" s="132"/>
      <c r="AM141" s="132"/>
      <c r="AN141" s="132"/>
      <c r="AO141" s="132"/>
      <c r="AP141" s="132"/>
      <c r="AQ141" s="132"/>
      <c r="AR141" s="132"/>
      <c r="AS141" s="132"/>
      <c r="AT141" s="132"/>
    </row>
    <row r="142" spans="2:47" x14ac:dyDescent="0.2">
      <c r="AE142" s="212"/>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2"/>
      <c r="AF143" s="132"/>
      <c r="AG143" s="132"/>
      <c r="AH143" s="132"/>
      <c r="AI143" s="132"/>
      <c r="AJ143" s="132"/>
      <c r="AK143" s="132"/>
      <c r="AL143" s="132"/>
      <c r="AM143" s="132"/>
      <c r="AN143" s="132"/>
      <c r="AO143" s="132"/>
      <c r="AP143" s="132"/>
      <c r="AQ143" s="132"/>
      <c r="AR143" s="132"/>
      <c r="AS143" s="132"/>
      <c r="AT143" s="132"/>
    </row>
    <row r="144" spans="2:47" x14ac:dyDescent="0.2">
      <c r="AE144" s="212"/>
      <c r="AG144" s="132"/>
      <c r="AH144" s="132"/>
      <c r="AI144" s="132"/>
      <c r="AJ144" s="132"/>
      <c r="AK144" s="132"/>
      <c r="AL144" s="132"/>
      <c r="AM144" s="132"/>
      <c r="AN144" s="132"/>
      <c r="AO144" s="132"/>
    </row>
    <row r="145" spans="24:47" x14ac:dyDescent="0.2">
      <c r="AE145" s="212"/>
      <c r="AF145" s="132"/>
      <c r="AG145" s="132"/>
      <c r="AH145" s="132"/>
      <c r="AI145" s="132"/>
      <c r="AJ145" s="132"/>
      <c r="AK145" s="132"/>
      <c r="AL145" s="132"/>
      <c r="AM145" s="132"/>
      <c r="AN145" s="132"/>
      <c r="AO145" s="132"/>
      <c r="AP145" s="132"/>
      <c r="AQ145" s="132"/>
      <c r="AR145" s="132"/>
      <c r="AS145" s="132"/>
      <c r="AT145" s="132"/>
    </row>
    <row r="146" spans="24:47" x14ac:dyDescent="0.2">
      <c r="AE146" s="212"/>
      <c r="AF146" s="132"/>
      <c r="AG146" s="132"/>
      <c r="AH146" s="132"/>
      <c r="AI146" s="132"/>
      <c r="AJ146" s="132"/>
      <c r="AK146" s="132"/>
      <c r="AL146" s="132"/>
      <c r="AM146" s="132"/>
      <c r="AN146" s="132"/>
      <c r="AO146" s="132"/>
      <c r="AP146" s="132"/>
      <c r="AQ146" s="132"/>
      <c r="AR146" s="132"/>
      <c r="AS146" s="132"/>
      <c r="AT146" s="132"/>
      <c r="AU146" s="213"/>
    </row>
    <row r="147" spans="24:47" x14ac:dyDescent="0.2">
      <c r="AE147" s="212"/>
      <c r="AF147" s="132"/>
      <c r="AG147" s="132"/>
      <c r="AH147" s="132"/>
      <c r="AI147" s="132"/>
      <c r="AJ147" s="132"/>
      <c r="AK147" s="132"/>
      <c r="AL147" s="132"/>
      <c r="AM147" s="132"/>
      <c r="AN147" s="132"/>
      <c r="AO147" s="132"/>
      <c r="AP147" s="132"/>
      <c r="AQ147" s="132"/>
      <c r="AR147" s="132"/>
      <c r="AS147" s="132"/>
      <c r="AT147" s="132"/>
      <c r="AU147" s="213"/>
    </row>
    <row r="148" spans="24:47" x14ac:dyDescent="0.2">
      <c r="AE148" s="212"/>
      <c r="AF148" s="132"/>
      <c r="AG148" s="132"/>
      <c r="AH148" s="132"/>
      <c r="AI148" s="132"/>
      <c r="AJ148" s="132"/>
      <c r="AK148" s="132"/>
      <c r="AL148" s="132"/>
      <c r="AM148" s="132"/>
      <c r="AN148" s="132"/>
      <c r="AO148" s="132"/>
      <c r="AP148" s="132"/>
      <c r="AQ148" s="132"/>
      <c r="AR148" s="132"/>
      <c r="AS148" s="132"/>
      <c r="AT148" s="132"/>
      <c r="AU148" s="213"/>
    </row>
    <row r="149" spans="24:47" x14ac:dyDescent="0.2">
      <c r="AE149" s="212"/>
      <c r="AF149" s="132"/>
      <c r="AG149" s="132"/>
      <c r="AH149" s="132"/>
      <c r="AI149" s="132"/>
      <c r="AJ149" s="132"/>
      <c r="AK149" s="132"/>
      <c r="AL149" s="132"/>
      <c r="AM149" s="132"/>
      <c r="AN149" s="132"/>
      <c r="AO149" s="132"/>
      <c r="AP149" s="132"/>
      <c r="AQ149" s="132"/>
      <c r="AR149" s="132"/>
      <c r="AS149" s="132"/>
      <c r="AT149" s="132"/>
      <c r="AU149" s="213"/>
    </row>
    <row r="150" spans="24:47" x14ac:dyDescent="0.2">
      <c r="AE150" s="212"/>
      <c r="AF150" s="132"/>
      <c r="AG150" s="132"/>
      <c r="AH150" s="132"/>
      <c r="AI150" s="132"/>
      <c r="AJ150" s="132"/>
      <c r="AK150" s="132"/>
      <c r="AL150" s="132"/>
      <c r="AM150" s="132"/>
      <c r="AN150" s="132"/>
      <c r="AO150" s="132"/>
      <c r="AP150" s="132"/>
      <c r="AQ150" s="132"/>
      <c r="AR150" s="132"/>
      <c r="AS150" s="132"/>
      <c r="AT150" s="132"/>
      <c r="AU150" s="213"/>
    </row>
    <row r="151" spans="24:47" x14ac:dyDescent="0.2">
      <c r="AE151" s="212"/>
      <c r="AF151" s="132"/>
      <c r="AG151" s="132"/>
      <c r="AH151" s="132"/>
      <c r="AI151" s="132"/>
      <c r="AJ151" s="132"/>
      <c r="AK151" s="132"/>
      <c r="AL151" s="132"/>
      <c r="AM151" s="132"/>
      <c r="AN151" s="132"/>
      <c r="AO151" s="132"/>
      <c r="AP151" s="132"/>
      <c r="AQ151" s="132"/>
      <c r="AR151" s="132"/>
      <c r="AS151" s="132"/>
      <c r="AT151" s="132"/>
      <c r="AU151" s="213"/>
    </row>
    <row r="152" spans="24:47" x14ac:dyDescent="0.2">
      <c r="AE152" s="212"/>
      <c r="AF152" s="132"/>
      <c r="AG152" s="132"/>
      <c r="AH152" s="132"/>
      <c r="AI152" s="132"/>
      <c r="AJ152" s="132"/>
      <c r="AK152" s="132"/>
      <c r="AL152" s="132"/>
      <c r="AM152" s="132"/>
      <c r="AN152" s="132"/>
      <c r="AO152" s="132"/>
      <c r="AP152" s="132"/>
      <c r="AQ152" s="132"/>
      <c r="AR152" s="132"/>
      <c r="AS152" s="132"/>
      <c r="AT152" s="132"/>
      <c r="AU152" s="213"/>
    </row>
    <row r="153" spans="24:47" x14ac:dyDescent="0.2">
      <c r="AE153" s="212"/>
      <c r="AF153" s="132"/>
      <c r="AG153" s="132"/>
      <c r="AH153" s="132"/>
      <c r="AI153" s="132"/>
      <c r="AJ153" s="132"/>
      <c r="AK153" s="132"/>
      <c r="AL153" s="132"/>
      <c r="AM153" s="132"/>
      <c r="AN153" s="132"/>
      <c r="AO153" s="132"/>
      <c r="AP153" s="132"/>
      <c r="AQ153" s="132"/>
      <c r="AR153" s="132"/>
      <c r="AS153" s="132"/>
      <c r="AT153" s="132"/>
      <c r="AU153" s="213"/>
    </row>
    <row r="154" spans="24:47" x14ac:dyDescent="0.2">
      <c r="AE154" s="212"/>
      <c r="AF154" s="132"/>
      <c r="AG154" s="132"/>
      <c r="AH154" s="132"/>
      <c r="AI154" s="132"/>
      <c r="AJ154" s="132"/>
      <c r="AK154" s="132"/>
      <c r="AL154" s="132"/>
      <c r="AM154" s="132"/>
      <c r="AN154" s="132"/>
      <c r="AO154" s="132"/>
      <c r="AP154" s="132"/>
      <c r="AQ154" s="132"/>
      <c r="AR154" s="132"/>
      <c r="AS154" s="132"/>
      <c r="AT154" s="132"/>
      <c r="AU154" s="213"/>
    </row>
    <row r="155" spans="24:47" x14ac:dyDescent="0.2">
      <c r="AE155" s="212"/>
      <c r="AF155" s="132"/>
      <c r="AG155" s="132"/>
      <c r="AH155" s="132"/>
      <c r="AI155" s="132"/>
      <c r="AJ155" s="132"/>
      <c r="AK155" s="132"/>
      <c r="AL155" s="132"/>
      <c r="AM155" s="132"/>
      <c r="AN155" s="132"/>
      <c r="AO155" s="132"/>
      <c r="AP155" s="132"/>
      <c r="AQ155" s="132"/>
      <c r="AR155" s="132"/>
      <c r="AS155" s="132"/>
      <c r="AT155" s="132"/>
      <c r="AU155" s="213"/>
    </row>
    <row r="156" spans="24:47" x14ac:dyDescent="0.2">
      <c r="AE156" s="212"/>
      <c r="AF156" s="132"/>
      <c r="AG156" s="132"/>
      <c r="AH156" s="132"/>
      <c r="AI156" s="132"/>
      <c r="AJ156" s="132"/>
      <c r="AK156" s="132"/>
      <c r="AL156" s="132"/>
      <c r="AM156" s="132"/>
      <c r="AN156" s="132"/>
      <c r="AO156" s="132"/>
      <c r="AP156" s="132"/>
      <c r="AQ156" s="132"/>
      <c r="AR156" s="132"/>
      <c r="AS156" s="132"/>
      <c r="AT156" s="132"/>
      <c r="AU156" s="213"/>
    </row>
    <row r="157" spans="24:47" x14ac:dyDescent="0.2">
      <c r="AE157" s="212"/>
      <c r="AF157" s="132"/>
      <c r="AG157" s="132"/>
      <c r="AH157" s="132"/>
      <c r="AI157" s="132"/>
      <c r="AJ157" s="132"/>
      <c r="AK157" s="132"/>
      <c r="AL157" s="132"/>
      <c r="AM157" s="132"/>
      <c r="AN157" s="132"/>
      <c r="AO157" s="132"/>
      <c r="AP157" s="132"/>
      <c r="AQ157" s="132"/>
      <c r="AR157" s="132"/>
      <c r="AS157" s="132"/>
      <c r="AT157" s="132"/>
      <c r="AU157" s="213"/>
    </row>
    <row r="158" spans="24:47" ht="15" customHeight="1" x14ac:dyDescent="0.2">
      <c r="X158" s="132"/>
      <c r="Y158" s="132"/>
      <c r="AE158" s="212"/>
      <c r="AF158" s="213"/>
      <c r="AG158" s="213"/>
      <c r="AH158" s="213"/>
      <c r="AI158" s="213"/>
      <c r="AJ158" s="213"/>
      <c r="AK158" s="213"/>
      <c r="AL158" s="213"/>
      <c r="AM158" s="213"/>
      <c r="AN158" s="213"/>
      <c r="AO158" s="213"/>
      <c r="AP158" s="213"/>
      <c r="AQ158" s="213"/>
      <c r="AR158" s="213"/>
      <c r="AS158" s="213"/>
      <c r="AT158" s="213"/>
      <c r="AU158" s="213"/>
    </row>
    <row r="159" spans="24:47" x14ac:dyDescent="0.2">
      <c r="AE159" s="212"/>
      <c r="AF159" s="132"/>
      <c r="AG159" s="132"/>
      <c r="AH159" s="132"/>
      <c r="AI159" s="132"/>
      <c r="AJ159" s="132"/>
      <c r="AK159" s="132"/>
      <c r="AL159" s="132"/>
      <c r="AM159" s="132"/>
      <c r="AN159" s="132"/>
      <c r="AO159" s="132"/>
      <c r="AP159" s="132"/>
      <c r="AQ159" s="132"/>
      <c r="AR159" s="132"/>
      <c r="AS159" s="132"/>
      <c r="AT159" s="132"/>
      <c r="AU159" s="213"/>
    </row>
    <row r="160" spans="24:47" x14ac:dyDescent="0.2">
      <c r="AE160" s="212"/>
      <c r="AF160" s="132"/>
      <c r="AG160" s="132"/>
      <c r="AH160" s="132"/>
      <c r="AI160" s="132"/>
      <c r="AJ160" s="132"/>
      <c r="AK160" s="132"/>
      <c r="AL160" s="132"/>
      <c r="AM160" s="132"/>
      <c r="AN160" s="132"/>
      <c r="AO160" s="132"/>
      <c r="AP160" s="132"/>
      <c r="AQ160" s="132"/>
      <c r="AR160" s="132"/>
      <c r="AS160" s="132"/>
      <c r="AT160" s="132"/>
      <c r="AU160" s="213"/>
    </row>
    <row r="161" spans="24:47" x14ac:dyDescent="0.2">
      <c r="AE161" s="212"/>
      <c r="AF161" s="132"/>
      <c r="AG161" s="132"/>
      <c r="AH161" s="132"/>
      <c r="AI161" s="132"/>
      <c r="AJ161" s="132"/>
      <c r="AK161" s="132"/>
      <c r="AL161" s="132"/>
      <c r="AM161" s="132"/>
      <c r="AN161" s="132"/>
      <c r="AO161" s="132"/>
      <c r="AP161" s="132"/>
      <c r="AQ161" s="132"/>
      <c r="AR161" s="132"/>
      <c r="AS161" s="132"/>
      <c r="AT161" s="132"/>
      <c r="AU161" s="213"/>
    </row>
    <row r="162" spans="24:47" x14ac:dyDescent="0.2">
      <c r="AE162" s="212"/>
      <c r="AF162" s="132"/>
      <c r="AG162" s="132"/>
      <c r="AH162" s="132"/>
      <c r="AI162" s="132"/>
      <c r="AJ162" s="132"/>
      <c r="AK162" s="132"/>
      <c r="AL162" s="132"/>
      <c r="AM162" s="132"/>
      <c r="AN162" s="132"/>
      <c r="AO162" s="132"/>
      <c r="AP162" s="132"/>
      <c r="AQ162" s="132"/>
      <c r="AR162" s="132"/>
      <c r="AS162" s="132"/>
      <c r="AT162" s="132"/>
      <c r="AU162" s="213"/>
    </row>
    <row r="163" spans="24:47" x14ac:dyDescent="0.2">
      <c r="AE163" s="212"/>
      <c r="AF163" s="132"/>
      <c r="AG163" s="132"/>
      <c r="AH163" s="132"/>
      <c r="AI163" s="132"/>
      <c r="AJ163" s="132"/>
      <c r="AK163" s="132"/>
      <c r="AL163" s="132"/>
      <c r="AM163" s="132"/>
      <c r="AN163" s="132"/>
      <c r="AO163" s="132"/>
      <c r="AP163" s="132"/>
      <c r="AQ163" s="132"/>
      <c r="AR163" s="132"/>
      <c r="AS163" s="132"/>
      <c r="AT163" s="132"/>
      <c r="AU163" s="213"/>
    </row>
    <row r="164" spans="24:47" x14ac:dyDescent="0.2">
      <c r="AE164" s="212"/>
      <c r="AF164" s="132"/>
      <c r="AG164" s="132"/>
      <c r="AH164" s="132"/>
      <c r="AI164" s="132"/>
      <c r="AJ164" s="132"/>
      <c r="AK164" s="132"/>
      <c r="AL164" s="132"/>
      <c r="AM164" s="132"/>
      <c r="AN164" s="132"/>
      <c r="AO164" s="132"/>
      <c r="AP164" s="132"/>
      <c r="AQ164" s="132"/>
      <c r="AR164" s="132"/>
      <c r="AS164" s="132"/>
      <c r="AT164" s="132"/>
      <c r="AU164" s="213"/>
    </row>
    <row r="165" spans="24:47" x14ac:dyDescent="0.2">
      <c r="AE165" s="212"/>
      <c r="AF165" s="132"/>
      <c r="AG165" s="132"/>
      <c r="AH165" s="132"/>
      <c r="AI165" s="132"/>
      <c r="AJ165" s="132"/>
      <c r="AK165" s="132"/>
      <c r="AL165" s="132"/>
      <c r="AM165" s="132"/>
      <c r="AN165" s="132"/>
      <c r="AO165" s="132"/>
      <c r="AP165" s="132"/>
      <c r="AQ165" s="132"/>
      <c r="AR165" s="132"/>
      <c r="AS165" s="132"/>
      <c r="AT165" s="132"/>
      <c r="AU165" s="213"/>
    </row>
    <row r="166" spans="24:47" x14ac:dyDescent="0.2">
      <c r="AE166" s="212"/>
      <c r="AF166" s="132"/>
      <c r="AG166" s="132"/>
      <c r="AH166" s="132"/>
      <c r="AI166" s="132"/>
      <c r="AJ166" s="132"/>
      <c r="AK166" s="132"/>
      <c r="AL166" s="132"/>
      <c r="AM166" s="132"/>
      <c r="AN166" s="132"/>
      <c r="AO166" s="132"/>
      <c r="AP166" s="132"/>
      <c r="AQ166" s="132"/>
      <c r="AR166" s="132"/>
      <c r="AS166" s="132"/>
      <c r="AT166" s="132"/>
    </row>
    <row r="167" spans="24:47" x14ac:dyDescent="0.2">
      <c r="AE167" s="212"/>
      <c r="AF167" s="132"/>
      <c r="AG167" s="132"/>
      <c r="AH167" s="132"/>
      <c r="AI167" s="132"/>
      <c r="AJ167" s="132"/>
      <c r="AK167" s="132"/>
      <c r="AL167" s="132"/>
      <c r="AM167" s="132"/>
      <c r="AN167" s="132"/>
      <c r="AO167" s="132"/>
      <c r="AP167" s="132"/>
      <c r="AQ167" s="132"/>
      <c r="AR167" s="132"/>
      <c r="AS167" s="132"/>
      <c r="AT167" s="132"/>
    </row>
    <row r="168" spans="24:47" x14ac:dyDescent="0.2">
      <c r="AE168" s="212"/>
      <c r="AF168" s="132"/>
      <c r="AG168" s="132"/>
      <c r="AH168" s="132"/>
      <c r="AI168" s="132"/>
      <c r="AJ168" s="132"/>
      <c r="AK168" s="132"/>
      <c r="AL168" s="132"/>
      <c r="AM168" s="132"/>
      <c r="AN168" s="132"/>
      <c r="AO168" s="132"/>
      <c r="AP168" s="132"/>
      <c r="AQ168" s="132"/>
      <c r="AR168" s="132"/>
      <c r="AS168" s="132"/>
      <c r="AT168" s="132"/>
    </row>
    <row r="169" spans="24:47" x14ac:dyDescent="0.2">
      <c r="AE169" s="212"/>
      <c r="AF169" s="132"/>
      <c r="AG169" s="132"/>
      <c r="AH169" s="132"/>
      <c r="AI169" s="132"/>
      <c r="AJ169" s="132"/>
      <c r="AK169" s="132"/>
      <c r="AL169" s="132"/>
      <c r="AM169" s="132"/>
      <c r="AN169" s="132"/>
      <c r="AO169" s="132"/>
      <c r="AP169" s="132"/>
      <c r="AQ169" s="132"/>
      <c r="AR169" s="132"/>
      <c r="AS169" s="132"/>
      <c r="AT169" s="132"/>
    </row>
    <row r="170" spans="24:47" x14ac:dyDescent="0.2">
      <c r="AE170" s="212"/>
      <c r="AF170" s="132"/>
      <c r="AG170" s="132"/>
      <c r="AH170" s="132"/>
      <c r="AI170" s="132"/>
      <c r="AJ170" s="132"/>
      <c r="AK170" s="132"/>
      <c r="AL170" s="132"/>
      <c r="AM170" s="132"/>
      <c r="AN170" s="132"/>
      <c r="AO170" s="132"/>
      <c r="AP170" s="132"/>
      <c r="AQ170" s="132"/>
      <c r="AR170" s="132"/>
      <c r="AS170" s="132"/>
      <c r="AT170" s="132"/>
    </row>
    <row r="171" spans="24:47" x14ac:dyDescent="0.2">
      <c r="AE171" s="212"/>
      <c r="AF171" s="132"/>
      <c r="AG171" s="132"/>
      <c r="AH171" s="132"/>
      <c r="AI171" s="132"/>
      <c r="AJ171" s="132"/>
      <c r="AK171" s="132"/>
      <c r="AL171" s="132"/>
      <c r="AM171" s="132"/>
      <c r="AN171" s="132"/>
      <c r="AO171" s="132"/>
      <c r="AP171" s="132"/>
      <c r="AQ171" s="132"/>
      <c r="AR171" s="132"/>
      <c r="AS171" s="132"/>
      <c r="AT171" s="132"/>
    </row>
    <row r="172" spans="24:47" x14ac:dyDescent="0.2">
      <c r="AE172" s="212"/>
      <c r="AG172" s="132"/>
      <c r="AH172" s="132"/>
      <c r="AI172" s="132"/>
      <c r="AJ172" s="132"/>
      <c r="AK172" s="132"/>
      <c r="AL172" s="132"/>
      <c r="AM172" s="132"/>
      <c r="AN172" s="132"/>
    </row>
    <row r="173" spans="24:47" ht="15" customHeight="1" x14ac:dyDescent="0.2">
      <c r="X173" s="132"/>
      <c r="Y173" s="132"/>
      <c r="AE173" s="212"/>
      <c r="AF173" s="132"/>
      <c r="AG173" s="132"/>
      <c r="AH173" s="132"/>
      <c r="AI173" s="132"/>
      <c r="AJ173" s="132"/>
      <c r="AK173" s="132"/>
      <c r="AL173" s="132"/>
      <c r="AM173" s="132"/>
      <c r="AN173" s="132"/>
      <c r="AO173" s="132"/>
      <c r="AP173" s="132"/>
      <c r="AQ173" s="132"/>
      <c r="AR173" s="132"/>
      <c r="AS173" s="132"/>
      <c r="AT173" s="132"/>
    </row>
    <row r="174" spans="24:47" x14ac:dyDescent="0.2">
      <c r="AE174" s="212"/>
      <c r="AF174" s="132"/>
      <c r="AG174" s="132"/>
      <c r="AH174" s="132"/>
      <c r="AI174" s="132"/>
      <c r="AJ174" s="132"/>
      <c r="AK174" s="132"/>
      <c r="AL174" s="132"/>
      <c r="AM174" s="132"/>
      <c r="AN174" s="132"/>
      <c r="AO174" s="132"/>
      <c r="AP174" s="132"/>
      <c r="AQ174" s="132"/>
      <c r="AR174" s="132"/>
      <c r="AS174" s="132"/>
      <c r="AT174" s="132"/>
    </row>
    <row r="175" spans="24:47" x14ac:dyDescent="0.2">
      <c r="AE175" s="212"/>
      <c r="AF175" s="132"/>
      <c r="AG175" s="132"/>
      <c r="AH175" s="132"/>
      <c r="AI175" s="132"/>
      <c r="AJ175" s="132"/>
      <c r="AK175" s="132"/>
      <c r="AL175" s="132"/>
      <c r="AM175" s="132"/>
      <c r="AN175" s="132"/>
      <c r="AO175" s="132"/>
      <c r="AP175" s="132"/>
      <c r="AQ175" s="132"/>
      <c r="AR175" s="132"/>
      <c r="AS175" s="132"/>
      <c r="AT175" s="132"/>
    </row>
    <row r="176" spans="24:47" x14ac:dyDescent="0.2">
      <c r="AE176" s="212"/>
      <c r="AF176" s="132"/>
      <c r="AG176" s="132"/>
      <c r="AH176" s="132"/>
      <c r="AI176" s="132"/>
      <c r="AJ176" s="132"/>
      <c r="AK176" s="132"/>
      <c r="AL176" s="132"/>
      <c r="AM176" s="132"/>
      <c r="AN176" s="132"/>
      <c r="AO176" s="132"/>
      <c r="AP176" s="132"/>
      <c r="AQ176" s="132"/>
      <c r="AR176" s="132"/>
      <c r="AS176" s="132"/>
      <c r="AT176" s="132"/>
    </row>
    <row r="177" spans="31:46" x14ac:dyDescent="0.2">
      <c r="AE177" s="212"/>
      <c r="AF177" s="132"/>
      <c r="AG177" s="132"/>
      <c r="AH177" s="132"/>
      <c r="AI177" s="132"/>
      <c r="AJ177" s="132"/>
      <c r="AK177" s="132"/>
      <c r="AL177" s="132"/>
      <c r="AM177" s="132"/>
      <c r="AN177" s="132"/>
      <c r="AO177" s="132"/>
      <c r="AP177" s="132"/>
      <c r="AQ177" s="132"/>
      <c r="AR177" s="132"/>
      <c r="AS177" s="132"/>
      <c r="AT177" s="132"/>
    </row>
    <row r="178" spans="31:46" x14ac:dyDescent="0.2">
      <c r="AE178" s="212"/>
      <c r="AF178" s="132"/>
      <c r="AG178" s="132"/>
      <c r="AH178" s="132"/>
      <c r="AI178" s="132"/>
      <c r="AJ178" s="132"/>
      <c r="AK178" s="132"/>
      <c r="AL178" s="132"/>
      <c r="AM178" s="132"/>
      <c r="AN178" s="132"/>
      <c r="AO178" s="132"/>
      <c r="AP178" s="132"/>
      <c r="AQ178" s="132"/>
      <c r="AR178" s="132"/>
      <c r="AS178" s="132"/>
      <c r="AT178" s="132"/>
    </row>
    <row r="179" spans="31:46" x14ac:dyDescent="0.2">
      <c r="AE179" s="212"/>
      <c r="AF179" s="132"/>
      <c r="AG179" s="132"/>
      <c r="AH179" s="132"/>
      <c r="AI179" s="132"/>
      <c r="AJ179" s="132"/>
      <c r="AK179" s="132"/>
      <c r="AL179" s="132"/>
      <c r="AM179" s="132"/>
      <c r="AN179" s="132"/>
      <c r="AO179" s="132"/>
      <c r="AP179" s="132"/>
      <c r="AQ179" s="132"/>
      <c r="AR179" s="132"/>
      <c r="AS179" s="132"/>
      <c r="AT179" s="132"/>
    </row>
    <row r="180" spans="31:46" x14ac:dyDescent="0.2">
      <c r="AE180" s="212"/>
      <c r="AF180" s="132"/>
      <c r="AG180" s="132"/>
      <c r="AH180" s="132"/>
      <c r="AI180" s="132"/>
      <c r="AJ180" s="132"/>
      <c r="AK180" s="132"/>
      <c r="AL180" s="132"/>
      <c r="AM180" s="132"/>
      <c r="AN180" s="132"/>
      <c r="AO180" s="132"/>
      <c r="AP180" s="132"/>
      <c r="AQ180" s="132"/>
      <c r="AR180" s="132"/>
      <c r="AS180" s="132"/>
      <c r="AT180" s="132"/>
    </row>
    <row r="181" spans="31:46" x14ac:dyDescent="0.2">
      <c r="AE181" s="212"/>
      <c r="AF181" s="132"/>
      <c r="AG181" s="132"/>
      <c r="AH181" s="132"/>
      <c r="AI181" s="132"/>
      <c r="AJ181" s="132"/>
      <c r="AK181" s="132"/>
      <c r="AL181" s="132"/>
      <c r="AM181" s="132"/>
      <c r="AN181" s="132"/>
      <c r="AO181" s="132"/>
      <c r="AP181" s="132"/>
      <c r="AQ181" s="132"/>
      <c r="AR181" s="132"/>
      <c r="AS181" s="132"/>
      <c r="AT181" s="132"/>
    </row>
    <row r="182" spans="31:46" x14ac:dyDescent="0.2">
      <c r="AE182" s="212"/>
      <c r="AF182" s="132"/>
      <c r="AG182" s="132"/>
      <c r="AH182" s="132"/>
      <c r="AI182" s="132"/>
      <c r="AJ182" s="132"/>
      <c r="AK182" s="132"/>
      <c r="AL182" s="132"/>
      <c r="AM182" s="132"/>
      <c r="AN182" s="132"/>
      <c r="AO182" s="132"/>
      <c r="AP182" s="132"/>
      <c r="AQ182" s="132"/>
      <c r="AR182" s="132"/>
      <c r="AS182" s="132"/>
      <c r="AT182" s="132"/>
    </row>
    <row r="183" spans="31:46" x14ac:dyDescent="0.2">
      <c r="AE183" s="212"/>
      <c r="AF183" s="132"/>
      <c r="AG183" s="132"/>
      <c r="AH183" s="132"/>
      <c r="AI183" s="132"/>
      <c r="AJ183" s="132"/>
      <c r="AK183" s="132"/>
      <c r="AL183" s="132"/>
      <c r="AM183" s="132"/>
      <c r="AN183" s="132"/>
      <c r="AO183" s="132"/>
      <c r="AP183" s="132"/>
      <c r="AQ183" s="132"/>
      <c r="AR183" s="132"/>
      <c r="AS183" s="132"/>
      <c r="AT183" s="132"/>
    </row>
    <row r="184" spans="31:46" x14ac:dyDescent="0.2">
      <c r="AE184" s="212"/>
      <c r="AF184" s="132"/>
      <c r="AG184" s="132"/>
      <c r="AH184" s="132"/>
      <c r="AI184" s="132"/>
      <c r="AJ184" s="132"/>
      <c r="AK184" s="132"/>
      <c r="AL184" s="132"/>
      <c r="AM184" s="132"/>
      <c r="AN184" s="132"/>
      <c r="AO184" s="132"/>
      <c r="AP184" s="132"/>
      <c r="AQ184" s="132"/>
      <c r="AR184" s="132"/>
      <c r="AS184" s="132"/>
      <c r="AT184" s="132"/>
    </row>
    <row r="185" spans="31:46" x14ac:dyDescent="0.2">
      <c r="AE185" s="212"/>
      <c r="AF185" s="132"/>
      <c r="AG185" s="132"/>
      <c r="AH185" s="132"/>
      <c r="AI185" s="132"/>
      <c r="AJ185" s="132"/>
      <c r="AK185" s="132"/>
      <c r="AL185" s="132"/>
      <c r="AM185" s="132"/>
      <c r="AN185" s="132"/>
      <c r="AO185" s="132"/>
      <c r="AP185" s="132"/>
      <c r="AQ185" s="132"/>
      <c r="AR185" s="132"/>
      <c r="AS185" s="132"/>
      <c r="AT185" s="132"/>
    </row>
    <row r="186" spans="31:46" x14ac:dyDescent="0.2">
      <c r="AE186" s="212"/>
      <c r="AG186" s="132"/>
      <c r="AH186" s="132"/>
      <c r="AI186" s="132"/>
      <c r="AJ186" s="132"/>
      <c r="AK186" s="132"/>
      <c r="AL186" s="132"/>
      <c r="AM186" s="132"/>
      <c r="AN186" s="132"/>
    </row>
    <row r="187" spans="31:46" x14ac:dyDescent="0.2">
      <c r="AE187" s="212"/>
      <c r="AF187" s="132"/>
      <c r="AG187" s="132"/>
      <c r="AH187" s="132"/>
      <c r="AI187" s="132"/>
      <c r="AJ187" s="132"/>
      <c r="AK187" s="132"/>
      <c r="AL187" s="132"/>
      <c r="AM187" s="132"/>
      <c r="AN187" s="132"/>
      <c r="AO187" s="132"/>
      <c r="AP187" s="132"/>
      <c r="AQ187" s="132"/>
      <c r="AR187" s="132"/>
      <c r="AS187" s="132"/>
      <c r="AT187" s="132"/>
    </row>
    <row r="188" spans="31:46" x14ac:dyDescent="0.2">
      <c r="AE188" s="212"/>
      <c r="AF188" s="132"/>
      <c r="AG188" s="132"/>
      <c r="AH188" s="132"/>
      <c r="AI188" s="132"/>
      <c r="AJ188" s="132"/>
      <c r="AK188" s="132"/>
      <c r="AL188" s="132"/>
      <c r="AM188" s="132"/>
      <c r="AN188" s="132"/>
      <c r="AO188" s="132"/>
      <c r="AP188" s="132"/>
      <c r="AQ188" s="132"/>
      <c r="AR188" s="132"/>
      <c r="AS188" s="132"/>
      <c r="AT188" s="132"/>
    </row>
    <row r="189" spans="31:46" x14ac:dyDescent="0.2">
      <c r="AE189" s="212"/>
      <c r="AF189" s="132"/>
      <c r="AG189" s="132"/>
      <c r="AH189" s="132"/>
      <c r="AI189" s="132"/>
      <c r="AJ189" s="132"/>
      <c r="AK189" s="132"/>
      <c r="AL189" s="132"/>
      <c r="AM189" s="132"/>
      <c r="AN189" s="132"/>
      <c r="AO189" s="132"/>
      <c r="AP189" s="132"/>
      <c r="AQ189" s="132"/>
      <c r="AR189" s="132"/>
      <c r="AS189" s="132"/>
      <c r="AT189" s="132"/>
    </row>
    <row r="190" spans="31:46" x14ac:dyDescent="0.2">
      <c r="AE190" s="212"/>
      <c r="AF190" s="132"/>
      <c r="AG190" s="132"/>
      <c r="AH190" s="132"/>
      <c r="AI190" s="132"/>
      <c r="AJ190" s="132"/>
      <c r="AK190" s="132"/>
      <c r="AL190" s="132"/>
      <c r="AM190" s="132"/>
      <c r="AN190" s="132"/>
      <c r="AO190" s="132"/>
      <c r="AP190" s="132"/>
      <c r="AQ190" s="132"/>
      <c r="AR190" s="132"/>
      <c r="AS190" s="132"/>
      <c r="AT190" s="132"/>
    </row>
    <row r="191" spans="31:46" x14ac:dyDescent="0.2">
      <c r="AE191" s="212"/>
      <c r="AF191" s="132"/>
      <c r="AG191" s="132"/>
      <c r="AH191" s="132"/>
      <c r="AI191" s="132"/>
      <c r="AJ191" s="132"/>
      <c r="AK191" s="132"/>
      <c r="AL191" s="132"/>
      <c r="AM191" s="132"/>
      <c r="AN191" s="132"/>
      <c r="AO191" s="132"/>
      <c r="AP191" s="132"/>
      <c r="AQ191" s="132"/>
      <c r="AR191" s="132"/>
      <c r="AS191" s="132"/>
      <c r="AT191" s="132"/>
    </row>
    <row r="192" spans="31:46" x14ac:dyDescent="0.2">
      <c r="AE192" s="212"/>
      <c r="AF192" s="132"/>
      <c r="AG192" s="132"/>
      <c r="AH192" s="132"/>
      <c r="AI192" s="132"/>
      <c r="AJ192" s="132"/>
      <c r="AK192" s="132"/>
      <c r="AL192" s="132"/>
      <c r="AM192" s="132"/>
      <c r="AN192" s="132"/>
      <c r="AO192" s="132"/>
      <c r="AP192" s="132"/>
      <c r="AQ192" s="132"/>
      <c r="AR192" s="132"/>
      <c r="AS192" s="132"/>
      <c r="AT192" s="132"/>
    </row>
    <row r="193" spans="31:46" x14ac:dyDescent="0.2">
      <c r="AE193" s="212"/>
      <c r="AF193" s="132"/>
      <c r="AG193" s="132"/>
      <c r="AH193" s="132"/>
      <c r="AI193" s="132"/>
      <c r="AJ193" s="132"/>
      <c r="AK193" s="132"/>
      <c r="AL193" s="132"/>
      <c r="AM193" s="132"/>
      <c r="AN193" s="132"/>
      <c r="AO193" s="132"/>
      <c r="AP193" s="132"/>
      <c r="AQ193" s="132"/>
      <c r="AR193" s="132"/>
      <c r="AS193" s="132"/>
      <c r="AT193" s="132"/>
    </row>
    <row r="194" spans="31:46" x14ac:dyDescent="0.2">
      <c r="AE194" s="212"/>
      <c r="AF194" s="132"/>
      <c r="AG194" s="132"/>
      <c r="AH194" s="132"/>
      <c r="AI194" s="132"/>
      <c r="AJ194" s="132"/>
      <c r="AK194" s="132"/>
      <c r="AL194" s="132"/>
      <c r="AM194" s="132"/>
      <c r="AN194" s="132"/>
      <c r="AO194" s="132"/>
      <c r="AP194" s="132"/>
      <c r="AQ194" s="132"/>
      <c r="AR194" s="132"/>
      <c r="AS194" s="132"/>
      <c r="AT194" s="132"/>
    </row>
    <row r="195" spans="31:46" x14ac:dyDescent="0.2">
      <c r="AE195" s="212"/>
      <c r="AF195" s="132"/>
      <c r="AG195" s="132"/>
      <c r="AH195" s="132"/>
      <c r="AI195" s="132"/>
      <c r="AJ195" s="132"/>
      <c r="AK195" s="132"/>
      <c r="AL195" s="132"/>
      <c r="AM195" s="132"/>
      <c r="AN195" s="132"/>
      <c r="AO195" s="132"/>
      <c r="AP195" s="132"/>
      <c r="AQ195" s="132"/>
      <c r="AR195" s="132"/>
      <c r="AS195" s="132"/>
      <c r="AT195" s="132"/>
    </row>
    <row r="196" spans="31:46" x14ac:dyDescent="0.2">
      <c r="AE196" s="212"/>
      <c r="AF196" s="132"/>
      <c r="AG196" s="132"/>
      <c r="AH196" s="132"/>
      <c r="AI196" s="132"/>
      <c r="AJ196" s="132"/>
      <c r="AK196" s="132"/>
      <c r="AL196" s="132"/>
      <c r="AM196" s="132"/>
      <c r="AN196" s="132"/>
      <c r="AO196" s="132"/>
      <c r="AP196" s="132"/>
      <c r="AQ196" s="132"/>
      <c r="AR196" s="132"/>
      <c r="AS196" s="132"/>
      <c r="AT196" s="132"/>
    </row>
    <row r="197" spans="31:46" x14ac:dyDescent="0.2">
      <c r="AE197" s="212"/>
      <c r="AF197" s="132"/>
      <c r="AG197" s="132"/>
      <c r="AH197" s="132"/>
      <c r="AI197" s="132"/>
      <c r="AJ197" s="132"/>
      <c r="AK197" s="132"/>
      <c r="AL197" s="132"/>
      <c r="AM197" s="132"/>
      <c r="AN197" s="132"/>
      <c r="AO197" s="132"/>
      <c r="AP197" s="132"/>
      <c r="AQ197" s="132"/>
      <c r="AR197" s="132"/>
      <c r="AS197" s="132"/>
      <c r="AT197" s="132"/>
    </row>
    <row r="198" spans="31:46" x14ac:dyDescent="0.2">
      <c r="AE198" s="212"/>
      <c r="AF198" s="132"/>
      <c r="AG198" s="132"/>
      <c r="AH198" s="132"/>
      <c r="AI198" s="132"/>
      <c r="AJ198" s="132"/>
      <c r="AK198" s="132"/>
      <c r="AL198" s="132"/>
      <c r="AM198" s="132"/>
      <c r="AN198" s="132"/>
      <c r="AO198" s="132"/>
      <c r="AP198" s="132"/>
      <c r="AQ198" s="132"/>
      <c r="AR198" s="132"/>
      <c r="AS198" s="132"/>
      <c r="AT198" s="132"/>
    </row>
    <row r="199" spans="31:46" x14ac:dyDescent="0.2">
      <c r="AE199" s="212"/>
      <c r="AF199" s="132"/>
      <c r="AG199" s="132"/>
      <c r="AH199" s="132"/>
      <c r="AI199" s="132"/>
      <c r="AJ199" s="132"/>
      <c r="AK199" s="132"/>
      <c r="AL199" s="132"/>
      <c r="AM199" s="132"/>
      <c r="AN199" s="132"/>
      <c r="AO199" s="132"/>
      <c r="AP199" s="132"/>
      <c r="AQ199" s="132"/>
      <c r="AR199" s="132"/>
      <c r="AS199" s="132"/>
      <c r="AT199" s="132"/>
    </row>
    <row r="200" spans="31:46" x14ac:dyDescent="0.2">
      <c r="AE200" s="212"/>
    </row>
    <row r="201" spans="31:46" x14ac:dyDescent="0.2">
      <c r="AE201" s="212"/>
      <c r="AF201" s="132"/>
      <c r="AG201" s="132"/>
      <c r="AH201" s="132"/>
      <c r="AI201" s="132"/>
      <c r="AJ201" s="132"/>
      <c r="AK201" s="132"/>
      <c r="AL201" s="132"/>
      <c r="AM201" s="132"/>
      <c r="AN201" s="132"/>
      <c r="AO201" s="132"/>
      <c r="AP201" s="132"/>
      <c r="AQ201" s="132"/>
      <c r="AR201" s="132"/>
      <c r="AS201" s="132"/>
      <c r="AT201" s="132"/>
    </row>
    <row r="202" spans="31:46" x14ac:dyDescent="0.2">
      <c r="AE202" s="212"/>
      <c r="AF202" s="132"/>
      <c r="AG202" s="132"/>
      <c r="AH202" s="132"/>
      <c r="AI202" s="132"/>
      <c r="AJ202" s="132"/>
      <c r="AK202" s="132"/>
      <c r="AL202" s="132"/>
      <c r="AM202" s="132"/>
      <c r="AN202" s="132"/>
      <c r="AO202" s="132"/>
      <c r="AP202" s="132"/>
      <c r="AQ202" s="132"/>
      <c r="AR202" s="132"/>
      <c r="AS202" s="132"/>
      <c r="AT202" s="132"/>
    </row>
    <row r="203" spans="31:46" x14ac:dyDescent="0.2">
      <c r="AE203" s="212"/>
      <c r="AF203" s="132"/>
      <c r="AG203" s="132"/>
      <c r="AH203" s="132"/>
      <c r="AI203" s="132"/>
      <c r="AJ203" s="132"/>
      <c r="AK203" s="132"/>
      <c r="AL203" s="132"/>
      <c r="AM203" s="132"/>
      <c r="AN203" s="132"/>
      <c r="AO203" s="132"/>
      <c r="AP203" s="132"/>
      <c r="AQ203" s="132"/>
      <c r="AR203" s="132"/>
      <c r="AS203" s="132"/>
      <c r="AT203" s="132"/>
    </row>
    <row r="204" spans="31:46" x14ac:dyDescent="0.2">
      <c r="AE204" s="212"/>
      <c r="AF204" s="132"/>
      <c r="AG204" s="132"/>
      <c r="AH204" s="132"/>
      <c r="AI204" s="132"/>
      <c r="AJ204" s="132"/>
      <c r="AK204" s="132"/>
      <c r="AL204" s="132"/>
      <c r="AM204" s="132"/>
      <c r="AN204" s="132"/>
      <c r="AO204" s="132"/>
      <c r="AP204" s="132"/>
      <c r="AQ204" s="132"/>
      <c r="AR204" s="132"/>
      <c r="AS204" s="132"/>
      <c r="AT204" s="132"/>
    </row>
    <row r="205" spans="31:46" x14ac:dyDescent="0.2">
      <c r="AE205" s="212"/>
      <c r="AF205" s="132"/>
      <c r="AG205" s="132"/>
      <c r="AH205" s="132"/>
      <c r="AI205" s="132"/>
      <c r="AJ205" s="132"/>
      <c r="AK205" s="132"/>
      <c r="AL205" s="132"/>
      <c r="AM205" s="132"/>
      <c r="AN205" s="132"/>
      <c r="AO205" s="132"/>
      <c r="AP205" s="132"/>
      <c r="AQ205" s="132"/>
      <c r="AR205" s="132"/>
      <c r="AS205" s="132"/>
      <c r="AT205" s="132"/>
    </row>
    <row r="206" spans="31:46" x14ac:dyDescent="0.2">
      <c r="AE206" s="212"/>
      <c r="AF206" s="132"/>
      <c r="AG206" s="132"/>
      <c r="AH206" s="132"/>
      <c r="AI206" s="132"/>
      <c r="AJ206" s="132"/>
      <c r="AK206" s="132"/>
      <c r="AL206" s="132"/>
      <c r="AM206" s="132"/>
      <c r="AN206" s="132"/>
      <c r="AO206" s="132"/>
      <c r="AP206" s="132"/>
      <c r="AQ206" s="132"/>
      <c r="AR206" s="132"/>
      <c r="AS206" s="132"/>
      <c r="AT206" s="132"/>
    </row>
    <row r="207" spans="31:46" x14ac:dyDescent="0.2">
      <c r="AE207" s="212"/>
      <c r="AF207" s="132"/>
      <c r="AG207" s="132"/>
      <c r="AH207" s="132"/>
      <c r="AI207" s="132"/>
      <c r="AJ207" s="132"/>
      <c r="AK207" s="132"/>
      <c r="AL207" s="132"/>
      <c r="AM207" s="132"/>
      <c r="AN207" s="132"/>
      <c r="AO207" s="132"/>
      <c r="AP207" s="132"/>
      <c r="AQ207" s="132"/>
      <c r="AR207" s="132"/>
      <c r="AS207" s="132"/>
      <c r="AT207" s="132"/>
    </row>
    <row r="208" spans="31:46" x14ac:dyDescent="0.2">
      <c r="AE208" s="212"/>
      <c r="AF208" s="132"/>
      <c r="AG208" s="132"/>
      <c r="AH208" s="132"/>
      <c r="AI208" s="132"/>
      <c r="AJ208" s="132"/>
      <c r="AK208" s="132"/>
      <c r="AL208" s="132"/>
      <c r="AM208" s="132"/>
      <c r="AN208" s="132"/>
      <c r="AO208" s="132"/>
      <c r="AP208" s="132"/>
      <c r="AQ208" s="132"/>
      <c r="AR208" s="132"/>
      <c r="AS208" s="132"/>
      <c r="AT208" s="132"/>
    </row>
    <row r="209" spans="31:46" x14ac:dyDescent="0.2">
      <c r="AE209" s="212"/>
      <c r="AF209" s="132"/>
      <c r="AG209" s="132"/>
      <c r="AH209" s="132"/>
      <c r="AI209" s="132"/>
      <c r="AJ209" s="132"/>
      <c r="AK209" s="132"/>
      <c r="AL209" s="132"/>
      <c r="AM209" s="132"/>
      <c r="AN209" s="132"/>
      <c r="AO209" s="132"/>
      <c r="AP209" s="132"/>
      <c r="AQ209" s="132"/>
      <c r="AR209" s="132"/>
      <c r="AS209" s="132"/>
      <c r="AT209" s="132"/>
    </row>
    <row r="210" spans="31:46" x14ac:dyDescent="0.2">
      <c r="AE210" s="212"/>
      <c r="AF210" s="132"/>
      <c r="AG210" s="132"/>
      <c r="AH210" s="132"/>
      <c r="AI210" s="132"/>
      <c r="AJ210" s="132"/>
      <c r="AK210" s="132"/>
      <c r="AL210" s="132"/>
      <c r="AM210" s="132"/>
      <c r="AN210" s="132"/>
      <c r="AO210" s="132"/>
      <c r="AP210" s="132"/>
      <c r="AQ210" s="132"/>
      <c r="AR210" s="132"/>
      <c r="AS210" s="132"/>
      <c r="AT210" s="132"/>
    </row>
    <row r="211" spans="31:46" x14ac:dyDescent="0.2">
      <c r="AE211" s="212"/>
      <c r="AF211" s="132"/>
      <c r="AG211" s="132"/>
      <c r="AH211" s="132"/>
      <c r="AI211" s="132"/>
      <c r="AJ211" s="132"/>
      <c r="AK211" s="132"/>
      <c r="AL211" s="132"/>
      <c r="AM211" s="132"/>
      <c r="AN211" s="132"/>
      <c r="AO211" s="132"/>
      <c r="AP211" s="132"/>
      <c r="AQ211" s="132"/>
      <c r="AR211" s="132"/>
      <c r="AS211" s="132"/>
      <c r="AT211" s="132"/>
    </row>
    <row r="212" spans="31:46" x14ac:dyDescent="0.2">
      <c r="AE212" s="212"/>
      <c r="AF212" s="132"/>
      <c r="AG212" s="132"/>
      <c r="AH212" s="132"/>
      <c r="AI212" s="132"/>
      <c r="AJ212" s="132"/>
      <c r="AK212" s="132"/>
      <c r="AL212" s="132"/>
      <c r="AM212" s="132"/>
      <c r="AN212" s="132"/>
      <c r="AO212" s="132"/>
      <c r="AP212" s="132"/>
      <c r="AQ212" s="132"/>
      <c r="AR212" s="132"/>
      <c r="AS212" s="132"/>
      <c r="AT212" s="132"/>
    </row>
    <row r="213" spans="31:46" x14ac:dyDescent="0.2">
      <c r="AE213" s="212"/>
      <c r="AF213" s="132"/>
      <c r="AG213" s="132"/>
      <c r="AH213" s="132"/>
      <c r="AI213" s="132"/>
      <c r="AJ213" s="132"/>
      <c r="AK213" s="132"/>
      <c r="AL213" s="132"/>
      <c r="AM213" s="132"/>
      <c r="AN213" s="132"/>
      <c r="AO213" s="132"/>
      <c r="AP213" s="132"/>
      <c r="AQ213" s="132"/>
      <c r="AR213" s="132"/>
      <c r="AS213" s="132"/>
      <c r="AT213" s="132"/>
    </row>
    <row r="215" spans="31:46" x14ac:dyDescent="0.2">
      <c r="AE215" s="212"/>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4"/>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5"/>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5"/>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sOO3m2O81fvrDvSf1d33fqGlAaHJLkIcEDw2oGaOFbsK3HRsoscFYqTaetJz0Dz6mSzp1ceNgKLcelVu2nsSkw==" saltValue="DlMYdDjBj5chPGHjt0jqKQ==" spinCount="100000" sheet="1" objects="1" scenarios="1"/>
  <mergeCells count="222">
    <mergeCell ref="AZ10:BA10"/>
    <mergeCell ref="AZ9:BA9"/>
    <mergeCell ref="H96:K96"/>
    <mergeCell ref="O96:R96"/>
    <mergeCell ref="Z87:AB89"/>
    <mergeCell ref="Z91:AB93"/>
    <mergeCell ref="E116:R118"/>
    <mergeCell ref="F72:I72"/>
    <mergeCell ref="L72:O72"/>
    <mergeCell ref="R72:U72"/>
    <mergeCell ref="X72:AA72"/>
    <mergeCell ref="H85:K85"/>
    <mergeCell ref="O85:R85"/>
    <mergeCell ref="V85:Y85"/>
    <mergeCell ref="T104:U104"/>
    <mergeCell ref="T106:U106"/>
    <mergeCell ref="T108:U108"/>
    <mergeCell ref="T114:U114"/>
    <mergeCell ref="T110:Y110"/>
    <mergeCell ref="T112:Y112"/>
    <mergeCell ref="C98:AO98"/>
    <mergeCell ref="V96:Y96"/>
    <mergeCell ref="AM88:AR88"/>
    <mergeCell ref="AN80:AS80"/>
    <mergeCell ref="S5:X5"/>
    <mergeCell ref="AP10:AQ10"/>
    <mergeCell ref="AL10:AM10"/>
    <mergeCell ref="AD21:AE21"/>
    <mergeCell ref="AJ5:AL5"/>
    <mergeCell ref="R10:S10"/>
    <mergeCell ref="V10:W10"/>
    <mergeCell ref="Z10:AA10"/>
    <mergeCell ref="Z14:AA15"/>
    <mergeCell ref="Y6:AF6"/>
    <mergeCell ref="V14:W15"/>
    <mergeCell ref="AD16:AE17"/>
    <mergeCell ref="AD10:AE10"/>
    <mergeCell ref="AA20:AD20"/>
    <mergeCell ref="AB13:AB19"/>
    <mergeCell ref="O20:R20"/>
    <mergeCell ref="S20:V20"/>
    <mergeCell ref="V21:W21"/>
    <mergeCell ref="Z21:AA21"/>
    <mergeCell ref="Y5:AF5"/>
    <mergeCell ref="AF21:AG21"/>
    <mergeCell ref="AJ6:AL6"/>
    <mergeCell ref="AJ7:AL7"/>
    <mergeCell ref="AH10:AI10"/>
    <mergeCell ref="AP16:AQ17"/>
    <mergeCell ref="AI20:AL20"/>
    <mergeCell ref="AM20:AP20"/>
    <mergeCell ref="AL21:AM21"/>
    <mergeCell ref="AN13:AN19"/>
    <mergeCell ref="AL14:AM15"/>
    <mergeCell ref="AJ13:AJ19"/>
    <mergeCell ref="AH16:AI17"/>
    <mergeCell ref="AH14:AI15"/>
    <mergeCell ref="AN21:AO21"/>
    <mergeCell ref="Y7:AF7"/>
    <mergeCell ref="F10:G10"/>
    <mergeCell ref="J10:K10"/>
    <mergeCell ref="N10:O10"/>
    <mergeCell ref="W20:Z20"/>
    <mergeCell ref="V16:W17"/>
    <mergeCell ref="E24:H24"/>
    <mergeCell ref="L21:M21"/>
    <mergeCell ref="P21:Q21"/>
    <mergeCell ref="F16:G17"/>
    <mergeCell ref="F14:G15"/>
    <mergeCell ref="M24:P24"/>
    <mergeCell ref="Q24:T24"/>
    <mergeCell ref="Q23:T23"/>
    <mergeCell ref="H13:H19"/>
    <mergeCell ref="J16:K17"/>
    <mergeCell ref="N16:O17"/>
    <mergeCell ref="R16:S17"/>
    <mergeCell ref="N21:O21"/>
    <mergeCell ref="R21:S21"/>
    <mergeCell ref="H21:I21"/>
    <mergeCell ref="N14:O15"/>
    <mergeCell ref="G20:J20"/>
    <mergeCell ref="K20:N20"/>
    <mergeCell ref="E25:H25"/>
    <mergeCell ref="Y26:AB26"/>
    <mergeCell ref="AO26:AR26"/>
    <mergeCell ref="AK28:AN28"/>
    <mergeCell ref="AO28:AR28"/>
    <mergeCell ref="Z42:Z45"/>
    <mergeCell ref="U25:X25"/>
    <mergeCell ref="Y25:AB25"/>
    <mergeCell ref="AC25:AF25"/>
    <mergeCell ref="AG25:AJ25"/>
    <mergeCell ref="AM43:AQ43"/>
    <mergeCell ref="E26:H26"/>
    <mergeCell ref="Q28:T28"/>
    <mergeCell ref="U28:X28"/>
    <mergeCell ref="Y28:AB28"/>
    <mergeCell ref="AM40:AR40"/>
    <mergeCell ref="AL39:AS39"/>
    <mergeCell ref="E28:H28"/>
    <mergeCell ref="I28:L28"/>
    <mergeCell ref="M28:P28"/>
    <mergeCell ref="AG40:AL40"/>
    <mergeCell ref="P44:S45"/>
    <mergeCell ref="T45:U45"/>
    <mergeCell ref="AK25:AN25"/>
    <mergeCell ref="AW48:AX48"/>
    <mergeCell ref="AF13:AF19"/>
    <mergeCell ref="AE20:AH20"/>
    <mergeCell ref="AC23:AF23"/>
    <mergeCell ref="AB21:AC21"/>
    <mergeCell ref="A9:A11"/>
    <mergeCell ref="E13:E19"/>
    <mergeCell ref="L13:L19"/>
    <mergeCell ref="P13:P19"/>
    <mergeCell ref="T13:T19"/>
    <mergeCell ref="X13:X19"/>
    <mergeCell ref="E23:H23"/>
    <mergeCell ref="I23:L23"/>
    <mergeCell ref="M23:P23"/>
    <mergeCell ref="R14:S15"/>
    <mergeCell ref="T21:U21"/>
    <mergeCell ref="X21:Y21"/>
    <mergeCell ref="E22:H22"/>
    <mergeCell ref="I22:L22"/>
    <mergeCell ref="M22:P22"/>
    <mergeCell ref="Q22:T22"/>
    <mergeCell ref="U22:X22"/>
    <mergeCell ref="AM46:AS46"/>
    <mergeCell ref="AF48:AL50"/>
    <mergeCell ref="Z16:AA17"/>
    <mergeCell ref="J14:K15"/>
    <mergeCell ref="AM38:AN38"/>
    <mergeCell ref="AF38:AL38"/>
    <mergeCell ref="AC24:AF24"/>
    <mergeCell ref="AX15:BA18"/>
    <mergeCell ref="AK26:AN26"/>
    <mergeCell ref="AO23:AR23"/>
    <mergeCell ref="AL16:AM17"/>
    <mergeCell ref="AG22:AJ22"/>
    <mergeCell ref="AK22:AN22"/>
    <mergeCell ref="AD14:AE15"/>
    <mergeCell ref="AG23:AJ23"/>
    <mergeCell ref="AJ21:AK21"/>
    <mergeCell ref="AK23:AN23"/>
    <mergeCell ref="Y23:AB23"/>
    <mergeCell ref="U23:X23"/>
    <mergeCell ref="AR13:AR19"/>
    <mergeCell ref="AP14:AQ15"/>
    <mergeCell ref="AK24:AN24"/>
    <mergeCell ref="AO24:AR24"/>
    <mergeCell ref="AH21:AI21"/>
    <mergeCell ref="AO22:AR22"/>
    <mergeCell ref="AO25:AR25"/>
    <mergeCell ref="I25:L25"/>
    <mergeCell ref="AG26:AJ26"/>
    <mergeCell ref="AW30:BA32"/>
    <mergeCell ref="AX33:AY33"/>
    <mergeCell ref="AX34:AY34"/>
    <mergeCell ref="AX35:AY35"/>
    <mergeCell ref="AX36:AY36"/>
    <mergeCell ref="AX37:AY37"/>
    <mergeCell ref="AX38:AY38"/>
    <mergeCell ref="AE53:AG53"/>
    <mergeCell ref="AO44:AS44"/>
    <mergeCell ref="AE84:AL84"/>
    <mergeCell ref="AE85:AL85"/>
    <mergeCell ref="AI57:AS57"/>
    <mergeCell ref="AM47:AS47"/>
    <mergeCell ref="AR43:AS43"/>
    <mergeCell ref="I26:L26"/>
    <mergeCell ref="U26:X26"/>
    <mergeCell ref="M26:P26"/>
    <mergeCell ref="Q26:T26"/>
    <mergeCell ref="BE5:BE6"/>
    <mergeCell ref="BG5:BG6"/>
    <mergeCell ref="BF5:BF6"/>
    <mergeCell ref="BE9:BG9"/>
    <mergeCell ref="AQ96:AR96"/>
    <mergeCell ref="AW96:AX96"/>
    <mergeCell ref="AG24:AJ24"/>
    <mergeCell ref="Z46:Z54"/>
    <mergeCell ref="I49:K49"/>
    <mergeCell ref="I48:K48"/>
    <mergeCell ref="AE70:AL70"/>
    <mergeCell ref="AM45:AS45"/>
    <mergeCell ref="AM49:AP49"/>
    <mergeCell ref="AE55:AN55"/>
    <mergeCell ref="I47:K47"/>
    <mergeCell ref="AM53:AN53"/>
    <mergeCell ref="AP53:AQ53"/>
    <mergeCell ref="AI53:AJ53"/>
    <mergeCell ref="AK53:AL53"/>
    <mergeCell ref="I46:K46"/>
    <mergeCell ref="I24:L24"/>
    <mergeCell ref="U24:X24"/>
    <mergeCell ref="Y24:AB24"/>
    <mergeCell ref="M25:P25"/>
    <mergeCell ref="M6:Q6"/>
    <mergeCell ref="AO55:AP55"/>
    <mergeCell ref="AN70:AS70"/>
    <mergeCell ref="AE90:AS92"/>
    <mergeCell ref="AM87:AO87"/>
    <mergeCell ref="AW76:AW80"/>
    <mergeCell ref="AX76:AX80"/>
    <mergeCell ref="AX19:BA20"/>
    <mergeCell ref="AX25:AZ26"/>
    <mergeCell ref="AX22:BA24"/>
    <mergeCell ref="AX39:AY39"/>
    <mergeCell ref="AX40:AY40"/>
    <mergeCell ref="AX41:AY41"/>
    <mergeCell ref="AX42:AY42"/>
    <mergeCell ref="AG28:AJ28"/>
    <mergeCell ref="AC26:AF26"/>
    <mergeCell ref="AC22:AF22"/>
    <mergeCell ref="Y22:AB22"/>
    <mergeCell ref="Q25:T25"/>
    <mergeCell ref="Z40:Z41"/>
    <mergeCell ref="AC28:AF28"/>
    <mergeCell ref="AP86:AR86"/>
    <mergeCell ref="AN78:AP78"/>
    <mergeCell ref="AN79:AP79"/>
  </mergeCells>
  <conditionalFormatting sqref="AG45:AL45">
    <cfRule type="expression" dxfId="1594" priority="494">
      <formula>$AC$43="x"</formula>
    </cfRule>
  </conditionalFormatting>
  <conditionalFormatting sqref="AO44:AS44">
    <cfRule type="expression" dxfId="1593" priority="493">
      <formula>$AK$42="x"</formula>
    </cfRule>
  </conditionalFormatting>
  <conditionalFormatting sqref="AP7:AS7">
    <cfRule type="expression" dxfId="1592" priority="488">
      <formula>$AM$5&gt;0</formula>
    </cfRule>
  </conditionalFormatting>
  <conditionalFormatting sqref="E28:AR28">
    <cfRule type="expression" dxfId="1591" priority="428">
      <formula>AND($A$28&lt;&gt;"",F$10&lt;&gt;"")</formula>
    </cfRule>
  </conditionalFormatting>
  <conditionalFormatting sqref="F72:I72">
    <cfRule type="expression" dxfId="1590" priority="560">
      <formula>$F$72=""</formula>
    </cfRule>
  </conditionalFormatting>
  <conditionalFormatting sqref="H85:K85">
    <cfRule type="expression" dxfId="1589" priority="473">
      <formula>$H$85=""</formula>
    </cfRule>
  </conditionalFormatting>
  <conditionalFormatting sqref="O85:R85">
    <cfRule type="expression" dxfId="1588" priority="558">
      <formula>$O$85=""</formula>
    </cfRule>
  </conditionalFormatting>
  <conditionalFormatting sqref="V85:Y85">
    <cfRule type="expression" dxfId="1587" priority="472">
      <formula>$V$85=""</formula>
    </cfRule>
  </conditionalFormatting>
  <conditionalFormatting sqref="O96:R96">
    <cfRule type="expression" dxfId="1586" priority="469">
      <formula>$O$96=""</formula>
    </cfRule>
  </conditionalFormatting>
  <conditionalFormatting sqref="AM49:AP49">
    <cfRule type="expression" dxfId="1585" priority="220">
      <formula>$AM$49=""</formula>
    </cfRule>
  </conditionalFormatting>
  <conditionalFormatting sqref="AH54">
    <cfRule type="expression" dxfId="1584" priority="535">
      <formula>$AE$53=0</formula>
    </cfRule>
  </conditionalFormatting>
  <conditionalFormatting sqref="L72:O72">
    <cfRule type="expression" dxfId="1583" priority="476">
      <formula>$L$72=""</formula>
    </cfRule>
  </conditionalFormatting>
  <conditionalFormatting sqref="R72:U72">
    <cfRule type="expression" dxfId="1582" priority="475">
      <formula>$R$72=""</formula>
    </cfRule>
  </conditionalFormatting>
  <conditionalFormatting sqref="X72:AA72">
    <cfRule type="expression" dxfId="1581" priority="474">
      <formula>$X$72=""</formula>
    </cfRule>
  </conditionalFormatting>
  <conditionalFormatting sqref="AT5">
    <cfRule type="expression" dxfId="1580" priority="185">
      <formula>$AT$5=1</formula>
    </cfRule>
  </conditionalFormatting>
  <conditionalFormatting sqref="AM43:AQ43">
    <cfRule type="expression" dxfId="1579" priority="223">
      <formula>$AM$43=""</formula>
    </cfRule>
  </conditionalFormatting>
  <conditionalFormatting sqref="AR43:AS43">
    <cfRule type="expression" dxfId="1578" priority="184">
      <formula>$AR$43=""</formula>
    </cfRule>
  </conditionalFormatting>
  <conditionalFormatting sqref="AM45:AS45">
    <cfRule type="expression" dxfId="1577" priority="222">
      <formula>$AM$45=""</formula>
    </cfRule>
  </conditionalFormatting>
  <conditionalFormatting sqref="AE70:AL70">
    <cfRule type="expression" dxfId="1576" priority="202">
      <formula>$AE$70=""</formula>
    </cfRule>
  </conditionalFormatting>
  <conditionalFormatting sqref="AN70:AS70">
    <cfRule type="expression" dxfId="1575" priority="179">
      <formula>$AN$70=""</formula>
    </cfRule>
  </conditionalFormatting>
  <conditionalFormatting sqref="AO55:AP55">
    <cfRule type="expression" dxfId="1574" priority="52">
      <formula>$AT$52=1</formula>
    </cfRule>
    <cfRule type="expression" dxfId="1573" priority="177">
      <formula>$AO$55=""</formula>
    </cfRule>
  </conditionalFormatting>
  <conditionalFormatting sqref="AN80:AS80">
    <cfRule type="expression" dxfId="1572" priority="172">
      <formula>$AN$80=""</formula>
    </cfRule>
  </conditionalFormatting>
  <conditionalFormatting sqref="H96:K96">
    <cfRule type="expression" dxfId="1571" priority="541">
      <formula>$H$96=""</formula>
    </cfRule>
  </conditionalFormatting>
  <conditionalFormatting sqref="AM88:AR88">
    <cfRule type="expression" dxfId="1570" priority="164">
      <formula>$AM$88=""</formula>
    </cfRule>
  </conditionalFormatting>
  <conditionalFormatting sqref="Y5:AF5">
    <cfRule type="expression" dxfId="1569" priority="402">
      <formula>$Y$5=""</formula>
    </cfRule>
  </conditionalFormatting>
  <conditionalFormatting sqref="Y6:AF6">
    <cfRule type="expression" dxfId="1568" priority="159">
      <formula>$Y$6=""</formula>
    </cfRule>
  </conditionalFormatting>
  <conditionalFormatting sqref="Y7:AF7">
    <cfRule type="expression" dxfId="1567" priority="158">
      <formula>$Y$7=""</formula>
    </cfRule>
  </conditionalFormatting>
  <conditionalFormatting sqref="AJ5:AL5">
    <cfRule type="expression" dxfId="1566" priority="398">
      <formula>$AJ$5=""</formula>
    </cfRule>
  </conditionalFormatting>
  <conditionalFormatting sqref="AJ6:AL6">
    <cfRule type="expression" dxfId="1565" priority="156">
      <formula>$AJ$6=""</formula>
    </cfRule>
  </conditionalFormatting>
  <conditionalFormatting sqref="AJ7:AL7">
    <cfRule type="expression" dxfId="1564" priority="155">
      <formula>$AJ$7=""</formula>
    </cfRule>
  </conditionalFormatting>
  <conditionalFormatting sqref="I49:K49">
    <cfRule type="expression" dxfId="1563" priority="154">
      <formula>$I$49=""</formula>
    </cfRule>
  </conditionalFormatting>
  <conditionalFormatting sqref="T45:U45">
    <cfRule type="expression" dxfId="1562" priority="153">
      <formula>$T$45=""</formula>
    </cfRule>
  </conditionalFormatting>
  <conditionalFormatting sqref="Z42:Z45">
    <cfRule type="expression" dxfId="1561" priority="152">
      <formula>$Z$42=""</formula>
    </cfRule>
  </conditionalFormatting>
  <conditionalFormatting sqref="AX33:AY42">
    <cfRule type="expression" dxfId="1560" priority="149">
      <formula>AW33=""</formula>
    </cfRule>
  </conditionalFormatting>
  <conditionalFormatting sqref="A9:A11">
    <cfRule type="expression" dxfId="1559" priority="56">
      <formula>$C$11&lt;36</formula>
    </cfRule>
  </conditionalFormatting>
  <conditionalFormatting sqref="A28">
    <cfRule type="expression" dxfId="1558" priority="145">
      <formula>$E$28&gt;0</formula>
    </cfRule>
  </conditionalFormatting>
  <conditionalFormatting sqref="AX33:AY42">
    <cfRule type="expression" dxfId="1557" priority="150">
      <formula>AX33=""</formula>
    </cfRule>
  </conditionalFormatting>
  <conditionalFormatting sqref="R112:Y114">
    <cfRule type="expression" dxfId="1556" priority="66">
      <formula>$T$110=""</formula>
    </cfRule>
  </conditionalFormatting>
  <conditionalFormatting sqref="AE53:AG53">
    <cfRule type="expression" dxfId="1555" priority="53">
      <formula>$AT$52=1</formula>
    </cfRule>
    <cfRule type="expression" dxfId="1554" priority="105">
      <formula>$AE$53=0</formula>
    </cfRule>
  </conditionalFormatting>
  <conditionalFormatting sqref="AW48:AX48">
    <cfRule type="expression" dxfId="1553" priority="104">
      <formula>$AW$48=""</formula>
    </cfRule>
  </conditionalFormatting>
  <conditionalFormatting sqref="AE84:AL84">
    <cfRule type="expression" dxfId="1552" priority="95">
      <formula>$AE$84=""</formula>
    </cfRule>
  </conditionalFormatting>
  <conditionalFormatting sqref="AB102:AB120">
    <cfRule type="expression" dxfId="1551" priority="83">
      <formula>$T$104&lt;&gt;105</formula>
    </cfRule>
  </conditionalFormatting>
  <conditionalFormatting sqref="AB120:AG120">
    <cfRule type="expression" dxfId="1550" priority="82">
      <formula>$T$104&lt;&gt;105</formula>
    </cfRule>
  </conditionalFormatting>
  <conditionalFormatting sqref="AG102:AG120">
    <cfRule type="expression" dxfId="1549" priority="81">
      <formula>AND($T$104&lt;&gt;105,$T$104&lt;&gt;85)</formula>
    </cfRule>
  </conditionalFormatting>
  <conditionalFormatting sqref="AB102:AG102">
    <cfRule type="expression" dxfId="1548" priority="80">
      <formula>$T$104&lt;&gt;105</formula>
    </cfRule>
  </conditionalFormatting>
  <conditionalFormatting sqref="AH120:AM120">
    <cfRule type="expression" dxfId="1547" priority="79">
      <formula>$T$104&lt;&gt;85</formula>
    </cfRule>
  </conditionalFormatting>
  <conditionalFormatting sqref="AH102:AM102">
    <cfRule type="expression" dxfId="1546" priority="78">
      <formula>$T$104&lt;&gt;85</formula>
    </cfRule>
  </conditionalFormatting>
  <conditionalFormatting sqref="AN102:AN120">
    <cfRule type="expression" dxfId="1545" priority="77">
      <formula>AND($T$104&lt;&gt;85,$T$104&lt;&gt;110)</formula>
    </cfRule>
  </conditionalFormatting>
  <conditionalFormatting sqref="AN120:AT120">
    <cfRule type="expression" dxfId="1544" priority="76">
      <formula>$T$104&lt;&gt;110</formula>
    </cfRule>
  </conditionalFormatting>
  <conditionalFormatting sqref="AT102:AT120">
    <cfRule type="expression" dxfId="1543" priority="75">
      <formula>$T$104&lt;&gt;110</formula>
    </cfRule>
  </conditionalFormatting>
  <conditionalFormatting sqref="AN102:AT102">
    <cfRule type="expression" dxfId="1542" priority="74">
      <formula>$T$104&lt;&gt;110</formula>
    </cfRule>
  </conditionalFormatting>
  <conditionalFormatting sqref="T104:U104">
    <cfRule type="expression" dxfId="1541" priority="73">
      <formula>$T$104=""</formula>
    </cfRule>
  </conditionalFormatting>
  <conditionalFormatting sqref="T106:U106">
    <cfRule type="expression" dxfId="1540" priority="72">
      <formula>$T$106=""</formula>
    </cfRule>
  </conditionalFormatting>
  <conditionalFormatting sqref="T108:U108">
    <cfRule type="expression" dxfId="1539" priority="71">
      <formula>$T$108=""</formula>
    </cfRule>
  </conditionalFormatting>
  <conditionalFormatting sqref="T114:U114">
    <cfRule type="expression" dxfId="1538" priority="69">
      <formula>$T$114=""</formula>
    </cfRule>
  </conditionalFormatting>
  <conditionalFormatting sqref="T110:Y110">
    <cfRule type="expression" dxfId="1537" priority="67">
      <formula>$T$110=""</formula>
    </cfRule>
  </conditionalFormatting>
  <conditionalFormatting sqref="T112:Y112">
    <cfRule type="expression" dxfId="1536" priority="68">
      <formula>$T$112=""</formula>
    </cfRule>
  </conditionalFormatting>
  <conditionalFormatting sqref="AI57:AS57">
    <cfRule type="expression" dxfId="1535" priority="219">
      <formula>$AI$57=""</formula>
    </cfRule>
  </conditionalFormatting>
  <conditionalFormatting sqref="AX25:AZ26">
    <cfRule type="expression" dxfId="1534" priority="60">
      <formula>$AX$25=""</formula>
    </cfRule>
  </conditionalFormatting>
  <conditionalFormatting sqref="AM87:AO87">
    <cfRule type="expression" dxfId="1533" priority="54">
      <formula>$AM$87=""</formula>
    </cfRule>
  </conditionalFormatting>
  <conditionalFormatting sqref="AT52">
    <cfRule type="expression" dxfId="1532" priority="51">
      <formula>$AT$52=1</formula>
    </cfRule>
  </conditionalFormatting>
  <conditionalFormatting sqref="AX76:AX80">
    <cfRule type="expression" dxfId="1531" priority="48">
      <formula>$AN$80=""</formula>
    </cfRule>
  </conditionalFormatting>
  <conditionalFormatting sqref="AB62">
    <cfRule type="expression" dxfId="1530" priority="47">
      <formula>$AB$62&gt;0</formula>
    </cfRule>
  </conditionalFormatting>
  <conditionalFormatting sqref="AB73">
    <cfRule type="expression" dxfId="1529" priority="46">
      <formula>$AB$73&gt;0</formula>
    </cfRule>
  </conditionalFormatting>
  <conditionalFormatting sqref="M6:Q6">
    <cfRule type="expression" dxfId="1528" priority="580">
      <formula>$M$6=""</formula>
    </cfRule>
  </conditionalFormatting>
  <conditionalFormatting sqref="AN78:AP78">
    <cfRule type="expression" dxfId="1527" priority="174">
      <formula>$AN$78=""</formula>
    </cfRule>
  </conditionalFormatting>
  <conditionalFormatting sqref="AN79:AP79">
    <cfRule type="expression" dxfId="1526" priority="173">
      <formula>$AN$79=""</formula>
    </cfRule>
  </conditionalFormatting>
  <conditionalFormatting sqref="AM46:AS46">
    <cfRule type="expression" dxfId="1525" priority="181">
      <formula>$AM$46=""</formula>
    </cfRule>
  </conditionalFormatting>
  <conditionalFormatting sqref="AM47:AS47">
    <cfRule type="expression" dxfId="1524" priority="39">
      <formula>$AM$47=""</formula>
    </cfRule>
  </conditionalFormatting>
  <conditionalFormatting sqref="AQ96:AR96">
    <cfRule type="expression" dxfId="1523" priority="23">
      <formula>$AQ$96=""</formula>
    </cfRule>
  </conditionalFormatting>
  <conditionalFormatting sqref="BD2:BI10">
    <cfRule type="expression" dxfId="1522" priority="9">
      <formula>$AW$2=""</formula>
    </cfRule>
  </conditionalFormatting>
  <conditionalFormatting sqref="AZ9:BA9">
    <cfRule type="expression" dxfId="1521" priority="6">
      <formula>$AZ$9=""</formula>
    </cfRule>
  </conditionalFormatting>
  <conditionalFormatting sqref="AZ10:BA10">
    <cfRule type="expression" dxfId="1520" priority="5">
      <formula>$AZ$10=""</formula>
    </cfRule>
  </conditionalFormatting>
  <dataValidations count="8">
    <dataValidation type="whole" allowBlank="1" showInputMessage="1" showErrorMessage="1" sqref="J58:M59 I46:K49" xr:uid="{00000000-0002-0000-0300-000000000000}">
      <formula1>0</formula1>
      <formula2>100000</formula2>
    </dataValidation>
    <dataValidation type="custom" operator="equal" allowBlank="1" showInputMessage="1" showErrorMessage="1" sqref="AA60 E33:E34 E40:E41 Q40:Q41 E6:E7 AN33 AN44 AA47:AA49" xr:uid="{00000000-0002-0000-0300-000001000000}">
      <formula1>E6="X"</formula1>
    </dataValidation>
    <dataValidation type="whole" allowBlank="1" showInputMessage="1" showErrorMessage="1" sqref="H21:I21 AJ21:AK21 L21:M21 P21:Q21 T21:U21 X21:Y21 AB21:AC21 AF21:AG21 AN21:AO21" xr:uid="{00000000-0002-0000-0300-000002000000}">
      <formula1>0</formula1>
      <formula2>360</formula2>
    </dataValidation>
    <dataValidation type="whole" allowBlank="1" showInputMessage="1" showErrorMessage="1" sqref="E28:AR28 Z42:Z45" xr:uid="{00000000-0002-0000-0300-000003000000}">
      <formula1>0</formula1>
      <formula2>10000</formula2>
    </dataValidation>
    <dataValidation type="whole" allowBlank="1" showInputMessage="1" showErrorMessage="1" sqref="T45:U45" xr:uid="{00000000-0002-0000-0300-000004000000}">
      <formula1>0</formula1>
      <formula2>3000</formula2>
    </dataValidation>
    <dataValidation type="date" operator="greaterThanOrEqual" allowBlank="1" showInputMessage="1" showErrorMessage="1" sqref="Y7:AF7" xr:uid="{00000000-0002-0000-0300-000005000000}">
      <formula1>TODAY()-3</formula1>
    </dataValidation>
    <dataValidation type="whole" operator="equal" allowBlank="1" showInputMessage="1" showErrorMessage="1" sqref="AB62 AB73" xr:uid="{00000000-0002-0000-0300-000006000000}">
      <formula1>1</formula1>
    </dataValidation>
    <dataValidation type="whole" allowBlank="1" showInputMessage="1" showErrorMessage="1" sqref="AJ6:AL6" xr:uid="{00000000-0002-0000-0300-000007000000}">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ignoredErrors>
    <ignoredError sqref="AF4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2059" r:id="rId5" name="Check Box 11">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2060" r:id="rId6" name="Check Box 12">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2062" r:id="rId7" name="Check Box 1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2063" r:id="rId8" name="Check Box 1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2064" r:id="rId9" name="Check Box 1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2065" r:id="rId10" name="Check Box 1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2" r:id="rId11" name="Check Box 1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3" r:id="rId12" name="Check Box 1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2068" r:id="rId13" name="Check Box 2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2069" r:id="rId14" name="Check Box 21">
              <controlPr locked="0" defaultSize="0" autoFill="0" autoLine="0" autoPict="0">
                <anchor moveWithCells="1">
                  <from>
                    <xdr:col>40</xdr:col>
                    <xdr:colOff>0</xdr:colOff>
                    <xdr:row>32</xdr:row>
                    <xdr:rowOff>0</xdr:rowOff>
                  </from>
                  <to>
                    <xdr:col>41</xdr:col>
                    <xdr:colOff>0</xdr:colOff>
                    <xdr:row>33</xdr:row>
                    <xdr:rowOff>0</xdr:rowOff>
                  </to>
                </anchor>
              </controlPr>
            </control>
          </mc:Choice>
        </mc:AlternateContent>
        <mc:AlternateContent xmlns:mc="http://schemas.openxmlformats.org/markup-compatibility/2006">
          <mc:Choice Requires="x14">
            <control shapeId="2094" r:id="rId15" name="Check Box 46">
              <controlPr locked="0" defaultSize="0" autoFill="0" autoLine="0" autoPict="0">
                <anchor moveWithCells="1">
                  <from>
                    <xdr:col>42</xdr:col>
                    <xdr:colOff>0</xdr:colOff>
                    <xdr:row>4</xdr:row>
                    <xdr:rowOff>0</xdr:rowOff>
                  </from>
                  <to>
                    <xdr:col>43</xdr:col>
                    <xdr:colOff>0</xdr:colOff>
                    <xdr:row>4</xdr:row>
                    <xdr:rowOff>171450</xdr:rowOff>
                  </to>
                </anchor>
              </controlPr>
            </control>
          </mc:Choice>
        </mc:AlternateContent>
        <mc:AlternateContent xmlns:mc="http://schemas.openxmlformats.org/markup-compatibility/2006">
          <mc:Choice Requires="x14">
            <control shapeId="2095" r:id="rId16" name="Check Box 47">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2096" r:id="rId17" name="Check Box 48">
              <controlPr locked="0" defaultSize="0" autoFill="0" autoLine="0" autoPict="0">
                <anchor moveWithCells="1">
                  <from>
                    <xdr:col>42</xdr:col>
                    <xdr:colOff>0</xdr:colOff>
                    <xdr:row>6</xdr:row>
                    <xdr:rowOff>0</xdr:rowOff>
                  </from>
                  <to>
                    <xdr:col>43</xdr:col>
                    <xdr:colOff>0</xdr:colOff>
                    <xdr:row>7</xdr:row>
                    <xdr:rowOff>19050</xdr:rowOff>
                  </to>
                </anchor>
              </controlPr>
            </control>
          </mc:Choice>
        </mc:AlternateContent>
        <mc:AlternateContent xmlns:mc="http://schemas.openxmlformats.org/markup-compatibility/2006">
          <mc:Choice Requires="x14">
            <control shapeId="2097" r:id="rId18" name="Check Box 49">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2098" r:id="rId19" name="Check Box 50">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2100" r:id="rId20" name="Check Box 52">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2101" r:id="rId21" name="Check Box 53">
              <controlPr locked="0" defaultSize="0" autoFill="0" autoLine="0" autoPict="0">
                <anchor moveWithCells="1">
                  <from>
                    <xdr:col>4</xdr:col>
                    <xdr:colOff>0</xdr:colOff>
                    <xdr:row>6</xdr:row>
                    <xdr:rowOff>9525</xdr:rowOff>
                  </from>
                  <to>
                    <xdr:col>5</xdr:col>
                    <xdr:colOff>0</xdr:colOff>
                    <xdr:row>7</xdr:row>
                    <xdr:rowOff>28575</xdr:rowOff>
                  </to>
                </anchor>
              </controlPr>
            </control>
          </mc:Choice>
        </mc:AlternateContent>
        <mc:AlternateContent xmlns:mc="http://schemas.openxmlformats.org/markup-compatibility/2006">
          <mc:Choice Requires="x14">
            <control shapeId="2102" r:id="rId22" name="Check Box 54">
              <controlPr locked="0" defaultSize="0" autoFill="0" autoLine="0" autoPict="0">
                <anchor moveWithCells="1">
                  <from>
                    <xdr:col>6</xdr:col>
                    <xdr:colOff>9525</xdr:colOff>
                    <xdr:row>43</xdr:row>
                    <xdr:rowOff>57150</xdr:rowOff>
                  </from>
                  <to>
                    <xdr:col>7</xdr:col>
                    <xdr:colOff>28575</xdr:colOff>
                    <xdr:row>44</xdr:row>
                    <xdr:rowOff>57150</xdr:rowOff>
                  </to>
                </anchor>
              </controlPr>
            </control>
          </mc:Choice>
        </mc:AlternateContent>
        <mc:AlternateContent xmlns:mc="http://schemas.openxmlformats.org/markup-compatibility/2006">
          <mc:Choice Requires="x14">
            <control shapeId="2103" r:id="rId23" name="Check Box 55">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2104" r:id="rId24" name="Check Box 56">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2105" r:id="rId25" name="Check Box 57">
              <controlPr locked="0" defaultSize="0" autoFill="0" autoLine="0" autoPict="0">
                <anchor moveWithCells="1">
                  <from>
                    <xdr:col>9</xdr:col>
                    <xdr:colOff>76200</xdr:colOff>
                    <xdr:row>52</xdr:row>
                    <xdr:rowOff>114300</xdr:rowOff>
                  </from>
                  <to>
                    <xdr:col>10</xdr:col>
                    <xdr:colOff>76200</xdr:colOff>
                    <xdr:row>53</xdr:row>
                    <xdr:rowOff>114300</xdr:rowOff>
                  </to>
                </anchor>
              </controlPr>
            </control>
          </mc:Choice>
        </mc:AlternateContent>
        <mc:AlternateContent xmlns:mc="http://schemas.openxmlformats.org/markup-compatibility/2006">
          <mc:Choice Requires="x14">
            <control shapeId="2108" r:id="rId26" name="Check Box 60">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2109" r:id="rId27" name="Check Box 61">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2110" r:id="rId28" name="Check Box 62">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2111" r:id="rId29" name="Check Box 63">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2112" r:id="rId30" name="Check Box 64">
              <controlPr locked="0" defaultSize="0" autoFill="0" autoLine="0" autoPict="0">
                <anchor moveWithCells="1">
                  <from>
                    <xdr:col>37</xdr:col>
                    <xdr:colOff>161925</xdr:colOff>
                    <xdr:row>62</xdr:row>
                    <xdr:rowOff>0</xdr:rowOff>
                  </from>
                  <to>
                    <xdr:col>38</xdr:col>
                    <xdr:colOff>161925</xdr:colOff>
                    <xdr:row>63</xdr:row>
                    <xdr:rowOff>19050</xdr:rowOff>
                  </to>
                </anchor>
              </controlPr>
            </control>
          </mc:Choice>
        </mc:AlternateContent>
        <mc:AlternateContent xmlns:mc="http://schemas.openxmlformats.org/markup-compatibility/2006">
          <mc:Choice Requires="x14">
            <control shapeId="2113" r:id="rId31" name="Check Box 65">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mc:AlternateContent xmlns:mc="http://schemas.openxmlformats.org/markup-compatibility/2006">
          <mc:Choice Requires="x14">
            <control shapeId="2117" r:id="rId32" name="Check Box 6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2118" r:id="rId33" name="Check Box 7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2119" r:id="rId34" name="Check Box 7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2120" r:id="rId35" name="Check Box 7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2128" r:id="rId36" name="Check Box 80">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2129" r:id="rId37" name="Check Box 81">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2130" r:id="rId38" name="Check Box 82">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2131" r:id="rId39" name="Check Box 83">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2137" r:id="rId40" name="Check Box 89">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2138" r:id="rId41" name="Check Box 90">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2139" r:id="rId42" name="Check Box 91">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2143" r:id="rId43" name="Check Box 95">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2144" r:id="rId44" name="Check Box 96">
              <controlPr locked="0" defaultSize="0" autoFill="0" autoLine="0" autoPict="0">
                <anchor moveWithCells="1">
                  <from>
                    <xdr:col>20</xdr:col>
                    <xdr:colOff>0</xdr:colOff>
                    <xdr:row>94</xdr:row>
                    <xdr:rowOff>0</xdr:rowOff>
                  </from>
                  <to>
                    <xdr:col>21</xdr:col>
                    <xdr:colOff>0</xdr:colOff>
                    <xdr:row>94</xdr:row>
                    <xdr:rowOff>152400</xdr:rowOff>
                  </to>
                </anchor>
              </controlPr>
            </control>
          </mc:Choice>
        </mc:AlternateContent>
        <mc:AlternateContent xmlns:mc="http://schemas.openxmlformats.org/markup-compatibility/2006">
          <mc:Choice Requires="x14">
            <control shapeId="2147" r:id="rId45" name="Check Box 99">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2148" r:id="rId46" name="Check Box 100">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2141" r:id="rId47" name="Check Box 93">
              <controlPr locked="0" defaultSize="0" autoFill="0" autoLine="0" autoPict="0">
                <anchor moveWithCells="1">
                  <from>
                    <xdr:col>15</xdr:col>
                    <xdr:colOff>190500</xdr:colOff>
                    <xdr:row>72</xdr:row>
                    <xdr:rowOff>152400</xdr:rowOff>
                  </from>
                  <to>
                    <xdr:col>16</xdr:col>
                    <xdr:colOff>190500</xdr:colOff>
                    <xdr:row>73</xdr:row>
                    <xdr:rowOff>152400</xdr:rowOff>
                  </to>
                </anchor>
              </controlPr>
            </control>
          </mc:Choice>
        </mc:AlternateContent>
        <mc:AlternateContent xmlns:mc="http://schemas.openxmlformats.org/markup-compatibility/2006">
          <mc:Choice Requires="x14">
            <control shapeId="2140" r:id="rId48" name="Check Box 92">
              <controlPr locked="0" defaultSize="0" autoFill="0" autoLine="0" autoPict="0">
                <anchor moveWithCells="1">
                  <from>
                    <xdr:col>13</xdr:col>
                    <xdr:colOff>104775</xdr:colOff>
                    <xdr:row>80</xdr:row>
                    <xdr:rowOff>152400</xdr:rowOff>
                  </from>
                  <to>
                    <xdr:col>14</xdr:col>
                    <xdr:colOff>104775</xdr:colOff>
                    <xdr:row>81</xdr:row>
                    <xdr:rowOff>152400</xdr:rowOff>
                  </to>
                </anchor>
              </controlPr>
            </control>
          </mc:Choice>
        </mc:AlternateContent>
        <mc:AlternateContent xmlns:mc="http://schemas.openxmlformats.org/markup-compatibility/2006">
          <mc:Choice Requires="x14">
            <control shapeId="2135" r:id="rId49" name="Check Box 87">
              <controlPr locked="0" defaultSize="0" autoFill="0" autoLine="0" autoPict="0">
                <anchor moveWithCells="1">
                  <from>
                    <xdr:col>13</xdr:col>
                    <xdr:colOff>28575</xdr:colOff>
                    <xdr:row>62</xdr:row>
                    <xdr:rowOff>57150</xdr:rowOff>
                  </from>
                  <to>
                    <xdr:col>14</xdr:col>
                    <xdr:colOff>28575</xdr:colOff>
                    <xdr:row>63</xdr:row>
                    <xdr:rowOff>57150</xdr:rowOff>
                  </to>
                </anchor>
              </controlPr>
            </control>
          </mc:Choice>
        </mc:AlternateContent>
        <mc:AlternateContent xmlns:mc="http://schemas.openxmlformats.org/markup-compatibility/2006">
          <mc:Choice Requires="x14">
            <control shapeId="2134" r:id="rId50" name="Check Box 86">
              <controlPr locked="0" defaultSize="0" autoFill="0" autoLine="0" autoPict="0">
                <anchor moveWithCells="1">
                  <from>
                    <xdr:col>11</xdr:col>
                    <xdr:colOff>28575</xdr:colOff>
                    <xdr:row>68</xdr:row>
                    <xdr:rowOff>47625</xdr:rowOff>
                  </from>
                  <to>
                    <xdr:col>12</xdr:col>
                    <xdr:colOff>28575</xdr:colOff>
                    <xdr:row>69</xdr:row>
                    <xdr:rowOff>47625</xdr:rowOff>
                  </to>
                </anchor>
              </controlPr>
            </control>
          </mc:Choice>
        </mc:AlternateContent>
        <mc:AlternateContent xmlns:mc="http://schemas.openxmlformats.org/markup-compatibility/2006">
          <mc:Choice Requires="x14">
            <control shapeId="2149" r:id="rId51" name="Check Box 101">
              <controlPr locked="0" defaultSize="0" autoFill="0" autoLine="0" autoPict="0">
                <anchor moveWithCells="1">
                  <from>
                    <xdr:col>23</xdr:col>
                    <xdr:colOff>0</xdr:colOff>
                    <xdr:row>48</xdr:row>
                    <xdr:rowOff>0</xdr:rowOff>
                  </from>
                  <to>
                    <xdr:col>24</xdr:col>
                    <xdr:colOff>0</xdr:colOff>
                    <xdr:row>49</xdr:row>
                    <xdr:rowOff>28575</xdr:rowOff>
                  </to>
                </anchor>
              </controlPr>
            </control>
          </mc:Choice>
        </mc:AlternateContent>
        <mc:AlternateContent xmlns:mc="http://schemas.openxmlformats.org/markup-compatibility/2006">
          <mc:Choice Requires="x14">
            <control shapeId="2150" r:id="rId52" name="Check Box 102">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2157" r:id="rId53" name="Check Box 109">
              <controlPr locked="0" defaultSize="0" autoFill="0" autoLine="0" autoPict="0">
                <anchor moveWithCells="1">
                  <from>
                    <xdr:col>40</xdr:col>
                    <xdr:colOff>0</xdr:colOff>
                    <xdr:row>33</xdr:row>
                    <xdr:rowOff>0</xdr:rowOff>
                  </from>
                  <to>
                    <xdr:col>41</xdr:col>
                    <xdr:colOff>0</xdr:colOff>
                    <xdr:row>34</xdr:row>
                    <xdr:rowOff>0</xdr:rowOff>
                  </to>
                </anchor>
              </controlPr>
            </control>
          </mc:Choice>
        </mc:AlternateContent>
        <mc:AlternateContent xmlns:mc="http://schemas.openxmlformats.org/markup-compatibility/2006">
          <mc:Choice Requires="x14">
            <control shapeId="2172" r:id="rId54" name="Check Box 124">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2173" r:id="rId55" name="Check Box 125">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2175" r:id="rId56" name="Check Box 127">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2177" r:id="rId57" name="Check Box 129">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5" id="{4C3B599F-CC93-46E2-96A0-7EDFB1D548F9}">
            <xm:f>$A$9&lt;&gt;'Sprachen &amp; Rückgabewerte'!$H$132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43" id="{83C6386F-78C5-4C2B-A56A-ED7AB1D7BF37}">
            <xm:f>'Sprachen &amp; Rückgabewerte'!$U$49=FALSE</xm:f>
            <x14:dxf>
              <border>
                <bottom style="thin">
                  <color rgb="FFFF0000"/>
                </bottom>
                <vertical/>
                <horizontal/>
              </border>
            </x14:dxf>
          </x14:cfRule>
          <x14:cfRule type="expression" priority="484" id="{082CA4F7-A3BB-4BDB-BBA3-E0DD2042F4C0}">
            <xm:f>'Sprachen &amp; Rückgabewerte'!$I$12=FALSE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483" id="{4979C0D1-4F27-457A-BF2E-722ED7D4537D}">
            <xm:f>AND('Sprachen &amp; Rückgabewerte'!$I$11=FALSE,'Sprachen &amp; Rückgabewerte'!$I$12=FALSE)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482" id="{6807A594-23FA-49C5-9077-AEA6069DEE9C}">
            <xm:f>AND('Sprachen &amp; Rückgabewerte'!$I$10=FALSE,'Sprachen &amp; Rückgabewerte'!$I$11=FALSE,'Sprachen &amp; Rückgabewerte'!$I$12=FALSE)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63" id="{09770D21-B614-43EA-BA3A-3FB0E873DD4B}">
            <xm:f>AND($AP$86="",'Sprachen &amp; Rückgabewerte'!$I$51=TRUE)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480" id="{4D0B24C1-E1E0-4E5A-A4FD-1484D87E2483}">
            <xm:f>'Sprachen &amp; Rückgabewerte'!$I$51=TRUE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478" id="{D310F8AE-5035-40D9-940D-46DB16A27C18}">
            <xm:f>'Sprachen &amp; Rückgabewerte'!$C$41=FALSE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344" id="{658341EA-B03F-4685-BF39-3F4509788787}">
            <xm:f>'Sprachen &amp; Rückgabewerte'!$C$42=FALSE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98" id="{1B12295F-9A4A-4B59-B3F9-BD5CC2D55D77}">
            <xm:f>'Sprachen &amp; Rückgabewerte'!$C$43=FALSE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97" id="{F68CD35B-2829-46B8-93CA-CA1D5258511E}">
            <xm:f>'Sprachen &amp; Rückgabewerte'!$C$44=FALSE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91" id="{7FEE6610-B07A-40BE-A7EF-A232BA68AB13}">
            <xm:f>'Sprachen &amp; Rückgabewerte'!$C$45=FALSE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552" id="{D507BB43-BD5F-4C77-8248-9C0AA09E17A9}">
            <xm:f>'Sprachen &amp; Rückgabewerte'!$C$46=FALSE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471" id="{BBFDD7AE-319D-4CB7-A85D-BD566DA9E85F}">
            <xm:f>'Sprachen &amp; Rückgabewerte'!$C$47=FALSE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87" id="{D80EC06C-2329-4CFA-974D-8D4775AC8C70}">
            <xm:f>'Sprachen &amp; Rückgabewerte'!$C$49=FALSE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447" id="{B25A7B0D-B93A-4F69-B8C6-376BDA5E3EED}">
            <xm:f>G$20='Sprachen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467" id="{A6C258F1-2893-4B8F-BDA5-90DFB72B53A2}">
            <xm:f>G$20='Sprachen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407" id="{9B2879D9-406B-429B-A50D-779472AF73AF}">
            <xm:f>'Sprachen &amp; Rückgabewerte'!$L$41=0</xm:f>
            <x14:dxf>
              <border>
                <left style="thin">
                  <color rgb="FFFF0000"/>
                </left>
                <vertical/>
                <horizontal/>
              </border>
            </x14:dxf>
          </x14:cfRule>
          <xm:sqref>C5:C8</xm:sqref>
        </x14:conditionalFormatting>
        <x14:conditionalFormatting xmlns:xm="http://schemas.microsoft.com/office/excel/2006/main">
          <x14:cfRule type="expression" priority="406" id="{6C8E224F-4117-48DD-B898-BE63D62E95F7}">
            <xm:f>'Sprachen &amp; Rückgabewerte'!$L$41=0</xm:f>
            <x14:dxf>
              <border>
                <top style="thin">
                  <color rgb="FFFF0000"/>
                </top>
                <vertical/>
                <horizontal/>
              </border>
            </x14:dxf>
          </x14:cfRule>
          <xm:sqref>C5:R5</xm:sqref>
        </x14:conditionalFormatting>
        <x14:conditionalFormatting xmlns:xm="http://schemas.microsoft.com/office/excel/2006/main">
          <x14:cfRule type="expression" priority="405" id="{93270315-8226-43F6-ACCA-721497C98F6F}">
            <xm:f>'Sprachen &amp; Rückgabewerte'!$L$41=0</xm:f>
            <x14:dxf>
              <border>
                <right style="thin">
                  <color rgb="FFFF0000"/>
                </right>
                <vertical/>
                <horizontal/>
              </border>
            </x14:dxf>
          </x14:cfRule>
          <xm:sqref>R5:R8</xm:sqref>
        </x14:conditionalFormatting>
        <x14:conditionalFormatting xmlns:xm="http://schemas.microsoft.com/office/excel/2006/main">
          <x14:cfRule type="expression" priority="404" id="{1C1D9CC1-5C23-4EA9-90F2-036557639925}">
            <xm:f>'Sprachen &amp; Rückgabewerte'!$L$41=0</xm:f>
            <x14:dxf>
              <border>
                <bottom style="thin">
                  <color rgb="FFFF0000"/>
                </bottom>
                <vertical/>
                <horizontal/>
              </border>
            </x14:dxf>
          </x14:cfRule>
          <xm:sqref>C8:R8</xm:sqref>
        </x14:conditionalFormatting>
        <x14:conditionalFormatting xmlns:xm="http://schemas.microsoft.com/office/excel/2006/main">
          <x14:cfRule type="expression" priority="403" id="{97ABD76C-7941-4561-BF40-3875D114261D}">
            <xm:f>'Sprachen &amp; Rückgabewerte'!$L$42=0</xm:f>
            <x14:dxf>
              <border>
                <left style="thin">
                  <color rgb="FFFF0000"/>
                </left>
                <vertical/>
                <horizontal/>
              </border>
            </x14:dxf>
          </x14:cfRule>
          <xm:sqref>S5:S8</xm:sqref>
        </x14:conditionalFormatting>
        <x14:conditionalFormatting xmlns:xm="http://schemas.microsoft.com/office/excel/2006/main">
          <x14:cfRule type="expression" priority="160" id="{3753A55A-5671-45EC-AF57-0A1A5678984B}">
            <xm:f>'Sprachen &amp; Rückgabewerte'!$L$42=0</xm:f>
            <x14:dxf>
              <border>
                <top style="thin">
                  <color rgb="FFFF0000"/>
                </top>
                <vertical/>
                <horizontal/>
              </border>
            </x14:dxf>
          </x14:cfRule>
          <xm:sqref>S5:AG5</xm:sqref>
        </x14:conditionalFormatting>
        <x14:conditionalFormatting xmlns:xm="http://schemas.microsoft.com/office/excel/2006/main">
          <x14:cfRule type="expression" priority="401" id="{8940A42F-45EA-43B0-82CA-ED71BD16EBFB}">
            <xm:f>'Sprachen &amp; Rückgabewerte'!$L$42=0</xm:f>
            <x14:dxf>
              <border>
                <right style="thin">
                  <color rgb="FFFF0000"/>
                </right>
                <vertical/>
                <horizontal/>
              </border>
            </x14:dxf>
          </x14:cfRule>
          <xm:sqref>AG5:AG8</xm:sqref>
        </x14:conditionalFormatting>
        <x14:conditionalFormatting xmlns:xm="http://schemas.microsoft.com/office/excel/2006/main">
          <x14:cfRule type="expression" priority="400" id="{4FB0F3E9-62C9-4BB6-B08D-46F107BE8828}">
            <xm:f>'Sprachen &amp; Rückgabewerte'!$L$42=0</xm:f>
            <x14:dxf>
              <border>
                <bottom style="thin">
                  <color rgb="FFFF0000"/>
                </bottom>
                <vertical/>
                <horizontal/>
              </border>
            </x14:dxf>
          </x14:cfRule>
          <xm:sqref>S8:AG8</xm:sqref>
        </x14:conditionalFormatting>
        <x14:conditionalFormatting xmlns:xm="http://schemas.microsoft.com/office/excel/2006/main">
          <x14:cfRule type="expression" priority="399" id="{413A127C-3F89-44C1-8968-E5DD32514790}">
            <xm:f>'Sprachen &amp; Rückgabewerte'!$L$43=0</xm:f>
            <x14:dxf>
              <border>
                <left style="thin">
                  <color rgb="FFFF0000"/>
                </left>
                <vertical/>
                <horizontal/>
              </border>
            </x14:dxf>
          </x14:cfRule>
          <xm:sqref>AH5:AH8</xm:sqref>
        </x14:conditionalFormatting>
        <x14:conditionalFormatting xmlns:xm="http://schemas.microsoft.com/office/excel/2006/main">
          <x14:cfRule type="expression" priority="157" id="{C69D6067-8572-40C3-9169-4644E6C0A904}">
            <xm:f>'Sprachen &amp; Rückgabewerte'!$L$43=0</xm:f>
            <x14:dxf>
              <border>
                <top style="thin">
                  <color rgb="FFFF0000"/>
                </top>
                <vertical/>
                <horizontal/>
              </border>
            </x14:dxf>
          </x14:cfRule>
          <xm:sqref>AH5:AM5</xm:sqref>
        </x14:conditionalFormatting>
        <x14:conditionalFormatting xmlns:xm="http://schemas.microsoft.com/office/excel/2006/main">
          <x14:cfRule type="expression" priority="397" id="{85DBBB4B-41E6-4CD4-B9C8-0AAF8D5402D6}">
            <xm:f>'Sprachen &amp; Rückgabewerte'!$L$43=0</xm:f>
            <x14:dxf>
              <border>
                <right style="thin">
                  <color rgb="FFFF0000"/>
                </right>
                <vertical/>
                <horizontal/>
              </border>
            </x14:dxf>
          </x14:cfRule>
          <xm:sqref>AM5:AM8</xm:sqref>
        </x14:conditionalFormatting>
        <x14:conditionalFormatting xmlns:xm="http://schemas.microsoft.com/office/excel/2006/main">
          <x14:cfRule type="expression" priority="396" id="{247D74DA-2DD5-4574-85E7-E8BA775863B2}">
            <xm:f>'Sprachen &amp; Rückgabewerte'!$L$43=0</xm:f>
            <x14:dxf>
              <border>
                <bottom style="thin">
                  <color rgb="FFFF0000"/>
                </bottom>
                <vertical/>
                <horizontal/>
              </border>
            </x14:dxf>
          </x14:cfRule>
          <xm:sqref>AH8:AM8</xm:sqref>
        </x14:conditionalFormatting>
        <x14:conditionalFormatting xmlns:xm="http://schemas.microsoft.com/office/excel/2006/main">
          <x14:cfRule type="expression" priority="395" id="{D6E0E1D0-835F-46B3-8F7C-121E814A05CA}">
            <xm:f>'Sprachen &amp; Rückgabewerte'!$L$44=0</xm:f>
            <x14:dxf>
              <border>
                <left style="thin">
                  <color rgb="FFFF0000"/>
                </left>
                <vertical/>
                <horizontal/>
              </border>
            </x14:dxf>
          </x14:cfRule>
          <xm:sqref>AN5:AN8</xm:sqref>
        </x14:conditionalFormatting>
        <x14:conditionalFormatting xmlns:xm="http://schemas.microsoft.com/office/excel/2006/main">
          <x14:cfRule type="expression" priority="394" id="{FFEE65DF-5171-448C-A731-03A155C5704E}">
            <xm:f>'Sprachen &amp; Rückgabewerte'!$L$44=0</xm:f>
            <x14:dxf>
              <border>
                <top style="thin">
                  <color rgb="FFFF0000"/>
                </top>
                <vertical/>
                <horizontal/>
              </border>
            </x14:dxf>
          </x14:cfRule>
          <xm:sqref>AN5:AT5</xm:sqref>
        </x14:conditionalFormatting>
        <x14:conditionalFormatting xmlns:xm="http://schemas.microsoft.com/office/excel/2006/main">
          <x14:cfRule type="expression" priority="393" id="{78E3A88B-5830-4DEA-9C2A-39983FB1EF92}">
            <xm:f>'Sprachen &amp; Rückgabewerte'!$L$44=0</xm:f>
            <x14:dxf>
              <border>
                <right style="thin">
                  <color rgb="FFFF0000"/>
                </right>
                <vertical/>
                <horizontal/>
              </border>
            </x14:dxf>
          </x14:cfRule>
          <xm:sqref>AT5:AT8</xm:sqref>
        </x14:conditionalFormatting>
        <x14:conditionalFormatting xmlns:xm="http://schemas.microsoft.com/office/excel/2006/main">
          <x14:cfRule type="expression" priority="392" id="{59AE603F-97ED-49BC-9ED3-453E33B6E634}">
            <xm:f>'Sprachen &amp; Rückgabewerte'!$L$44=0</xm:f>
            <x14:dxf>
              <border>
                <bottom style="thin">
                  <color rgb="FFFF0000"/>
                </bottom>
                <vertical/>
                <horizontal/>
              </border>
            </x14:dxf>
          </x14:cfRule>
          <xm:sqref>AN8:AT8</xm:sqref>
        </x14:conditionalFormatting>
        <x14:conditionalFormatting xmlns:xm="http://schemas.microsoft.com/office/excel/2006/main">
          <x14:cfRule type="expression" priority="390" id="{4040DA42-B028-45C8-8861-50810F047BF6}">
            <xm:f>'Sprachen &amp; Rückgabewerte'!$L$45=0</xm:f>
            <x14:dxf>
              <border>
                <left style="thin">
                  <color rgb="FFFF0000"/>
                </left>
                <vertical/>
                <horizontal/>
              </border>
            </x14:dxf>
          </x14:cfRule>
          <xm:sqref>C9:C30</xm:sqref>
        </x14:conditionalFormatting>
        <x14:conditionalFormatting xmlns:xm="http://schemas.microsoft.com/office/excel/2006/main">
          <x14:cfRule type="expression" priority="383" id="{C41E1FA2-06B0-46C0-81DD-C60D3F3D88D2}">
            <xm:f>'Sprachen &amp; Rückgabewerte'!$L$46=0</xm:f>
            <x14:dxf>
              <border>
                <bottom style="thin">
                  <color rgb="FFFF0000"/>
                </bottom>
                <vertical/>
                <horizontal/>
              </border>
            </x14:dxf>
          </x14:cfRule>
          <x14:cfRule type="expression" priority="389" id="{6754468F-9C24-4C3B-99A4-FFF3242DF8DB}">
            <xm:f>'Sprachen &amp; Rückgabewerte'!$L$45=0</xm:f>
            <x14:dxf>
              <border>
                <bottom style="thin">
                  <color rgb="FFFF0000"/>
                </bottom>
                <vertical/>
                <horizontal/>
              </border>
            </x14:dxf>
          </x14:cfRule>
          <xm:sqref>C30:AT30</xm:sqref>
        </x14:conditionalFormatting>
        <x14:conditionalFormatting xmlns:xm="http://schemas.microsoft.com/office/excel/2006/main">
          <x14:cfRule type="expression" priority="388" id="{C7665F82-0B15-40A5-AD21-43861A640D8B}">
            <xm:f>'Sprachen &amp; Rückgabewerte'!$L$45=0</xm:f>
            <x14:dxf>
              <border>
                <top style="thin">
                  <color rgb="FFFF0000"/>
                </top>
                <vertical/>
                <horizontal/>
              </border>
            </x14:dxf>
          </x14:cfRule>
          <xm:sqref>C9:AT9</xm:sqref>
        </x14:conditionalFormatting>
        <x14:conditionalFormatting xmlns:xm="http://schemas.microsoft.com/office/excel/2006/main">
          <x14:cfRule type="expression" priority="387" id="{63993AA7-06B5-4D57-A595-D032E2FE17E4}">
            <xm:f>'Sprachen &amp; Rückgabewerte'!$L$45=0</xm:f>
            <x14:dxf>
              <border>
                <right style="thin">
                  <color rgb="FFFF0000"/>
                </right>
                <vertical/>
                <horizontal/>
              </border>
            </x14:dxf>
          </x14:cfRule>
          <xm:sqref>AT9:AT30</xm:sqref>
        </x14:conditionalFormatting>
        <x14:conditionalFormatting xmlns:xm="http://schemas.microsoft.com/office/excel/2006/main">
          <x14:cfRule type="expression" priority="386" id="{51DAB7B2-9493-4B8E-B494-29290697C846}">
            <xm:f>'Sprachen &amp; Rückgabewerte'!$L$46=0</xm:f>
            <x14:dxf>
              <border>
                <left style="thin">
                  <color rgb="FFFF0000"/>
                </left>
                <vertical/>
                <horizontal/>
              </border>
            </x14:dxf>
          </x14:cfRule>
          <xm:sqref>C27:C30</xm:sqref>
        </x14:conditionalFormatting>
        <x14:conditionalFormatting xmlns:xm="http://schemas.microsoft.com/office/excel/2006/main">
          <x14:cfRule type="expression" priority="385" id="{36B7EA29-226E-43A9-BB26-F81F50C24B45}">
            <xm:f>'Sprachen &amp; Rückgabewerte'!$L$46=0</xm:f>
            <x14:dxf>
              <border>
                <top style="thin">
                  <color rgb="FFFF0000"/>
                </top>
                <vertical/>
                <horizontal/>
              </border>
            </x14:dxf>
          </x14:cfRule>
          <xm:sqref>C27:AT27</xm:sqref>
        </x14:conditionalFormatting>
        <x14:conditionalFormatting xmlns:xm="http://schemas.microsoft.com/office/excel/2006/main">
          <x14:cfRule type="expression" priority="384" id="{98F98220-761E-4662-ABA2-BEBCF326A417}">
            <xm:f>'Sprachen &amp; Rückgabewerte'!$L$46=0</xm:f>
            <x14:dxf>
              <border>
                <right style="thin">
                  <color rgb="FFFF0000"/>
                </right>
                <vertical/>
                <horizontal/>
              </border>
            </x14:dxf>
          </x14:cfRule>
          <xm:sqref>AT27:AT30</xm:sqref>
        </x14:conditionalFormatting>
        <x14:conditionalFormatting xmlns:xm="http://schemas.microsoft.com/office/excel/2006/main">
          <x14:cfRule type="expression" priority="382" id="{CF6ED8AE-189D-4F4C-9F3B-991D1A47B084}">
            <xm:f>'Sprachen &amp; Rückgabewerte'!$L$47=0</xm:f>
            <x14:dxf>
              <border>
                <left style="thin">
                  <color rgb="FFFF0000"/>
                </left>
                <vertical/>
                <horizontal/>
              </border>
            </x14:dxf>
          </x14:cfRule>
          <xm:sqref>C32:C35</xm:sqref>
        </x14:conditionalFormatting>
        <x14:conditionalFormatting xmlns:xm="http://schemas.microsoft.com/office/excel/2006/main">
          <x14:cfRule type="expression" priority="381" id="{6BFA68C8-42C1-4B47-9358-FB0CD57E7663}">
            <xm:f>'Sprachen &amp; Rückgabewerte'!$L$47=0</xm:f>
            <x14:dxf>
              <border>
                <top style="thin">
                  <color rgb="FFFF0000"/>
                </top>
                <vertical/>
                <horizontal/>
              </border>
            </x14:dxf>
          </x14:cfRule>
          <xm:sqref>C32:AB32</xm:sqref>
        </x14:conditionalFormatting>
        <x14:conditionalFormatting xmlns:xm="http://schemas.microsoft.com/office/excel/2006/main">
          <x14:cfRule type="expression" priority="380" id="{2343BF5F-418E-4E7F-88AA-1AD75D02B5BF}">
            <xm:f>'Sprachen &amp; Rückgabewerte'!$L$47=0</xm:f>
            <x14:dxf>
              <border>
                <right style="thin">
                  <color rgb="FFFF0000"/>
                </right>
                <vertical/>
                <horizontal/>
              </border>
            </x14:dxf>
          </x14:cfRule>
          <xm:sqref>AB32:AB35</xm:sqref>
        </x14:conditionalFormatting>
        <x14:conditionalFormatting xmlns:xm="http://schemas.microsoft.com/office/excel/2006/main">
          <x14:cfRule type="expression" priority="379" id="{06E6AEE8-181B-4EF5-AC65-8D2DC81A8CE1}">
            <xm:f>'Sprachen &amp; Rückgabewerte'!$L$47=0</xm:f>
            <x14:dxf>
              <border>
                <bottom style="thin">
                  <color rgb="FFFF0000"/>
                </bottom>
                <vertical/>
                <horizontal/>
              </border>
            </x14:dxf>
          </x14:cfRule>
          <xm:sqref>C35:AB35</xm:sqref>
        </x14:conditionalFormatting>
        <x14:conditionalFormatting xmlns:xm="http://schemas.microsoft.com/office/excel/2006/main">
          <x14:cfRule type="expression" priority="378" id="{629DB50E-DAE0-4DF7-B654-DE827E6CBF66}">
            <xm:f>'Sprachen &amp; Rückgabewerte'!$M$49=0</xm:f>
            <x14:dxf>
              <border>
                <left style="thin">
                  <color rgb="FFFF0000"/>
                </left>
                <vertical/>
                <horizontal/>
              </border>
            </x14:dxf>
          </x14:cfRule>
          <xm:sqref>C36:C60</xm:sqref>
        </x14:conditionalFormatting>
        <x14:conditionalFormatting xmlns:xm="http://schemas.microsoft.com/office/excel/2006/main">
          <x14:cfRule type="expression" priority="377" id="{27C29809-1434-4E5B-AEBB-9ED431AAA5B6}">
            <xm:f>'Sprachen &amp; Rückgabewerte'!$M$49=0</xm:f>
            <x14:dxf>
              <border>
                <top style="thin">
                  <color rgb="FFFF0000"/>
                </top>
                <vertical/>
                <horizontal/>
              </border>
            </x14:dxf>
          </x14:cfRule>
          <xm:sqref>C36:O36</xm:sqref>
        </x14:conditionalFormatting>
        <x14:conditionalFormatting xmlns:xm="http://schemas.microsoft.com/office/excel/2006/main">
          <x14:cfRule type="expression" priority="376" id="{FC29D0AD-337D-4AAA-8F76-766FEE194275}">
            <xm:f>'Sprachen &amp; Rückgabewerte'!$M$49=0</xm:f>
            <x14:dxf>
              <border>
                <right style="thin">
                  <color rgb="FFFF0000"/>
                </right>
                <vertical/>
                <horizontal/>
              </border>
            </x14:dxf>
          </x14:cfRule>
          <xm:sqref>O36:O60</xm:sqref>
        </x14:conditionalFormatting>
        <x14:conditionalFormatting xmlns:xm="http://schemas.microsoft.com/office/excel/2006/main">
          <x14:cfRule type="expression" priority="375" id="{CEBDF11D-21DC-4208-AF8A-C18428509F6D}">
            <xm:f>'Sprachen &amp; Rückgabewerte'!$M$49=0</xm:f>
            <x14:dxf>
              <border>
                <bottom style="thin">
                  <color rgb="FFFF0000"/>
                </bottom>
                <vertical/>
                <horizontal/>
              </border>
            </x14:dxf>
          </x14:cfRule>
          <xm:sqref>C60:O60</xm:sqref>
        </x14:conditionalFormatting>
        <x14:conditionalFormatting xmlns:xm="http://schemas.microsoft.com/office/excel/2006/main">
          <x14:cfRule type="expression" priority="373" id="{13469A50-4B38-4AA5-9D49-9E8D8363B7D8}">
            <xm:f>'Sprachen &amp; Rückgabewerte'!$L$50=0</xm:f>
            <x14:dxf>
              <border>
                <top style="thin">
                  <color rgb="FFFF0000"/>
                </top>
                <vertical/>
                <horizontal/>
              </border>
            </x14:dxf>
          </x14:cfRule>
          <xm:sqref>P36:AB36</xm:sqref>
        </x14:conditionalFormatting>
        <x14:conditionalFormatting xmlns:xm="http://schemas.microsoft.com/office/excel/2006/main">
          <x14:cfRule type="expression" priority="372" id="{7DDA2CEC-51AC-4526-A239-1469FE0FB14F}">
            <xm:f>'Sprachen &amp; Rückgabewerte'!$L$50=0</xm:f>
            <x14:dxf>
              <border>
                <right style="thin">
                  <color rgb="FFFF0000"/>
                </right>
              </border>
            </x14:dxf>
          </x14:cfRule>
          <xm:sqref>AB36:AB60</xm:sqref>
        </x14:conditionalFormatting>
        <x14:conditionalFormatting xmlns:xm="http://schemas.microsoft.com/office/excel/2006/main">
          <x14:cfRule type="expression" priority="371" id="{EAAF8F36-9795-443E-82FA-9F9264351F6C}">
            <xm:f>'Sprachen &amp; Rückgabewerte'!$L$50=0</xm:f>
            <x14:dxf>
              <border>
                <bottom style="thin">
                  <color rgb="FFFF0000"/>
                </bottom>
                <vertical/>
                <horizontal/>
              </border>
            </x14:dxf>
          </x14:cfRule>
          <xm:sqref>P60:AB60</xm:sqref>
        </x14:conditionalFormatting>
        <x14:conditionalFormatting xmlns:xm="http://schemas.microsoft.com/office/excel/2006/main">
          <x14:cfRule type="expression" priority="370" id="{008997B1-ABFE-4600-90C7-E69B61B1F7F7}">
            <xm:f>'Sprachen &amp; Rückgabewerte'!$L$50=0</xm:f>
            <x14:dxf>
              <border>
                <left style="thin">
                  <color rgb="FFFF0000"/>
                </left>
                <vertical/>
                <horizontal/>
              </border>
            </x14:dxf>
          </x14:cfRule>
          <xm:sqref>P36:P43</xm:sqref>
        </x14:conditionalFormatting>
        <x14:conditionalFormatting xmlns:xm="http://schemas.microsoft.com/office/excel/2006/main">
          <x14:cfRule type="expression" priority="369" id="{C5C7B3EA-B77C-4EC0-BDFA-0D703D681A42}">
            <xm:f>'Sprachen &amp; Rückgabewerte'!$L$50=0</xm:f>
            <x14:dxf>
              <border>
                <left style="thin">
                  <color rgb="FFFF0000"/>
                </left>
                <vertical/>
                <horizontal/>
              </border>
            </x14:dxf>
          </x14:cfRule>
          <xm:sqref>P44:S45</xm:sqref>
        </x14:conditionalFormatting>
        <x14:conditionalFormatting xmlns:xm="http://schemas.microsoft.com/office/excel/2006/main">
          <x14:cfRule type="expression" priority="368" id="{0E9C109C-7A5D-4D2C-80CF-271B07ADFE16}">
            <xm:f>'Sprachen &amp; Rückgabewerte'!$L$50=0</xm:f>
            <x14:dxf>
              <border>
                <left style="thin">
                  <color rgb="FFFF0000"/>
                </left>
                <vertical/>
                <horizontal/>
              </border>
            </x14:dxf>
          </x14:cfRule>
          <xm:sqref>P46:P60</xm:sqref>
        </x14:conditionalFormatting>
        <x14:conditionalFormatting xmlns:xm="http://schemas.microsoft.com/office/excel/2006/main">
          <x14:cfRule type="expression" priority="366" id="{574CD065-223D-487F-A65C-A53ECF149BD1}">
            <xm:f>'Sprachen &amp; Rückgabewerte'!$L$51=0</xm:f>
            <x14:dxf>
              <border>
                <top style="thin">
                  <color rgb="FFFF0000"/>
                </top>
                <vertical/>
                <horizontal/>
              </border>
            </x14:dxf>
          </x14:cfRule>
          <xm:sqref>AE32:AT32</xm:sqref>
        </x14:conditionalFormatting>
        <x14:conditionalFormatting xmlns:xm="http://schemas.microsoft.com/office/excel/2006/main">
          <x14:cfRule type="expression" priority="135" id="{BC8335D2-DB29-48F5-B407-45EABD45FFA5}">
            <xm:f>AND($AY$43&lt;&gt;0,'Sprachen &amp; Rückgabewerte'!$I$19=TRUE)</xm:f>
            <x14:dxf>
              <border>
                <right style="thin">
                  <color rgb="FFFF0000"/>
                </right>
                <vertical/>
                <horizontal/>
              </border>
            </x14:dxf>
          </x14:cfRule>
          <x14:cfRule type="expression" priority="365" id="{E4A93283-9676-43DE-8437-198335DCA7DC}">
            <xm:f>'Sprachen &amp; Rückgabewerte'!$L$51=0</xm:f>
            <x14:dxf>
              <border>
                <right style="thin">
                  <color rgb="FFFF0000"/>
                </right>
                <vertical/>
                <horizontal/>
              </border>
            </x14:dxf>
          </x14:cfRule>
          <xm:sqref>AT32:AT40</xm:sqref>
        </x14:conditionalFormatting>
        <x14:conditionalFormatting xmlns:xm="http://schemas.microsoft.com/office/excel/2006/main">
          <x14:cfRule type="expression" priority="364" id="{112D9614-B2A7-42D3-A82C-2B48ED2625BF}">
            <xm:f>'Sprachen &amp; Rückgabewerte'!$L$51=0</xm:f>
            <x14:dxf>
              <border>
                <bottom style="thin">
                  <color rgb="FFFF0000"/>
                </bottom>
                <vertical/>
                <horizontal/>
              </border>
            </x14:dxf>
          </x14:cfRule>
          <xm:sqref>AE40:AT40</xm:sqref>
        </x14:conditionalFormatting>
        <x14:conditionalFormatting xmlns:xm="http://schemas.microsoft.com/office/excel/2006/main">
          <x14:cfRule type="expression" priority="362" id="{2C6903C0-D6B7-4EA9-A164-5C352A8BC1C1}">
            <xm:f>'Sprachen &amp; Rückgabewerte'!$L$52=0</xm:f>
            <x14:dxf>
              <border>
                <top style="thin">
                  <color rgb="FFFF0000"/>
                </top>
                <vertical/>
                <horizontal/>
              </border>
            </x14:dxf>
          </x14:cfRule>
          <xm:sqref>AE42:AT42</xm:sqref>
        </x14:conditionalFormatting>
        <x14:conditionalFormatting xmlns:xm="http://schemas.microsoft.com/office/excel/2006/main">
          <x14:cfRule type="expression" priority="361" id="{A43C25EF-7FC2-453E-A863-A36897753761}">
            <xm:f>'Sprachen &amp; Rückgabewerte'!$L$52=0</xm:f>
            <x14:dxf>
              <border>
                <right style="thin">
                  <color rgb="FFFF0000"/>
                </right>
                <vertical/>
                <horizontal/>
              </border>
            </x14:dxf>
          </x14:cfRule>
          <xm:sqref>AT42:AT50</xm:sqref>
        </x14:conditionalFormatting>
        <x14:conditionalFormatting xmlns:xm="http://schemas.microsoft.com/office/excel/2006/main">
          <x14:cfRule type="expression" priority="360" id="{63906533-387F-422B-9B27-8C1B8CFC4333}">
            <xm:f>'Sprachen &amp; Rückgabewerte'!$L$52=0</xm:f>
            <x14:dxf>
              <border>
                <bottom style="thin">
                  <color rgb="FFFF0000"/>
                </bottom>
                <vertical/>
                <horizontal/>
              </border>
            </x14:dxf>
          </x14:cfRule>
          <xm:sqref>AM50:AT50</xm:sqref>
        </x14:conditionalFormatting>
        <x14:conditionalFormatting xmlns:xm="http://schemas.microsoft.com/office/excel/2006/main">
          <x14:cfRule type="expression" priority="221" id="{F7A30F78-A069-491E-AC7E-95491E41BAE3}">
            <xm:f>OR('Sprachen &amp; Rückgabewerte'!$I$36=TRUE,'Sprachen &amp; Rückgabewerte'!$I$39=TRUE)</xm:f>
            <x14:dxf>
              <font>
                <color theme="1"/>
              </font>
            </x14:dxf>
          </x14:cfRule>
          <x14:cfRule type="expression" priority="359" id="{F61DC8D9-BA7C-40F2-9D0B-A3BE61349B0B}">
            <xm:f>'Sprachen &amp; Rückgabewerte'!$L$52=0</xm:f>
            <x14:dxf>
              <border>
                <bottom style="thin">
                  <color rgb="FFFF0000"/>
                </bottom>
                <vertical/>
                <horizontal/>
              </border>
            </x14:dxf>
          </x14:cfRule>
          <xm:sqref>AF48:AL50</xm:sqref>
        </x14:conditionalFormatting>
        <x14:conditionalFormatting xmlns:xm="http://schemas.microsoft.com/office/excel/2006/main">
          <x14:cfRule type="expression" priority="358" id="{E79160EE-A0C6-49E9-952D-2AEBB2CDC61E}">
            <xm:f>'Sprachen &amp; Rückgabewerte'!$L$52=0</xm:f>
            <x14:dxf>
              <border>
                <bottom style="thin">
                  <color rgb="FFFF0000"/>
                </bottom>
                <vertical/>
                <horizontal/>
              </border>
            </x14:dxf>
          </x14:cfRule>
          <xm:sqref>AE50</xm:sqref>
        </x14:conditionalFormatting>
        <x14:conditionalFormatting xmlns:xm="http://schemas.microsoft.com/office/excel/2006/main">
          <x14:cfRule type="expression" priority="356" id="{A77CF461-5036-4B96-9AFE-5404670C1E8C}">
            <xm:f>'Sprachen &amp; Rückgabewerte'!$L$53=0</xm:f>
            <x14:dxf>
              <border>
                <top style="thin">
                  <color rgb="FFFF0000"/>
                </top>
                <vertical/>
                <horizontal/>
              </border>
            </x14:dxf>
          </x14:cfRule>
          <xm:sqref>AE52:AT52</xm:sqref>
        </x14:conditionalFormatting>
        <x14:conditionalFormatting xmlns:xm="http://schemas.microsoft.com/office/excel/2006/main">
          <x14:cfRule type="expression" priority="355" id="{BE57AD4E-14DB-4A35-A10B-3CEB76DBFF5E}">
            <xm:f>'Sprachen &amp; Rückgabewerte'!$L$53=0</xm:f>
            <x14:dxf>
              <border>
                <right style="thin">
                  <color rgb="FFFF0000"/>
                </right>
                <vertical/>
                <horizontal/>
              </border>
            </x14:dxf>
          </x14:cfRule>
          <xm:sqref>AT52:AT58</xm:sqref>
        </x14:conditionalFormatting>
        <x14:conditionalFormatting xmlns:xm="http://schemas.microsoft.com/office/excel/2006/main">
          <x14:cfRule type="expression" priority="354" id="{F6487480-8F9D-490B-99FA-5020089E814F}">
            <xm:f>'Sprachen &amp; Rückgabewerte'!$L$53=0</xm:f>
            <x14:dxf>
              <border>
                <bottom style="thin">
                  <color rgb="FFFF0000"/>
                </bottom>
                <vertical/>
                <horizontal/>
              </border>
            </x14:dxf>
          </x14:cfRule>
          <xm:sqref>AE58:AT58</xm:sqref>
        </x14:conditionalFormatting>
        <x14:conditionalFormatting xmlns:xm="http://schemas.microsoft.com/office/excel/2006/main">
          <x14:cfRule type="expression" priority="352" id="{9CE44EB0-89A8-4FC5-8847-ABDD43DFF319}">
            <xm:f>'Sprachen &amp; Rückgabewerte'!$L$54=0</xm:f>
            <x14:dxf>
              <border>
                <top style="thin">
                  <color rgb="FFFF0000"/>
                </top>
                <vertical/>
                <horizontal/>
              </border>
            </x14:dxf>
          </x14:cfRule>
          <xm:sqref>AE60:AT60</xm:sqref>
        </x14:conditionalFormatting>
        <x14:conditionalFormatting xmlns:xm="http://schemas.microsoft.com/office/excel/2006/main">
          <x14:cfRule type="expression" priority="351" id="{22C39B3E-EA88-4C2E-AE69-0BE93003D7DC}">
            <xm:f>'Sprachen &amp; Rückgabewerte'!$L$54=0</xm:f>
            <x14:dxf>
              <border>
                <right style="thin">
                  <color rgb="FFFF0000"/>
                </right>
                <vertical/>
                <horizontal/>
              </border>
            </x14:dxf>
          </x14:cfRule>
          <xm:sqref>AT60:AT71</xm:sqref>
        </x14:conditionalFormatting>
        <x14:conditionalFormatting xmlns:xm="http://schemas.microsoft.com/office/excel/2006/main">
          <x14:cfRule type="expression" priority="350" id="{693D484C-3D2D-4617-97D0-608C6D2A6AC0}">
            <xm:f>'Sprachen &amp; Rückgabewerte'!$L$54=0</xm:f>
            <x14:dxf>
              <border>
                <bottom style="thin">
                  <color rgb="FFFF0000"/>
                </bottom>
                <vertical/>
                <horizontal/>
              </border>
            </x14:dxf>
          </x14:cfRule>
          <xm:sqref>AE71:AT71</xm:sqref>
        </x14:conditionalFormatting>
        <x14:conditionalFormatting xmlns:xm="http://schemas.microsoft.com/office/excel/2006/main">
          <x14:cfRule type="expression" priority="348" id="{1E67870B-D4E4-45E5-BC95-582B0A966624}">
            <xm:f>'Sprachen &amp; Rückgabewerte'!$L$55=0</xm:f>
            <x14:dxf>
              <border>
                <top style="thin">
                  <color rgb="FFFF0000"/>
                </top>
                <vertical/>
                <horizontal/>
              </border>
            </x14:dxf>
          </x14:cfRule>
          <xm:sqref>AE83:AT83</xm:sqref>
        </x14:conditionalFormatting>
        <x14:conditionalFormatting xmlns:xm="http://schemas.microsoft.com/office/excel/2006/main">
          <x14:cfRule type="expression" priority="347" id="{4D5F6C1E-447E-4EFC-9F74-52EEA92C31E2}">
            <xm:f>'Sprachen &amp; Rückgabewerte'!$L$55=0</xm:f>
            <x14:dxf>
              <border>
                <right style="thin">
                  <color rgb="FFFF0000"/>
                </right>
                <vertical/>
                <horizontal/>
              </border>
            </x14:dxf>
          </x14:cfRule>
          <xm:sqref>AT83:AT93</xm:sqref>
        </x14:conditionalFormatting>
        <x14:conditionalFormatting xmlns:xm="http://schemas.microsoft.com/office/excel/2006/main">
          <x14:cfRule type="expression" priority="346" id="{E71E51A0-8B55-4A67-A705-C8849C80BE5E}">
            <xm:f>'Sprachen &amp; Rückgabewerte'!$L$55=0</xm:f>
            <x14:dxf>
              <border>
                <bottom style="thin">
                  <color rgb="FFFF0000"/>
                </bottom>
                <vertical/>
                <horizontal/>
              </border>
            </x14:dxf>
          </x14:cfRule>
          <xm:sqref>AE93:AT93</xm:sqref>
        </x14:conditionalFormatting>
        <x14:conditionalFormatting xmlns:xm="http://schemas.microsoft.com/office/excel/2006/main">
          <x14:cfRule type="expression" priority="339" id="{528AF54C-7CEC-4A63-BFF3-57E05229FCB0}">
            <xm:f>'Sprachen &amp; Rückgabewerte'!$M$59=0</xm:f>
            <x14:dxf>
              <border>
                <right style="thin">
                  <color rgb="FFFF0000"/>
                </right>
                <vertical/>
                <horizontal/>
              </border>
            </x14:dxf>
          </x14:cfRule>
          <xm:sqref>AB86</xm:sqref>
        </x14:conditionalFormatting>
        <x14:conditionalFormatting xmlns:xm="http://schemas.microsoft.com/office/excel/2006/main">
          <x14:cfRule type="expression" priority="338" id="{629CFD6F-98B4-44BC-A08A-43A2B44792A4}">
            <xm:f>'Sprachen &amp; Rückgabewerte'!$M$59=0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331" id="{23FE246D-832F-41D0-8C1B-2211340E26EC}">
            <xm:f>K$20='Sprachen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32" id="{FF76540C-4EB4-4834-BFED-4C5CEC16E07E}">
            <xm:f>K$20='Sprachen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329" id="{A84EA898-6EAB-4705-937C-2E4F012B2F31}">
            <xm:f>O$20='Sprachen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30" id="{BA859C25-747D-4A64-9F49-8CF41C812E08}">
            <xm:f>O$20='Sprachen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327" id="{9F7CE6F7-7110-4EEA-8817-8900144E9D41}">
            <xm:f>S$20='Sprachen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8" id="{490D8764-B7A0-4A0F-A68B-2B5688425CD0}">
            <xm:f>S$20='Sprachen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325" id="{A47C058C-CA8A-4172-87AD-1E8143843BD2}">
            <xm:f>W$20='Sprachen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6" id="{05C8FD02-8D5B-4FD4-A5A1-B76BF14A7FC6}">
            <xm:f>W$20='Sprachen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323" id="{590F1F50-DB34-4297-B655-44126255972E}">
            <xm:f>AA$20='Sprachen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4" id="{2B9C97FF-AC54-4CB3-AA5C-D619B59399EE}">
            <xm:f>AA$20='Sprachen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321" id="{0C53908B-E6A0-4612-8E88-00BAEF482A04}">
            <xm:f>AE$20='Sprachen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2" id="{592F0AF0-867A-4DE5-A75D-8BC1746B7873}">
            <xm:f>AE$20='Sprachen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319" id="{35D0F7EC-AE3D-408F-8EFF-BAE1B088B28D}">
            <xm:f>AI$20='Sprachen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20" id="{23078352-6B08-4E0B-9D0B-62ED05C2FD95}">
            <xm:f>AI$20='Sprachen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317" id="{098DF62C-6820-495A-A52F-020EFE9DBB7F}">
            <xm:f>AM$20='Sprachen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18" id="{576660C4-171E-4622-A117-6107C393FC2E}">
            <xm:f>AM$20='Sprachen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314" id="{69443AD2-555F-42C2-B94F-B3AF0077A83C}">
            <xm:f>'Sprachen &amp; Rückgabewerte'!$M$59=0</xm:f>
            <x14:dxf>
              <border>
                <top style="thin">
                  <color rgb="FFFF0000"/>
                </top>
                <vertical/>
                <horizontal/>
              </border>
            </x14:dxf>
          </x14:cfRule>
          <xm:sqref>L86:AB86</xm:sqref>
        </x14:conditionalFormatting>
        <x14:conditionalFormatting xmlns:xm="http://schemas.microsoft.com/office/excel/2006/main">
          <x14:cfRule type="expression" priority="313" id="{B96340AD-DD86-491F-AFB1-85E3CB12D9AB}">
            <xm:f>'Sprachen &amp; Rückgabewerte'!$M$59=0</xm:f>
            <x14:dxf>
              <border>
                <bottom style="thin">
                  <color rgb="FFFF0000"/>
                </bottom>
                <vertical/>
                <horizontal/>
              </border>
            </x14:dxf>
          </x14:cfRule>
          <xm:sqref>L97:AB97</xm:sqref>
        </x14:conditionalFormatting>
        <x14:conditionalFormatting xmlns:xm="http://schemas.microsoft.com/office/excel/2006/main">
          <x14:cfRule type="expression" priority="270" id="{D82EFCAB-7574-49D8-89FB-0833935795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68" id="{88698145-2C6A-4DFB-B60A-7E969C4AFA0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67" id="{DE2DA488-A332-45B4-AA4A-E3E6B1B5965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66" id="{BFE291E2-6676-4D8F-9353-F17CA8DF4209}">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65" id="{573A243E-6B71-4C36-B704-F7D3F11821A6}">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64" id="{7D9A6347-B5B7-419C-AE53-3BDAE1C2DFB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63" id="{D8369599-1775-4BF6-9818-E0A82D811ABD}">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62" id="{91D833F2-423A-4E80-866B-7388B3B7D64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61" id="{36388280-F24C-4707-93E7-CB09A6FC99F3}">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260" id="{BD14EB3C-5E98-4173-9113-C3EA144A10C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259" id="{3FF71CF9-C149-42D3-A598-3B00EE9584E7}">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258" id="{16E5547E-1F90-4007-8295-DDD8020595C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257" id="{17933CFB-9FCF-4E91-AEB5-6F3F4603189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256" id="{C0FDD986-F447-432C-957E-7D8B034B97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255" id="{116A4977-89DD-4D56-9F22-8B88C98809D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254" id="{A2AD3038-7D46-4A8B-A542-60F19B0388D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253" id="{9349992A-F404-4E98-9381-AB709EFD4D65}">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45" id="{31946FF2-9202-427E-B3D5-49166D6320A6}">
            <xm:f>'Sprachen &amp; Rückgabewerte'!$U$49=FALSE</xm:f>
            <x14:dxf>
              <border>
                <top style="thin">
                  <color rgb="FFFF0000"/>
                </top>
                <vertical/>
                <horizontal/>
              </border>
            </x14:dxf>
          </x14:cfRule>
          <x14:cfRule type="expression" priority="225" id="{293D9D92-3617-43ED-8611-380D03571DCD}">
            <xm:f>'Sprachen &amp; Rückgabewerte'!$I$133=TRUE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67" id="{4C1E806B-96D5-4403-98B4-A0D5A6645103}">
            <xm:f>AND($AL$39="",'Sprachen &amp; Rückgabewerte'!$I$22=TRUE)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24" id="{DE3B6DB4-86B6-459E-9DFD-CE7352108555}">
            <xm:f>'Sprachen &amp; Rückgabewerte'!$I$22=FALSE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83" id="{706223C7-BB6F-4132-825B-C71D52EB1C67}">
            <xm:f>'Sprachen &amp; Rückgabewerte'!$I$36=FALSE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40" id="{1662B34E-7F61-4F70-B3F9-BE130AD73CB5}">
            <xm:f>'Sprachen &amp; Rückgabewerte'!$I$39=FALSE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82" id="{371D2140-9E49-4DC7-94D3-6B23EE88F1D5}">
            <xm:f>AND('Sprachen &amp; Rückgabewerte'!$I$36=FALSE,'Sprachen &amp; Rückgabewerte'!$I$39=FALSE)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61" id="{7273CF32-6345-44F7-A7BC-1000A033B167}">
            <xm:f>'Sprachen &amp; Rückgabewerte'!$I$45=FALSE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217" id="{3D8EC986-9DBA-463B-A7CA-13E9DC3ABF56}">
            <xm:f>'Sprachen &amp; Rückgabewerte'!$L$67=TRUE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216" id="{D95FE6FD-7696-4C72-89CE-0423BBDEFA87}">
            <xm:f>'Sprachen &amp; Rückgabewerte'!$L$68=TRUE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33" id="{B16D7E35-8C2F-4672-8F9C-D94A55FEE831}">
            <xm:f>AND($AY$43&lt;&gt;0,'Sprachen &amp; Rückgabewerte'!$I$19=TRUE)</xm:f>
            <x14:dxf>
              <border>
                <left style="thin">
                  <color rgb="FFFF0000"/>
                </left>
                <bottom/>
                <vertical/>
                <horizontal/>
              </border>
            </x14:dxf>
          </x14:cfRule>
          <x14:cfRule type="expression" priority="214" id="{9D87161D-FFD6-477A-A507-6447D5401286}">
            <xm:f>'Sprachen &amp; Rückgabewerte'!$L$51=0</xm:f>
            <x14:dxf>
              <border>
                <left style="thin">
                  <color rgb="FFFF0000"/>
                </left>
                <vertical/>
                <horizontal/>
              </border>
            </x14:dxf>
          </x14:cfRule>
          <xm:sqref>AD32:AD40</xm:sqref>
        </x14:conditionalFormatting>
        <x14:conditionalFormatting xmlns:xm="http://schemas.microsoft.com/office/excel/2006/main">
          <x14:cfRule type="expression" priority="132" id="{9309BF26-E37B-43BD-98DD-33DC17F6E944}">
            <xm:f>AND($AY$43&lt;&gt;0,'Sprachen &amp; Rückgabewerte'!$I$19=TRUE)</xm:f>
            <x14:dxf>
              <border>
                <bottom style="thin">
                  <color rgb="FFFF0000"/>
                </bottom>
                <vertical/>
                <horizontal/>
              </border>
            </x14:dxf>
          </x14:cfRule>
          <x14:cfRule type="expression" priority="213" id="{EA8EAD5B-357A-4CCF-8978-8DE10903BF03}">
            <xm:f>'Sprachen &amp; Rückgabewerte'!$L$51=0</xm:f>
            <x14:dxf>
              <border>
                <bottom style="thin">
                  <color rgb="FFFF0000"/>
                </bottom>
                <vertical/>
                <horizontal/>
              </border>
            </x14:dxf>
          </x14:cfRule>
          <xm:sqref>AD40</xm:sqref>
        </x14:conditionalFormatting>
        <x14:conditionalFormatting xmlns:xm="http://schemas.microsoft.com/office/excel/2006/main">
          <x14:cfRule type="expression" priority="212" id="{AA43589D-9B2E-4B0A-A913-74706EDF2C6E}">
            <xm:f>'Sprachen &amp; Rückgabewerte'!$L$51=0</xm:f>
            <x14:dxf>
              <border>
                <top style="thin">
                  <color rgb="FFFF0000"/>
                </top>
                <vertical/>
                <horizontal/>
              </border>
            </x14:dxf>
          </x14:cfRule>
          <xm:sqref>AD32</xm:sqref>
        </x14:conditionalFormatting>
        <x14:conditionalFormatting xmlns:xm="http://schemas.microsoft.com/office/excel/2006/main">
          <x14:cfRule type="expression" priority="211" id="{19460B4C-2B32-4ABF-8640-C84337E0BA38}">
            <xm:f>'Sprachen &amp; Rückgabewerte'!$L$52=0</xm:f>
            <x14:dxf>
              <border>
                <left style="thin">
                  <color rgb="FFFF0000"/>
                </left>
                <vertical/>
                <horizontal/>
              </border>
            </x14:dxf>
          </x14:cfRule>
          <xm:sqref>AD42:AD50</xm:sqref>
        </x14:conditionalFormatting>
        <x14:conditionalFormatting xmlns:xm="http://schemas.microsoft.com/office/excel/2006/main">
          <x14:cfRule type="expression" priority="210" id="{D6D6E375-8C49-46D7-B0C0-362A4705F56B}">
            <xm:f>'Sprachen &amp; Rückgabewerte'!$L$52=0</xm:f>
            <x14:dxf>
              <border>
                <top style="thin">
                  <color rgb="FFFF0000"/>
                </top>
                <vertical/>
                <horizontal/>
              </border>
            </x14:dxf>
          </x14:cfRule>
          <xm:sqref>AD42</xm:sqref>
        </x14:conditionalFormatting>
        <x14:conditionalFormatting xmlns:xm="http://schemas.microsoft.com/office/excel/2006/main">
          <x14:cfRule type="expression" priority="209" id="{BDF5F173-A15D-4198-BF54-47694A2454D2}">
            <xm:f>'Sprachen &amp; Rückgabewerte'!$L$52=0</xm:f>
            <x14:dxf>
              <border>
                <bottom style="thin">
                  <color rgb="FFFF0000"/>
                </bottom>
                <vertical/>
                <horizontal/>
              </border>
            </x14:dxf>
          </x14:cfRule>
          <xm:sqref>AD50</xm:sqref>
        </x14:conditionalFormatting>
        <x14:conditionalFormatting xmlns:xm="http://schemas.microsoft.com/office/excel/2006/main">
          <x14:cfRule type="expression" priority="208" id="{FA76F8C3-CF64-4DB6-9689-4765074DE0D0}">
            <xm:f>'Sprachen &amp; Rückgabewerte'!$L$53=0</xm:f>
            <x14:dxf>
              <border>
                <left style="thin">
                  <color rgb="FFFF0000"/>
                </left>
                <vertical/>
                <horizontal/>
              </border>
            </x14:dxf>
          </x14:cfRule>
          <xm:sqref>AD52:AD58</xm:sqref>
        </x14:conditionalFormatting>
        <x14:conditionalFormatting xmlns:xm="http://schemas.microsoft.com/office/excel/2006/main">
          <x14:cfRule type="expression" priority="207" id="{B9B57EF6-BE68-4F01-AE90-F47AD29CCFCA}">
            <xm:f>'Sprachen &amp; Rückgabewerte'!$L$53=0</xm:f>
            <x14:dxf>
              <border>
                <top style="thin">
                  <color rgb="FFFF0000"/>
                </top>
                <vertical/>
                <horizontal/>
              </border>
            </x14:dxf>
          </x14:cfRule>
          <xm:sqref>AD52</xm:sqref>
        </x14:conditionalFormatting>
        <x14:conditionalFormatting xmlns:xm="http://schemas.microsoft.com/office/excel/2006/main">
          <x14:cfRule type="expression" priority="206" id="{4ED43696-078F-4FFB-AF3C-E1E3F08AD99D}">
            <xm:f>'Sprachen &amp; Rückgabewerte'!$L$53=0</xm:f>
            <x14:dxf>
              <border>
                <bottom style="thin">
                  <color rgb="FFFF0000"/>
                </bottom>
                <vertical/>
                <horizontal/>
              </border>
            </x14:dxf>
          </x14:cfRule>
          <xm:sqref>AD58</xm:sqref>
        </x14:conditionalFormatting>
        <x14:conditionalFormatting xmlns:xm="http://schemas.microsoft.com/office/excel/2006/main">
          <x14:cfRule type="expression" priority="205" id="{A28A9151-4F56-4AEA-B32A-5ED255BCA9EC}">
            <xm:f>'Sprachen &amp; Rückgabewerte'!$L$54=0</xm:f>
            <x14:dxf>
              <border>
                <left style="thin">
                  <color rgb="FFFF0000"/>
                </left>
                <vertical/>
                <horizontal/>
              </border>
            </x14:dxf>
          </x14:cfRule>
          <xm:sqref>AD60:AD71</xm:sqref>
        </x14:conditionalFormatting>
        <x14:conditionalFormatting xmlns:xm="http://schemas.microsoft.com/office/excel/2006/main">
          <x14:cfRule type="expression" priority="204" id="{FA1D7E99-85A4-4AD6-BE5C-644BAFD9B6C7}">
            <xm:f>'Sprachen &amp; Rückgabewerte'!$L$54=0</xm:f>
            <x14:dxf>
              <border>
                <top style="thin">
                  <color rgb="FFFF0000"/>
                </top>
                <vertical/>
                <horizontal/>
              </border>
            </x14:dxf>
          </x14:cfRule>
          <xm:sqref>AD60</xm:sqref>
        </x14:conditionalFormatting>
        <x14:conditionalFormatting xmlns:xm="http://schemas.microsoft.com/office/excel/2006/main">
          <x14:cfRule type="expression" priority="203" id="{C6BC96F2-7F26-42CA-B74C-3D7FB5937184}">
            <xm:f>'Sprachen &amp; Rückgabewerte'!$L$54=0</xm:f>
            <x14:dxf>
              <border>
                <bottom style="thin">
                  <color rgb="FFFF0000"/>
                </bottom>
                <vertical/>
                <horizontal/>
              </border>
            </x14:dxf>
          </x14:cfRule>
          <xm:sqref>AD71</xm:sqref>
        </x14:conditionalFormatting>
        <x14:conditionalFormatting xmlns:xm="http://schemas.microsoft.com/office/excel/2006/main">
          <x14:cfRule type="expression" priority="178" id="{1C0B2AE4-E238-44FA-BB21-994BF99FBD39}">
            <xm:f>'Sprachen &amp; Rückgabewerte'!$C$64=0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201" id="{BBC36F70-56B4-42BF-B5B0-D40DE2D86518}">
            <xm:f>'Sprachen &amp; Rückgabewerte'!$L$55=0</xm:f>
            <x14:dxf>
              <border>
                <left style="thin">
                  <color rgb="FFFF0000"/>
                </left>
                <vertical/>
                <horizontal/>
              </border>
            </x14:dxf>
          </x14:cfRule>
          <xm:sqref>AD83:AD93</xm:sqref>
        </x14:conditionalFormatting>
        <x14:conditionalFormatting xmlns:xm="http://schemas.microsoft.com/office/excel/2006/main">
          <x14:cfRule type="expression" priority="200" id="{040CC6F3-ACAE-4F68-AF22-AE1404C1BB98}">
            <xm:f>'Sprachen &amp; Rückgabewerte'!$L$55=0</xm:f>
            <x14:dxf>
              <border>
                <top style="thin">
                  <color rgb="FFFF0000"/>
                </top>
                <vertical/>
                <horizontal/>
              </border>
            </x14:dxf>
          </x14:cfRule>
          <xm:sqref>AD83</xm:sqref>
        </x14:conditionalFormatting>
        <x14:conditionalFormatting xmlns:xm="http://schemas.microsoft.com/office/excel/2006/main">
          <x14:cfRule type="expression" priority="199" id="{2724888A-CAA9-4758-9CAA-1152F7F2584A}">
            <xm:f>'Sprachen &amp; Rückgabewerte'!$L$55=0</xm:f>
            <x14:dxf>
              <border>
                <bottom style="thin">
                  <color rgb="FFFF0000"/>
                </bottom>
                <vertical/>
                <horizontal/>
              </border>
            </x14:dxf>
          </x14:cfRule>
          <xm:sqref>AD93</xm:sqref>
        </x14:conditionalFormatting>
        <x14:conditionalFormatting xmlns:xm="http://schemas.microsoft.com/office/excel/2006/main">
          <x14:cfRule type="expression" priority="165" id="{B8F3D000-4FE3-4AED-8ACF-728FD1640DD4}">
            <xm:f>AND($AE$85="",$AE$84='Sprachen &amp; Rückgabewerte'!$H$89)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86" id="{D06AC102-8174-4996-A918-92104E3CB3AB}">
            <xm:f>$AE$84='Sprachen &amp; Rückgabewerte'!$H$89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536" id="{1B73C94D-7FBC-4D2B-A4A2-A021C85C19ED}">
            <xm:f>'Sprachen &amp; Rückgabewerte'!$M$62=2</xm:f>
            <x14:dxf>
              <border>
                <left style="thin">
                  <color rgb="FFFF0000"/>
                </left>
                <vertical/>
                <horizontal/>
              </border>
            </x14:dxf>
          </x14:cfRule>
          <x14:cfRule type="expression" priority="537" id="{A370A41A-1A1E-4570-9F0C-1029A0CF8E50}">
            <xm:f>'Sprachen &amp; Rückgabewerte'!$M$62=3</xm:f>
            <x14:dxf>
              <border>
                <left style="thin">
                  <color rgb="FFFF0000"/>
                </left>
                <vertical/>
                <horizontal/>
              </border>
            </x14:dxf>
          </x14:cfRule>
          <x14:cfRule type="expression" priority="538" id="{C82E4067-4FA9-4F01-84FE-49BEC9998C5B}">
            <xm:f>'Sprachen &amp; Rückgabewerte'!$M$59=0</xm:f>
            <x14:dxf>
              <border>
                <left style="thin">
                  <color rgb="FFFF0000"/>
                </left>
                <vertical/>
                <horizontal/>
              </border>
            </x14:dxf>
          </x14:cfRule>
          <xm:sqref>L86:L97</xm:sqref>
        </x14:conditionalFormatting>
        <x14:conditionalFormatting xmlns:xm="http://schemas.microsoft.com/office/excel/2006/main">
          <x14:cfRule type="expression" priority="540" id="{8A3F5732-761A-4CC2-9460-E3F4A8000187}">
            <xm:f>'Sprachen &amp; Rückgabewerte'!$C$48=FALSE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545" id="{4F4A24BF-6A33-412D-9DDB-E22CF7EA2A54}">
            <xm:f>'Sprachen &amp; Rückgabewerte'!$M$62=3</xm:f>
            <x14:dxf>
              <border>
                <left style="thin">
                  <color rgb="FFFF0000"/>
                </left>
                <vertical/>
                <horizontal/>
              </border>
            </x14:dxf>
          </x14:cfRule>
          <x14:cfRule type="expression" priority="546" id="{96F3995B-AA9B-4FBF-B35B-77E5279E16B3}">
            <xm:f>'Sprachen &amp; Rückgabewerte'!$M$62=2</xm:f>
            <x14:dxf>
              <border>
                <left style="thin">
                  <color rgb="FFFF0000"/>
                </left>
                <vertical/>
                <horizontal/>
              </border>
            </x14:dxf>
          </x14:cfRule>
          <xm:sqref>C73:C97</xm:sqref>
        </x14:conditionalFormatting>
        <x14:conditionalFormatting xmlns:xm="http://schemas.microsoft.com/office/excel/2006/main">
          <x14:cfRule type="expression" priority="547" id="{0266BCF6-24B4-49D6-B177-4AE6E7339945}">
            <xm:f>'Sprachen &amp; Rückgabewerte'!$M$62=2</xm:f>
            <x14:dxf>
              <border>
                <top style="thin">
                  <color rgb="FFFF0000"/>
                </top>
                <vertical/>
                <horizontal/>
              </border>
            </x14:dxf>
          </x14:cfRule>
          <x14:cfRule type="expression" priority="548" id="{4EF7B63E-6011-468D-9CE2-FECA8DE1933C}">
            <xm:f>'Sprachen &amp; Rückgabewerte'!$M$62=3</xm:f>
            <x14:dxf>
              <border>
                <top style="thin">
                  <color rgb="FFFF0000"/>
                </top>
                <vertical/>
                <horizontal/>
              </border>
            </x14:dxf>
          </x14:cfRule>
          <xm:sqref>C73:AB73</xm:sqref>
        </x14:conditionalFormatting>
        <x14:conditionalFormatting xmlns:xm="http://schemas.microsoft.com/office/excel/2006/main">
          <x14:cfRule type="expression" priority="549" id="{596AC873-F642-4A64-A9DA-BE6E8042522C}">
            <xm:f>'Sprachen &amp; Rückgabewerte'!$M$62=2</xm:f>
            <x14:dxf>
              <border>
                <right style="thin">
                  <color rgb="FFFF0000"/>
                </right>
                <vertical/>
                <horizontal/>
              </border>
            </x14:dxf>
          </x14:cfRule>
          <x14:cfRule type="expression" priority="550" id="{FC364CAA-4C51-4690-AEC5-8ABBA6C0FCEA}">
            <xm:f>'Sprachen &amp; Rückgabewerte'!$M$62=3</xm:f>
            <x14:dxf>
              <border>
                <right style="thin">
                  <color rgb="FFFF0000"/>
                </right>
                <vertical/>
                <horizontal/>
              </border>
            </x14:dxf>
          </x14:cfRule>
          <xm:sqref>AB73:AB85</xm:sqref>
        </x14:conditionalFormatting>
        <x14:conditionalFormatting xmlns:xm="http://schemas.microsoft.com/office/excel/2006/main">
          <x14:cfRule type="expression" priority="242" id="{C8A6CB38-BE2A-4862-8788-4AE79BCF4779}">
            <xm:f>'Sprachen &amp; Rückgabewerte'!$M$62=2</xm:f>
            <x14:dxf>
              <border>
                <bottom style="thin">
                  <color rgb="FFFF0000"/>
                </bottom>
                <vertical/>
                <horizontal/>
              </border>
            </x14:dxf>
          </x14:cfRule>
          <x14:cfRule type="expression" priority="333" id="{7148C8D4-0675-4CB7-8A9E-89DC0B76C89D}">
            <xm:f>'Sprachen &amp; Rückgabewerte'!$M$62=3</xm:f>
            <x14:dxf>
              <border>
                <bottom style="thin">
                  <color rgb="FFFF0000"/>
                </bottom>
                <vertical/>
                <horizontal/>
              </border>
            </x14:dxf>
          </x14:cfRule>
          <xm:sqref>L85:AB85</xm:sqref>
        </x14:conditionalFormatting>
        <x14:conditionalFormatting xmlns:xm="http://schemas.microsoft.com/office/excel/2006/main">
          <x14:cfRule type="expression" priority="553" id="{D9C4FAD2-9CD3-4529-BFDA-0CCB1777B5E8}">
            <xm:f>'Sprachen &amp; Rückgabewerte'!$M$62=3</xm:f>
            <x14:dxf>
              <border>
                <bottom style="thin">
                  <color rgb="FFFF0000"/>
                </bottom>
                <vertical/>
                <horizontal/>
              </border>
            </x14:dxf>
          </x14:cfRule>
          <x14:cfRule type="expression" priority="554" id="{03662A94-8E13-4442-AB18-8F23F73F86EA}">
            <xm:f>'Sprachen &amp; Rückgabewerte'!$M$62=2</xm:f>
            <x14:dxf>
              <border>
                <bottom style="thin">
                  <color rgb="FFFF0000"/>
                </bottom>
                <vertical/>
                <horizontal/>
              </border>
            </x14:dxf>
          </x14:cfRule>
          <xm:sqref>C97:K97</xm:sqref>
        </x14:conditionalFormatting>
        <x14:conditionalFormatting xmlns:xm="http://schemas.microsoft.com/office/excel/2006/main">
          <x14:cfRule type="expression" priority="555" id="{9B99DCFA-416E-481F-82F7-6517F59B7134}">
            <xm:f>'Sprachen &amp; Rückgabewerte'!$M$60=0</xm:f>
            <x14:dxf>
              <border>
                <left style="thin">
                  <color rgb="FFFF0000"/>
                </left>
                <vertical/>
                <horizontal/>
              </border>
            </x14:dxf>
          </x14:cfRule>
          <xm:sqref>M73:M85</xm:sqref>
        </x14:conditionalFormatting>
        <x14:conditionalFormatting xmlns:xm="http://schemas.microsoft.com/office/excel/2006/main">
          <x14:cfRule type="expression" priority="556" id="{56E0AB2E-DA4F-4F43-81EF-3324653046B0}">
            <xm:f>'Sprachen &amp; Rückgabewerte'!$M$60=0</xm:f>
            <x14:dxf>
              <border>
                <top style="thin">
                  <color rgb="FFFF0000"/>
                </top>
                <vertical/>
                <horizontal/>
              </border>
            </x14:dxf>
          </x14:cfRule>
          <xm:sqref>M73:S73</xm:sqref>
        </x14:conditionalFormatting>
        <x14:conditionalFormatting xmlns:xm="http://schemas.microsoft.com/office/excel/2006/main">
          <x14:cfRule type="expression" priority="557" id="{0C57F321-5513-483E-9C95-8F912CDC60CA}">
            <xm:f>'Sprachen &amp; Rückgabewerte'!$M$60=0</xm:f>
            <x14:dxf>
              <border>
                <right style="thin">
                  <color rgb="FFFF0000"/>
                </right>
                <vertical/>
                <horizontal/>
              </border>
            </x14:dxf>
          </x14:cfRule>
          <xm:sqref>S73:S85</xm:sqref>
        </x14:conditionalFormatting>
        <x14:conditionalFormatting xmlns:xm="http://schemas.microsoft.com/office/excel/2006/main">
          <x14:cfRule type="expression" priority="551" id="{012BACAC-C703-4C67-92B1-7D0550115DE2}">
            <xm:f>'Sprachen &amp; Rückgabewerte'!$M$60=0</xm:f>
            <x14:dxf>
              <border>
                <bottom style="thin">
                  <color rgb="FFFF0000"/>
                </bottom>
                <vertical/>
                <horizontal/>
              </border>
            </x14:dxf>
          </x14:cfRule>
          <xm:sqref>M85:S85</xm:sqref>
        </x14:conditionalFormatting>
        <x14:conditionalFormatting xmlns:xm="http://schemas.microsoft.com/office/excel/2006/main">
          <x14:cfRule type="expression" priority="559" id="{52B09CEE-4E69-4CEA-BC06-31E3414712B6}">
            <xm:f>'Sprachen &amp; Rückgabewerte'!$M$56=0</xm:f>
            <x14:dxf>
              <border>
                <left style="thin">
                  <color rgb="FFFF0000"/>
                </left>
                <vertical/>
                <horizontal/>
              </border>
            </x14:dxf>
          </x14:cfRule>
          <xm:sqref>C62:C72</xm:sqref>
        </x14:conditionalFormatting>
        <x14:conditionalFormatting xmlns:xm="http://schemas.microsoft.com/office/excel/2006/main">
          <x14:cfRule type="expression" priority="195" id="{78A26E41-8354-48A1-A1BE-CB40AF4E41C2}">
            <xm:f>'Sprachen &amp; Rückgabewerte'!$M$56=0</xm:f>
            <x14:dxf>
              <border>
                <bottom style="thin">
                  <color rgb="FFFF0000"/>
                </bottom>
                <vertical/>
                <horizontal/>
              </border>
            </x14:dxf>
          </x14:cfRule>
          <xm:sqref>C72:AB72</xm:sqref>
        </x14:conditionalFormatting>
        <x14:conditionalFormatting xmlns:xm="http://schemas.microsoft.com/office/excel/2006/main">
          <x14:cfRule type="expression" priority="561" id="{A41C41DC-D87D-4562-AC75-E38D8CD1FEB1}">
            <xm:f>'Sprachen &amp; Rückgabewerte'!$M$56=0</xm:f>
            <x14:dxf>
              <border>
                <right style="thin">
                  <color rgb="FFFF0000"/>
                </right>
                <vertical/>
                <horizontal/>
              </border>
            </x14:dxf>
          </x14:cfRule>
          <xm:sqref>AB62:AB72</xm:sqref>
        </x14:conditionalFormatting>
        <x14:conditionalFormatting xmlns:xm="http://schemas.microsoft.com/office/excel/2006/main">
          <x14:cfRule type="expression" priority="562" id="{73CB0511-D828-403C-B93A-7F092574F022}">
            <xm:f>'Sprachen &amp; Rückgabewerte'!$M$56=0</xm:f>
            <x14:dxf>
              <border>
                <top style="thin">
                  <color rgb="FFFF0000"/>
                </top>
                <vertical/>
                <horizontal/>
              </border>
            </x14:dxf>
          </x14:cfRule>
          <xm:sqref>C62:AB62</xm:sqref>
        </x14:conditionalFormatting>
        <x14:conditionalFormatting xmlns:xm="http://schemas.microsoft.com/office/excel/2006/main">
          <x14:cfRule type="expression" priority="171" id="{130FCAD1-4FB0-4018-B3EA-65E9D2C2A5DC}">
            <xm:f>'Sprachen &amp; Rückgabewerte'!$M$66=FALSE</xm:f>
            <x14:dxf>
              <border>
                <left style="thin">
                  <color rgb="FFFF0000"/>
                </left>
                <vertical/>
                <horizontal/>
              </border>
            </x14:dxf>
          </x14:cfRule>
          <xm:sqref>AD73:AD81</xm:sqref>
        </x14:conditionalFormatting>
        <x14:conditionalFormatting xmlns:xm="http://schemas.microsoft.com/office/excel/2006/main">
          <x14:cfRule type="expression" priority="170" id="{119F4C8D-814F-43B6-B782-268CBD06DCFC}">
            <xm:f>'Sprachen &amp; Rückgabewerte'!$M$66=FALSE</xm:f>
            <x14:dxf>
              <border>
                <top style="thin">
                  <color rgb="FFFF0000"/>
                </top>
                <vertical/>
                <horizontal/>
              </border>
            </x14:dxf>
          </x14:cfRule>
          <xm:sqref>AD73:AT73</xm:sqref>
        </x14:conditionalFormatting>
        <x14:conditionalFormatting xmlns:xm="http://schemas.microsoft.com/office/excel/2006/main">
          <x14:cfRule type="expression" priority="169" id="{7D037735-87BC-44F2-A6C2-7D8F37D9CD5C}">
            <xm:f>'Sprachen &amp; Rückgabewerte'!$M$66=FALSE</xm:f>
            <x14:dxf>
              <border>
                <right style="thin">
                  <color rgb="FFFF0000"/>
                </right>
                <vertical/>
                <horizontal/>
              </border>
            </x14:dxf>
          </x14:cfRule>
          <xm:sqref>AT73:AT81</xm:sqref>
        </x14:conditionalFormatting>
        <x14:conditionalFormatting xmlns:xm="http://schemas.microsoft.com/office/excel/2006/main">
          <x14:cfRule type="expression" priority="168" id="{310CDD4D-18EA-47F0-BE91-5B8875D94092}">
            <xm:f>'Sprachen &amp; Rückgabewerte'!$M$66=FALSE</xm:f>
            <x14:dxf>
              <border>
                <bottom style="thin">
                  <color rgb="FFFF0000"/>
                </bottom>
                <vertical/>
                <horizontal/>
              </border>
            </x14:dxf>
          </x14:cfRule>
          <xm:sqref>AD81:AT81</xm:sqref>
        </x14:conditionalFormatting>
        <x14:conditionalFormatting xmlns:xm="http://schemas.microsoft.com/office/excel/2006/main">
          <x14:cfRule type="expression" priority="161" id="{4DEB33E7-19F5-42F3-8109-F684418FCE37}">
            <xm:f>'Sprachen &amp; Rückgabewerte'!$I$5=FALSE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138" id="{FE8FD19C-9485-4573-B92C-AD3D6AC36820}">
            <xm:f>'Sprachen &amp; Rückgabewerte'!$I$19=FALSE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46" id="{36979AD7-69B3-48B2-B81E-C656E4C7B825}">
            <xm:f>'Sprachen &amp; Rückgabewerte'!$I$13=FALSE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37" id="{F1F90DBC-B14F-424E-BB81-FB6A8FDBCBDB}">
            <xm:f>AND($AY$43&lt;&gt;0,'Sprachen &amp; Rückgabewerte'!$I$19=TRUE)</xm:f>
            <x14:dxf>
              <border>
                <top style="thin">
                  <color rgb="FFFF0000"/>
                </top>
                <vertical/>
                <horizontal/>
              </border>
            </x14:dxf>
          </x14:cfRule>
          <x14:cfRule type="expression" priority="143" id="{8DFE0C94-61F9-4806-818B-34223F1263F8}">
            <xm:f>'Sprachen &amp; Rückgabewerte'!$I$19=FALSE</xm:f>
            <x14:dxf>
              <border>
                <top/>
                <vertical/>
                <horizontal/>
              </border>
            </x14:dxf>
          </x14:cfRule>
          <xm:sqref>AU32:AV32</xm:sqref>
        </x14:conditionalFormatting>
        <x14:conditionalFormatting xmlns:xm="http://schemas.microsoft.com/office/excel/2006/main">
          <x14:cfRule type="expression" priority="141" id="{6CE3047A-309F-4E81-91C1-57FD0B2D5744}">
            <xm:f>AND($AY$43&lt;&gt;0,'Sprachen &amp; Rückgabewerte'!$I$19=TRUE)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40" id="{7EB9F6EC-4767-4E0D-9FC9-520F09E26A95}">
            <xm:f>AND($AY$43&lt;&gt;0,'Sprachen &amp; Rückgabewerte'!$I$19=TRUE)</xm:f>
            <x14:dxf>
              <border>
                <right style="thin">
                  <color rgb="FFFF0000"/>
                </right>
                <vertical/>
                <horizontal/>
              </border>
            </x14:dxf>
          </x14:cfRule>
          <xm:sqref>BA33:BA43</xm:sqref>
        </x14:conditionalFormatting>
        <x14:conditionalFormatting xmlns:xm="http://schemas.microsoft.com/office/excel/2006/main">
          <x14:cfRule type="expression" priority="139" id="{4328D074-DD93-42BA-8082-97E8581513C1}">
            <xm:f>AND($AY$43&lt;&gt;0,'Sprachen &amp; Rückgabewerte'!$I$19=TRUE)</xm:f>
            <x14:dxf>
              <border>
                <bottom style="thin">
                  <color rgb="FFFF0000"/>
                </bottom>
                <vertical/>
                <horizontal/>
              </border>
            </x14:dxf>
          </x14:cfRule>
          <xm:sqref>AW43:BA43</xm:sqref>
        </x14:conditionalFormatting>
        <x14:conditionalFormatting xmlns:xm="http://schemas.microsoft.com/office/excel/2006/main">
          <x14:cfRule type="expression" priority="144" id="{0B62978E-C3D5-477D-A26E-59D51364A166}">
            <xm:f>AND($AY$43&lt;&gt;0,'Sprachen &amp; Rückgabewerte'!$I$19=TRUE)</xm:f>
            <x14:dxf>
              <border>
                <left style="thin">
                  <color rgb="FFFF0000"/>
                </left>
                <vertical/>
                <horizontal/>
              </border>
            </x14:dxf>
          </x14:cfRule>
          <xm:sqref>AW33:AW43</xm:sqref>
        </x14:conditionalFormatting>
        <x14:conditionalFormatting xmlns:xm="http://schemas.microsoft.com/office/excel/2006/main">
          <x14:cfRule type="expression" priority="136" id="{77030E63-5DF4-4C27-A5EF-4BC10FFB3900}">
            <xm:f>AND($AY$43&lt;&gt;0,'Sprachen &amp; Rückgabewerte'!$I$19=TRUE)</xm:f>
            <x14:dxf>
              <border>
                <top style="thin">
                  <color rgb="FFFF0000"/>
                </top>
                <vertical/>
                <horizontal/>
              </border>
            </x14:dxf>
          </x14:cfRule>
          <xm:sqref>AD32:AT32</xm:sqref>
        </x14:conditionalFormatting>
        <x14:conditionalFormatting xmlns:xm="http://schemas.microsoft.com/office/excel/2006/main">
          <x14:cfRule type="expression" priority="134" id="{8898F87D-99B2-4FFD-91BF-8DACE635F397}">
            <xm:f>AND($AY$43&lt;&gt;0,'Sprachen &amp; Rückgabewerte'!$I$19=TRUE)</xm:f>
            <x14:dxf>
              <border>
                <bottom style="thin">
                  <color rgb="FFFF0000"/>
                </bottom>
                <vertical/>
                <horizontal/>
              </border>
            </x14:dxf>
          </x14:cfRule>
          <xm:sqref>AD40:AT40</xm:sqref>
        </x14:conditionalFormatting>
        <x14:conditionalFormatting xmlns:xm="http://schemas.microsoft.com/office/excel/2006/main">
          <x14:cfRule type="expression" priority="116" id="{5A11C568-5342-4FD3-9148-2892CE3017AF}">
            <xm:f>AND('Sprachen &amp; Rückgabewerte'!$I$50=TRUE,'Sprachen &amp; Rückgabewerte'!$C$95&lt;&gt;0)</xm:f>
            <x14:dxf>
              <border>
                <top style="thin">
                  <color rgb="FFFF0000"/>
                </top>
                <vertical/>
                <horizontal/>
              </border>
            </x14:dxf>
          </x14:cfRule>
          <xm:sqref>B101:AU101</xm:sqref>
        </x14:conditionalFormatting>
        <x14:conditionalFormatting xmlns:xm="http://schemas.microsoft.com/office/excel/2006/main">
          <x14:cfRule type="expression" priority="115" id="{84546E24-EFD1-482C-81C5-11B9EF0EAB62}">
            <xm:f>AND('Sprachen &amp; Rückgabewerte'!$I$50=TRUE,'Sprachen &amp; Rückgabewerte'!$C$95&lt;&gt;0)</xm:f>
            <x14:dxf>
              <border>
                <right style="thin">
                  <color rgb="FFFF0000"/>
                </right>
                <vertical/>
                <horizontal/>
              </border>
            </x14:dxf>
          </x14:cfRule>
          <xm:sqref>AU101:AU136</xm:sqref>
        </x14:conditionalFormatting>
        <x14:conditionalFormatting xmlns:xm="http://schemas.microsoft.com/office/excel/2006/main">
          <x14:cfRule type="expression" priority="114" id="{8B98683C-6B35-427B-8364-DEA5546CFBF5}">
            <xm:f>AND('Sprachen &amp; Rückgabewerte'!$I$50=TRUE,'Sprachen &amp; Rückgabewerte'!$C$95&lt;&gt;0)</xm:f>
            <x14:dxf>
              <border>
                <bottom style="thin">
                  <color rgb="FFFF0000"/>
                </bottom>
                <vertical/>
                <horizontal/>
              </border>
            </x14:dxf>
          </x14:cfRule>
          <xm:sqref>B136:AU136</xm:sqref>
        </x14:conditionalFormatting>
        <x14:conditionalFormatting xmlns:xm="http://schemas.microsoft.com/office/excel/2006/main">
          <x14:cfRule type="expression" priority="113" id="{EB3F31E1-AA0C-43DC-922E-3EEDFD818669}">
            <xm:f>AND('Sprachen &amp; Rückgabewerte'!$I$50=TRUE,'Sprachen &amp; Rückgabewerte'!$C$95&lt;&gt;0)</xm:f>
            <x14:dxf>
              <border>
                <left style="thin">
                  <color rgb="FFFF0000"/>
                </left>
                <vertical/>
                <horizontal/>
              </border>
            </x14:dxf>
          </x14:cfRule>
          <xm:sqref>B101:B136</xm:sqref>
        </x14:conditionalFormatting>
        <x14:conditionalFormatting xmlns:xm="http://schemas.microsoft.com/office/excel/2006/main">
          <x14:cfRule type="expression" priority="112" id="{6401EB78-11F8-4959-BB7B-8EDC0253407F}">
            <xm:f>AND('Sprachen &amp; Rückgabewerte'!$I$50=TRUE,'Sprachen &amp; Rückgabewerte'!$C$95&lt;&gt;0)</xm:f>
            <x14:dxf>
              <border>
                <top style="thin">
                  <color rgb="FFFF0000"/>
                </top>
                <bottom/>
                <vertical/>
                <horizontal/>
              </border>
            </x14:dxf>
          </x14:cfRule>
          <xm:sqref>AV101</xm:sqref>
        </x14:conditionalFormatting>
        <x14:conditionalFormatting xmlns:xm="http://schemas.microsoft.com/office/excel/2006/main">
          <x14:cfRule type="expression" priority="107" id="{4766351A-C49B-4A58-8CDA-546F04F0668E}">
            <xm:f>'Sprachen &amp; Rückgabewerte'!$I$50=FALSE</xm:f>
            <x14:dxf>
              <border>
                <right/>
                <vertical/>
                <horizontal/>
              </border>
            </x14:dxf>
          </x14:cfRule>
          <x14:cfRule type="expression" priority="111" id="{F0448CC6-EF41-476E-AF6B-8C7010E191A9}">
            <xm:f>AND('Sprachen &amp; Rückgabewerte'!$I$50=TRUE,'Sprachen &amp; Rückgabewerte'!$C$95&lt;&gt;0)</xm:f>
            <x14:dxf>
              <border>
                <right style="thin">
                  <color rgb="FFFF0000"/>
                </right>
                <vertical/>
                <horizontal/>
              </border>
            </x14:dxf>
          </x14:cfRule>
          <xm:sqref>AV84:AV100</xm:sqref>
        </x14:conditionalFormatting>
        <x14:conditionalFormatting xmlns:xm="http://schemas.microsoft.com/office/excel/2006/main">
          <x14:cfRule type="expression" priority="108" id="{28D22000-DCA3-4BE2-BF12-2DDB7B40C32E}">
            <xm:f>'Sprachen &amp; Rückgabewerte'!$I$50=FALSE</xm:f>
            <x14:dxf>
              <border>
                <top/>
                <vertical/>
                <horizontal/>
              </border>
            </x14:dxf>
          </x14:cfRule>
          <x14:cfRule type="expression" priority="110" id="{7B6EFB19-997A-4D90-9D9A-43A6A763CBCC}">
            <xm:f>AND('Sprachen &amp; Rückgabewerte'!$I$50=TRUE,'Sprachen &amp; Rückgabewerte'!$C$95&lt;&gt;0)</xm:f>
            <x14:dxf>
              <border>
                <top style="thin">
                  <color rgb="FFFF0000"/>
                </top>
                <vertical/>
                <horizontal/>
              </border>
            </x14:dxf>
          </x14:cfRule>
          <xm:sqref>AU84:AV84</xm:sqref>
        </x14:conditionalFormatting>
        <x14:conditionalFormatting xmlns:xm="http://schemas.microsoft.com/office/excel/2006/main">
          <x14:cfRule type="expression" priority="106" id="{46BFC2BA-A96A-4452-AF1F-25E04BC71238}">
            <xm:f>'Sprachen &amp; Rückgabewerte'!$I$50=FALSE</xm:f>
            <x14:dxf>
              <border>
                <bottom/>
                <vertical/>
                <horizontal/>
              </border>
            </x14:dxf>
          </x14:cfRule>
          <xm:sqref>AV100</xm:sqref>
        </x14:conditionalFormatting>
        <x14:conditionalFormatting xmlns:xm="http://schemas.microsoft.com/office/excel/2006/main">
          <x14:cfRule type="expression" priority="94" id="{DFF039F9-6239-426D-9E15-D71802073D70}">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67" id="{EC779C36-98BB-4A42-AACC-084826F997BC}">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68" id="{B3956108-1A9B-4E23-A735-319FA0C92A3E}">
            <xm:f>'Sprachen &amp; Rückgabewerte'!$S$41=1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570" id="{AF5F2098-ED3B-4349-8CFB-61B11D4768DA}">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71" id="{A313477C-B479-40F9-86F9-3A2F0BD5BC65}">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572" id="{4C5DC6D0-0976-46E5-9F41-9C493562B0B1}">
            <xm:f>'Sprachen &amp; Rückgabewerte'!$S$41=3</xm:f>
            <x14:dxf>
              <font>
                <b/>
                <i val="0"/>
                <color theme="1"/>
              </font>
            </x14:dxf>
          </x14:cfRule>
          <x14:cfRule type="expression" priority="573" id="{C5EF86F3-B9DA-4334-B722-3323FD680E99}">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574" id="{ED397C57-5727-4E5C-BD35-8D976D9F6208}">
            <xm:f>'Sprachen &amp; Rückgabewerte'!$S$41=3</xm:f>
            <x14:dxf>
              <font>
                <b/>
                <i val="0"/>
                <color theme="1"/>
              </font>
            </x14:dxf>
          </x14:cfRule>
          <xm:sqref>L46</xm:sqref>
        </x14:conditionalFormatting>
        <x14:conditionalFormatting xmlns:xm="http://schemas.microsoft.com/office/excel/2006/main">
          <x14:cfRule type="expression" priority="575" id="{1A827384-057C-4190-A043-E23401683182}">
            <xm:f>'Sprachen &amp; Rückgabewerte'!$S$41=2</xm:f>
            <x14:dxf>
              <font>
                <b/>
                <i val="0"/>
                <color theme="1"/>
              </font>
            </x14:dxf>
          </x14:cfRule>
          <x14:cfRule type="expression" priority="576" id="{CC40A531-4058-4825-8A2A-35A30C05C448}">
            <xm:f>'Sprachen &amp; Rückgabewerte'!$S$41=3</xm:f>
            <x14:dxf>
              <font>
                <b/>
                <i val="0"/>
                <color theme="1"/>
              </font>
            </x14:dxf>
          </x14:cfRule>
          <xm:sqref>L47</xm:sqref>
        </x14:conditionalFormatting>
        <x14:conditionalFormatting xmlns:xm="http://schemas.microsoft.com/office/excel/2006/main">
          <x14:cfRule type="expression" priority="577" id="{438BC191-8C3F-40AA-B1B1-ED912E6313A4}">
            <xm:f>'Sprachen &amp; Rückgabewerte'!$S$41=3</xm:f>
            <x14:dxf>
              <font>
                <b/>
                <i val="0"/>
                <color theme="1"/>
              </font>
            </x14:dxf>
          </x14:cfRule>
          <x14:cfRule type="expression" priority="578" id="{1BE51E2B-F68D-4126-8C72-71EA531F27F8}">
            <xm:f>'Sprachen &amp; Rückgabewerte'!$S$41=2</xm:f>
            <x14:dxf>
              <font>
                <b/>
                <i val="0"/>
                <color theme="1"/>
              </font>
            </x14:dxf>
          </x14:cfRule>
          <x14:cfRule type="expression" priority="579" id="{4E253605-EB2A-48EF-90D3-AA1B103ED572}">
            <xm:f>'Sprachen &amp; Rückgabewerte'!$S$41=1</xm:f>
            <x14:dxf>
              <font>
                <b/>
                <i val="0"/>
                <color theme="1"/>
              </font>
            </x14:dxf>
          </x14:cfRule>
          <xm:sqref>L48</xm:sqref>
        </x14:conditionalFormatting>
        <x14:conditionalFormatting xmlns:xm="http://schemas.microsoft.com/office/excel/2006/main">
          <x14:cfRule type="expression" priority="103" id="{F47B3D03-6D06-4344-90A9-C869154A1630}">
            <xm:f>'Sprachen &amp; Rückgabewerte'!$M$71=0</xm:f>
            <x14:dxf>
              <border>
                <top style="thin">
                  <color rgb="FFFF0000"/>
                </top>
                <vertical/>
                <horizontal/>
              </border>
            </x14:dxf>
          </x14:cfRule>
          <xm:sqref>AW45:AX45</xm:sqref>
        </x14:conditionalFormatting>
        <x14:conditionalFormatting xmlns:xm="http://schemas.microsoft.com/office/excel/2006/main">
          <x14:cfRule type="expression" priority="102" id="{E077E72A-A7DA-42FD-B802-1A17430C095B}">
            <xm:f>'Sprachen &amp; Rückgabewerte'!$M$71=0</xm:f>
            <x14:dxf>
              <border>
                <right style="thin">
                  <color rgb="FFFF0000"/>
                </right>
                <vertical/>
                <horizontal/>
              </border>
            </x14:dxf>
          </x14:cfRule>
          <xm:sqref>AX45:AX47 AW48:AX48 AX49</xm:sqref>
        </x14:conditionalFormatting>
        <x14:conditionalFormatting xmlns:xm="http://schemas.microsoft.com/office/excel/2006/main">
          <x14:cfRule type="expression" priority="101" id="{34B7971C-4257-45CA-B93E-D9C9ACE13915}">
            <xm:f>'Sprachen &amp; Rückgabewerte'!$M$71=0</xm:f>
            <x14:dxf>
              <border>
                <bottom style="thin">
                  <color rgb="FFFF0000"/>
                </bottom>
                <vertical/>
                <horizontal/>
              </border>
            </x14:dxf>
          </x14:cfRule>
          <xm:sqref>AW49:AX49</xm:sqref>
        </x14:conditionalFormatting>
        <x14:conditionalFormatting xmlns:xm="http://schemas.microsoft.com/office/excel/2006/main">
          <x14:cfRule type="expression" priority="100" id="{CF929DAD-789B-451F-8BD5-1A38776BB44A}">
            <xm:f>'Sprachen &amp; Rückgabewerte'!$M$71=0</xm:f>
            <x14:dxf>
              <border>
                <left style="thin">
                  <color rgb="FFFF0000"/>
                </left>
                <vertical/>
                <horizontal/>
              </border>
            </x14:dxf>
          </x14:cfRule>
          <xm:sqref>AW49 AW48:AX48 AW45:AW47</xm:sqref>
        </x14:conditionalFormatting>
        <x14:conditionalFormatting xmlns:xm="http://schemas.microsoft.com/office/excel/2006/main">
          <x14:cfRule type="expression" priority="96" id="{B0D449CA-28B5-4AFE-9C45-AE9863239796}">
            <xm:f>'Sprachen &amp; Rückgabewerte'!$L$71=1</xm:f>
            <x14:dxf>
              <font>
                <color theme="0" tint="-0.14996795556505021"/>
              </font>
              <fill>
                <patternFill>
                  <bgColor theme="0" tint="-0.14996795556505021"/>
                </patternFill>
              </fill>
              <border>
                <top/>
                <vertical/>
                <horizontal/>
              </border>
            </x14:dxf>
          </x14:cfRule>
          <x14:cfRule type="expression" priority="99" id="{9B321A3F-169D-46CC-91EF-87697B6E2BB1}">
            <xm:f>'Sprachen &amp; Rückgabewerte'!$M$71=0</xm:f>
            <x14:dxf>
              <border>
                <top style="thin">
                  <color rgb="FFFF0000"/>
                </top>
                <vertical/>
                <horizontal/>
              </border>
            </x14:dxf>
          </x14:cfRule>
          <xm:sqref>AU45:AV45</xm:sqref>
        </x14:conditionalFormatting>
        <x14:conditionalFormatting xmlns:xm="http://schemas.microsoft.com/office/excel/2006/main">
          <x14:cfRule type="expression" priority="98" id="{5C0E485B-08A5-4A58-A880-EB69F35EE295}">
            <xm:f>'Sprachen &amp; Rückgabewerte'!$L$71=1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65" id="{44D6130B-7297-4A44-AFC3-598E3E4BCFC6}">
            <xm:f>'Sprachen &amp; Rückgabewerte'!$I$50=FALSE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64" id="{0530E3BB-2290-4224-87A4-0FBA830E0D24}">
            <xm:f>'Sprachen &amp; Rückgabewerte'!$I$50=FALSE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62" id="{186201EA-D53B-443F-8D24-F6D7160A332C}">
            <xm:f>$AX$19='Sprachen &amp; Rückgabewerte'!$H$155</xm:f>
            <x14:dxf>
              <font>
                <color rgb="FFFF0000"/>
              </font>
            </x14:dxf>
          </x14:cfRule>
          <xm:sqref>AX19:BA20</xm:sqref>
        </x14:conditionalFormatting>
        <x14:conditionalFormatting xmlns:xm="http://schemas.microsoft.com/office/excel/2006/main">
          <x14:cfRule type="expression" priority="58" id="{38AACAC2-96D2-4E69-95E5-009AA30B9A6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50" id="{DDADCDDF-D2FC-46E2-9DB1-3D6F839FEE45}">
            <xm:f>$AN$80&lt;&gt;'Sprachen &amp; Rückgabewerte'!$H$85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9" id="{47F03CFE-9556-44BC-9E55-30A9AA263771}">
            <xm:f>$AN$80&lt;&gt;'Sprachen &amp; Rückgabewerte'!$H$86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44" id="{35359D8F-8454-4EC5-9A86-3B83072FCC99}">
            <xm:f>'Sprachen &amp; Rückgabewerte'!$U$49=FALSE</xm:f>
            <x14:dxf>
              <border>
                <left style="thin">
                  <color rgb="FFFF0000"/>
                </left>
                <vertical/>
                <horizontal/>
              </border>
            </x14:dxf>
          </x14:cfRule>
          <xm:sqref>E22:H26</xm:sqref>
        </x14:conditionalFormatting>
        <x14:conditionalFormatting xmlns:xm="http://schemas.microsoft.com/office/excel/2006/main">
          <x14:cfRule type="expression" priority="42" id="{390712B9-8C74-418C-80B5-6F57205E21E2}">
            <xm:f>'Sprachen &amp; Rückgabewerte'!$U$49=FALSE</xm:f>
            <x14:dxf>
              <border>
                <right style="thin">
                  <color rgb="FFFF0000"/>
                </right>
                <vertical/>
                <horizontal/>
              </border>
            </x14:dxf>
          </x14:cfRule>
          <xm:sqref>AO22:AR26</xm:sqref>
        </x14:conditionalFormatting>
        <x14:conditionalFormatting xmlns:xm="http://schemas.microsoft.com/office/excel/2006/main">
          <x14:cfRule type="expression" priority="41" id="{87819530-0816-4333-BB81-CD1149B96FCC}">
            <xm:f>'Sprachen &amp; Rückgabewerte'!$I$39=FALSE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8" id="{8AFED6B5-DF19-4A7E-862A-74EE40E2BA32}">
            <xm:f>'Sprachen &amp; Rückgabewerte'!$I$39=FALSE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7" id="{EFFDE6A0-1B85-4E35-AE21-C5A3CA73E603}">
            <xm:f>AND('Sprachen &amp; Rückgabewerte'!$C$16=1,$F$16="")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6" id="{95B7AD5C-733A-4CB0-BB1A-4AF9BD08AE5F}">
            <xm:f>AND('Sprachen &amp; Rückgabewerte'!$C$17=1,$J$16="")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5" id="{CA2044C3-1FEE-433D-BA76-88D54FFCF075}">
            <xm:f>AND('Sprachen &amp; Rückgabewerte'!$C$18=1,$N$16="")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34" id="{B399850D-9544-4C9A-B9C5-8A74ECF9B97F}">
            <xm:f>AND('Sprachen &amp; Rückgabewerte'!$C$19=1,$R$16="")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33" id="{8D20D19F-F5F8-4E07-8DB7-7F91DC928992}">
            <xm:f>AND('Sprachen &amp; Rückgabewerte'!$C$20=1,$V$16="")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32" id="{9C3FC5F2-727C-40E6-9EB1-A9E9A07DC7FF}">
            <xm:f>AND('Sprachen &amp; Rückgabewerte'!$C$21=1,$Z$16="")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31" id="{007096B1-961C-4710-8EBC-792BC195F3B1}">
            <xm:f>AND('Sprachen &amp; Rückgabewerte'!$C$22=1,$AD$16="")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30" id="{5735C852-A246-4BD1-A59F-23FDA34CA7CC}">
            <xm:f>AND('Sprachen &amp; Rückgabewerte'!$C$23=1,$AH$16="")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8" id="{47649698-D900-455C-8B10-E03397AF03BB}">
            <xm:f>AND('Sprachen &amp; Rückgabewerte'!$C$24=1,$AL$16="")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7" id="{5EFC60E8-0579-451C-9427-635047DF1CD5}">
            <xm:f>AND('Sprachen &amp; Rückgabewerte'!$C$25=1,$AP$16="")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5" id="{C23CE7F3-EE5F-4A6E-892E-8FC7EE96F1D8}">
            <xm:f>'Sprachen &amp; Rückgabewerte'!$I$71=FALSE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4" id="{C96FE657-C38A-47CF-B358-C1D8A7E3497D}">
            <xm:f>AND('Sprachen &amp; Rückgabewerte'!$I$71=TRUE,$AP$74="",$AP$75="",$AP$76="")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7" id="{75A1C4BB-C449-407A-8D5A-A00D02391955}">
            <xm:f>OR($AQ$96='Sprachen &amp; Rückgabewerte'!$H$96,$AQ$96="")</xm:f>
            <x14:dxf>
              <border>
                <bottom/>
                <vertical/>
                <horizontal/>
              </border>
            </x14:dxf>
          </x14:cfRule>
          <x14:cfRule type="expression" priority="18" id="{95B203CD-CF51-452E-A08D-9D449F1E1926}">
            <xm:f>AND($AQ$96='Sprachen &amp; Rückgabewerte'!$H$95,$AW$96="")</xm:f>
            <x14:dxf>
              <border>
                <bottom style="thin">
                  <color rgb="FFFF0000"/>
                </bottom>
                <vertical/>
                <horizontal/>
              </border>
            </x14:dxf>
          </x14:cfRule>
          <xm:sqref>AS96:AV96</xm:sqref>
        </x14:conditionalFormatting>
        <x14:conditionalFormatting xmlns:xm="http://schemas.microsoft.com/office/excel/2006/main">
          <x14:cfRule type="expression" priority="15" id="{58233FE5-CC39-4839-93FD-46AC6625B8C2}">
            <xm:f>AND($AQ$96='Sprachen &amp; Rückgabewerte'!$H$95,$AW$96="")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4" id="{7E813A51-D2CA-4C21-91AE-057CDF6EEF42}">
            <xm:f>OR($AQ$96='Sprachen &amp; Rückgabewerte'!$H$96,$AQ$96="")</xm:f>
            <x14:dxf>
              <font>
                <color theme="0" tint="-0.14996795556505021"/>
              </font>
              <fill>
                <patternFill>
                  <bgColor theme="0" tint="-0.14996795556505021"/>
                </patternFill>
              </fill>
              <border>
                <left/>
                <right/>
                <top/>
                <bottom/>
                <vertical/>
                <horizontal/>
              </border>
            </x14:dxf>
          </x14:cfRule>
          <xm:sqref>AW95:AX96</xm:sqref>
        </x14:conditionalFormatting>
        <x14:conditionalFormatting xmlns:xm="http://schemas.microsoft.com/office/excel/2006/main">
          <x14:cfRule type="expression" priority="13" id="{4289F373-C094-4F93-A995-435CDA7F75B0}">
            <xm:f>'Sprachen &amp; Rückgabewerte'!$W$68&gt;0</xm:f>
            <x14:dxf>
              <border>
                <bottom style="thin">
                  <color rgb="FFFF0000"/>
                </bottom>
                <vertical/>
                <horizontal/>
              </border>
            </x14:dxf>
          </x14:cfRule>
          <xm:sqref>AD97:AT97</xm:sqref>
        </x14:conditionalFormatting>
        <x14:conditionalFormatting xmlns:xm="http://schemas.microsoft.com/office/excel/2006/main">
          <x14:cfRule type="expression" priority="12" id="{93A2959C-C1B8-46D4-A77A-4D1895A89039}">
            <xm:f>'Sprachen &amp; Rückgabewerte'!$W$68&gt;0</xm:f>
            <x14:dxf>
              <border>
                <top style="thin">
                  <color rgb="FFFF0000"/>
                </top>
                <vertical/>
                <horizontal/>
              </border>
            </x14:dxf>
          </x14:cfRule>
          <xm:sqref>AD95:AT95</xm:sqref>
        </x14:conditionalFormatting>
        <x14:conditionalFormatting xmlns:xm="http://schemas.microsoft.com/office/excel/2006/main">
          <x14:cfRule type="expression" priority="11" id="{0FB64190-089C-4B4F-A939-61AADD6FA752}">
            <xm:f>'Sprachen &amp; Rückgabewerte'!$W$68&gt;0</xm:f>
            <x14:dxf>
              <border>
                <left style="thin">
                  <color rgb="FFFF0000"/>
                </left>
                <vertical/>
                <horizontal/>
              </border>
            </x14:dxf>
          </x14:cfRule>
          <xm:sqref>AD95:AD97</xm:sqref>
        </x14:conditionalFormatting>
        <x14:conditionalFormatting xmlns:xm="http://schemas.microsoft.com/office/excel/2006/main">
          <x14:cfRule type="expression" priority="10" id="{0185C0AB-EB41-40F5-A1A3-2F5462C2C454}">
            <xm:f>'Sprachen &amp; Rückgabewerte'!$W$68&gt;0</xm:f>
            <x14:dxf>
              <border>
                <right style="thin">
                  <color rgb="FFFF0000"/>
                </right>
                <vertical/>
                <horizontal/>
              </border>
            </x14:dxf>
          </x14:cfRule>
          <xm:sqref>AT95:AT97</xm:sqref>
        </x14:conditionalFormatting>
        <x14:conditionalFormatting xmlns:xm="http://schemas.microsoft.com/office/excel/2006/main">
          <x14:cfRule type="expression" priority="7" id="{D6FCC26E-3C53-4B84-A151-4289B1CDC6F8}">
            <xm:f>'Sprachen &amp; Rückgabewerte'!$C$51=FALSE</xm:f>
            <x14:dxf>
              <font>
                <color theme="0" tint="-0.14996795556505021"/>
              </font>
              <fill>
                <patternFill>
                  <bgColor theme="0" tint="-0.14996795556505021"/>
                </patternFill>
              </fill>
              <border>
                <left/>
                <right/>
                <top/>
                <bottom/>
                <vertical/>
                <horizontal/>
              </border>
            </x14:dxf>
          </x14:cfRule>
          <x14:cfRule type="expression" priority="8" id="{7B785226-7A1D-45F0-8775-806361E9F8D3}">
            <xm:f>'Sprachen &amp; Rückgabewerte'!$U$65=FALSE</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V96:Y96</xm:sqref>
        </x14:conditionalFormatting>
        <x14:conditionalFormatting xmlns:xm="http://schemas.microsoft.com/office/excel/2006/main">
          <x14:cfRule type="expression" priority="4" id="{B1D455FC-005C-40E2-BFA0-2BDEEC243FCD}">
            <xm:f>'Sprachen &amp; Rückgabewerte'!$W$78&lt;&gt;0</xm:f>
            <x14:dxf>
              <border>
                <bottom style="thin">
                  <color rgb="FFFF0000"/>
                </bottom>
                <vertical/>
                <horizontal/>
              </border>
            </x14:dxf>
          </x14:cfRule>
          <xm:sqref>AW11:BB11</xm:sqref>
        </x14:conditionalFormatting>
        <x14:conditionalFormatting xmlns:xm="http://schemas.microsoft.com/office/excel/2006/main">
          <x14:cfRule type="expression" priority="3" id="{29BBF2ED-FE7B-40F9-B40E-3C7CF8D7FAEF}">
            <xm:f>'Sprachen &amp; Rückgabewerte'!$W$78&lt;&gt;0</xm:f>
            <x14:dxf>
              <border>
                <top style="thin">
                  <color rgb="FFFF0000"/>
                </top>
                <vertical/>
                <horizontal/>
              </border>
            </x14:dxf>
          </x14:cfRule>
          <xm:sqref>AW6:BB6</xm:sqref>
        </x14:conditionalFormatting>
        <x14:conditionalFormatting xmlns:xm="http://schemas.microsoft.com/office/excel/2006/main">
          <x14:cfRule type="expression" priority="2" id="{F165FF0F-E764-40EC-8D96-F30CACB29113}">
            <xm:f>'Sprachen &amp; Rückgabewerte'!$W$78&lt;&gt;0</xm:f>
            <x14:dxf>
              <border>
                <left style="thin">
                  <color rgb="FFFF0000"/>
                </left>
                <vertical/>
                <horizontal/>
              </border>
            </x14:dxf>
          </x14:cfRule>
          <xm:sqref>AW6:AW11</xm:sqref>
        </x14:conditionalFormatting>
        <x14:conditionalFormatting xmlns:xm="http://schemas.microsoft.com/office/excel/2006/main">
          <x14:cfRule type="expression" priority="1" id="{288440B7-E546-4185-8A05-18E8CF7FE757}">
            <xm:f>'Sprachen &amp; Rückgabewerte'!$W$78&lt;&gt;0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4">
        <x14:dataValidation type="list" allowBlank="1" showInputMessage="1" showErrorMessage="1" xr:uid="{00000000-0002-0000-0300-000008000000}">
          <x14:formula1>
            <xm:f>'Sprachen &amp; Rückgabewerte'!$M$86:$M$138</xm:f>
          </x14:formula1>
          <xm:sqref>AM88:AR88</xm:sqref>
        </x14:dataValidation>
        <x14:dataValidation type="list" showInputMessage="1" showErrorMessage="1" xr:uid="{00000000-0002-0000-0300-000009000000}">
          <x14:formula1>
            <xm:f>'Sprachen &amp; Rückgabewerte'!$B$70:$B$72</xm:f>
          </x14:formula1>
          <xm:sqref>H85:K85 V85:Y85 O85:R85 X72:AA72</xm:sqref>
        </x14:dataValidation>
        <x14:dataValidation type="list" allowBlank="1" showInputMessage="1" showErrorMessage="1" xr:uid="{00000000-0002-0000-0300-00000A000000}">
          <x14:formula1>
            <xm:f>'Sprachen &amp; Rückgabewerte'!$H$103:$H$107</xm:f>
          </x14:formula1>
          <xm:sqref>G20:AP20</xm:sqref>
        </x14:dataValidation>
        <x14:dataValidation type="list" showInputMessage="1" showErrorMessage="1" xr:uid="{00000000-0002-0000-0300-00000B000000}">
          <x14:formula1>
            <xm:f>'Sprachen &amp; Rückgabewerte'!$B$33:$B$34</xm:f>
          </x14:formula1>
          <xm:sqref>E23:AR26</xm:sqref>
        </x14:dataValidation>
        <x14:dataValidation type="list" showInputMessage="1" showErrorMessage="1" xr:uid="{00000000-0002-0000-0300-00000C000000}">
          <x14:formula1>
            <xm:f>'Sprachen &amp; Rückgabewerte'!$A$11:$A$18</xm:f>
          </x14:formula1>
          <xm:sqref>AM43:AQ43</xm:sqref>
        </x14:dataValidation>
        <x14:dataValidation type="list" showInputMessage="1" showErrorMessage="1" xr:uid="{00000000-0002-0000-0300-00000D000000}">
          <x14:formula1>
            <xm:f>'Sprachen &amp; Rückgabewerte'!$A$19:$A$21</xm:f>
          </x14:formula1>
          <xm:sqref>AR43:AS43</xm:sqref>
        </x14:dataValidation>
        <x14:dataValidation type="list" allowBlank="1" showInputMessage="1" showErrorMessage="1" xr:uid="{00000000-0002-0000-0300-00000E000000}">
          <x14:formula1>
            <xm:f>'Sprachen &amp; Rückgabewerte'!$J$67:$J$69</xm:f>
          </x14:formula1>
          <xm:sqref>AN70:AS70</xm:sqref>
        </x14:dataValidation>
        <x14:dataValidation type="list" allowBlank="1" showInputMessage="1" showErrorMessage="1" xr:uid="{00000000-0002-0000-0300-00000F000000}">
          <x14:formula1>
            <xm:f>'Sprachen &amp; Rückgabewerte'!$J$77:$J$79</xm:f>
          </x14:formula1>
          <xm:sqref>AN78:AP78</xm:sqref>
        </x14:dataValidation>
        <x14:dataValidation type="list" allowBlank="1" showInputMessage="1" showErrorMessage="1" xr:uid="{00000000-0002-0000-0300-000010000000}">
          <x14:formula1>
            <xm:f>'Sprachen &amp; Rückgabewerte'!$J$80:$J$82</xm:f>
          </x14:formula1>
          <xm:sqref>AN79:AP79</xm:sqref>
        </x14:dataValidation>
        <x14:dataValidation type="list" allowBlank="1" showInputMessage="1" showErrorMessage="1" xr:uid="{00000000-0002-0000-0300-000011000000}">
          <x14:formula1>
            <xm:f>'Sprachen &amp; Rückgabewerte'!$J$84:$J$86</xm:f>
          </x14:formula1>
          <xm:sqref>AN80:AS80</xm:sqref>
        </x14:dataValidation>
        <x14:dataValidation type="list" allowBlank="1" showInputMessage="1" showErrorMessage="1" xr:uid="{00000000-0002-0000-0300-000012000000}">
          <x14:formula1>
            <xm:f>'Sprachen &amp; Rückgabewerte'!$J$94:$J$96</xm:f>
          </x14:formula1>
          <xm:sqref>AO55:AP55</xm:sqref>
        </x14:dataValidation>
        <x14:dataValidation type="list" showInputMessage="1" showErrorMessage="1" xr:uid="{00000000-0002-0000-0300-000013000000}">
          <x14:formula1>
            <xm:f>'Sprachen &amp; Rückgabewerte'!$B$73:$B$75</xm:f>
          </x14:formula1>
          <xm:sqref>H96:K96</xm:sqref>
        </x14:dataValidation>
        <x14:dataValidation type="list" showInputMessage="1" showErrorMessage="1" xr:uid="{00000000-0002-0000-0300-000014000000}">
          <x14:formula1>
            <xm:f>'Sprachen &amp; Rückgabewerte'!$B$76:$B$78</xm:f>
          </x14:formula1>
          <xm:sqref>O96:R96</xm:sqref>
        </x14:dataValidation>
        <x14:dataValidation type="list" allowBlank="1" showInputMessage="1" showErrorMessage="1" xr:uid="{00000000-0002-0000-0300-000015000000}">
          <x14:formula1>
            <xm:f>'Sprachen &amp; Rückgabewerte'!$B$9:$B$14</xm:f>
          </x14:formula1>
          <xm:sqref>F10:G10 J10:K10 N10:O10 R10:S10 V10:W10 Z10:AA10 AD10:AE10 AH10:AI10 AL10:AM10 AP10:AQ10</xm:sqref>
        </x14:dataValidation>
        <x14:dataValidation type="list" allowBlank="1" showInputMessage="1" showErrorMessage="1" xr:uid="{00000000-0002-0000-0300-000016000000}">
          <x14:formula1>
            <xm:f>'Sprachen &amp; Rückgabewerte'!$B$33:$B$34</xm:f>
          </x14:formula1>
          <xm:sqref>E22:AR22</xm:sqref>
        </x14:dataValidation>
        <x14:dataValidation type="list" showInputMessage="1" showErrorMessage="1" xr:uid="{00000000-0002-0000-0300-000017000000}">
          <x14:formula1>
            <xm:f>'Sprachen &amp; Rückgabewerte'!$B$67:$B$69</xm:f>
          </x14:formula1>
          <xm:sqref>F72:I72 L72:O72 R72:U72</xm:sqref>
        </x14:dataValidation>
        <x14:dataValidation type="list" allowBlank="1" showInputMessage="1" showErrorMessage="1" xr:uid="{00000000-0002-0000-0300-000018000000}">
          <x14:formula1>
            <xm:f>'Sprachen &amp; Rückgabewerte'!$J$91:$J$93</xm:f>
          </x14:formula1>
          <xm:sqref>AM49:AP49</xm:sqref>
        </x14:dataValidation>
        <x14:dataValidation type="list" allowBlank="1" showInputMessage="1" showErrorMessage="1" xr:uid="{00000000-0002-0000-0300-000019000000}">
          <x14:formula1>
            <xm:f>'Sprachen &amp; Rückgabewerte'!$N$78:$N$80</xm:f>
          </x14:formula1>
          <xm:sqref>AE70:AL70</xm:sqref>
        </x14:dataValidation>
        <x14:dataValidation type="list" allowBlank="1" showInputMessage="1" showErrorMessage="1" xr:uid="{00000000-0002-0000-0300-00001A000000}">
          <x14:formula1>
            <xm:f>'Sprachen &amp; Rückgabewerte'!$J$133:$J$136</xm:f>
          </x14:formula1>
          <xm:sqref>AX33:AY42</xm:sqref>
        </x14:dataValidation>
        <x14:dataValidation type="list" allowBlank="1" showInputMessage="1" showErrorMessage="1" xr:uid="{00000000-0002-0000-0300-00001B000000}">
          <x14:formula1>
            <xm:f>'Sprachen &amp; Rückgabewerte'!$B$81:$B$84</xm:f>
          </x14:formula1>
          <xm:sqref>T104</xm:sqref>
        </x14:dataValidation>
        <x14:dataValidation type="list" allowBlank="1" showInputMessage="1" showErrorMessage="1" xr:uid="{00000000-0002-0000-0300-00001C000000}">
          <x14:formula1>
            <xm:f>'Sprachen &amp; Rückgabewerte'!$J$142:$J$144</xm:f>
          </x14:formula1>
          <xm:sqref>T110</xm:sqref>
        </x14:dataValidation>
        <x14:dataValidation type="list" allowBlank="1" showInputMessage="1" showErrorMessage="1" xr:uid="{00000000-0002-0000-0300-00001D000000}">
          <x14:formula1>
            <xm:f>'Sprachen &amp; Rückgabewerte'!$J$145:$J$147</xm:f>
          </x14:formula1>
          <xm:sqref>T114</xm:sqref>
        </x14:dataValidation>
        <x14:dataValidation type="list" showInputMessage="1" showErrorMessage="1" xr:uid="{00000000-0002-0000-0300-00001E000000}">
          <x14:formula1>
            <xm:f>'Sprachen &amp; Rückgabewerte'!$R$41:$R$43</xm:f>
          </x14:formula1>
          <xm:sqref>AF11:AG11 AN11:AO11 X11:Y11 T11:U11 P11:Q11 L11:M11 AB11:AC11 AJ11:AK11 H11:I11</xm:sqref>
        </x14:dataValidation>
        <x14:dataValidation type="list" allowBlank="1" showInputMessage="1" showErrorMessage="1" xr:uid="{00000000-0002-0000-0300-00001F000000}">
          <x14:formula1>
            <xm:f>'Sprachen &amp; Rückgabewerte'!$Q$41:$Q$51</xm:f>
          </x14:formula1>
          <xm:sqref>AP74 AP75 AP76</xm:sqref>
        </x14:dataValidation>
        <x14:dataValidation type="list" showInputMessage="1" showErrorMessage="1" errorTitle="SG-Typ auswählen" error="Bitte wählen Sie einen Sky-Glass Typ aus. Spezialaufbau bitte im Feld Speziell eingeben!" xr:uid="{00000000-0002-0000-0300-000020000000}">
          <x14:formula1>
            <xm:f>'Sprachen &amp; Rückgabewerte'!$V$3:$V$35</xm:f>
          </x14:formula1>
          <xm:sqref>AE53:AG53</xm:sqref>
        </x14:dataValidation>
        <x14:dataValidation type="list" allowBlank="1" showInputMessage="1" showErrorMessage="1" xr:uid="{00000000-0002-0000-0300-000021000000}">
          <x14:formula1>
            <xm:f>'Sprachen &amp; Rückgabewerte'!$J$150:$J$153</xm:f>
          </x14:formula1>
          <xm:sqref>AW48:AX48</xm:sqref>
        </x14:dataValidation>
        <x14:dataValidation type="list" allowBlank="1" showInputMessage="1" showErrorMessage="1" xr:uid="{00000000-0002-0000-0300-000022000000}">
          <x14:formula1>
            <xm:f>'Sprachen &amp; Rückgabewerte'!$J$87:$J$89</xm:f>
          </x14:formula1>
          <xm:sqref>AE84:AL84</xm:sqref>
        </x14:dataValidation>
        <x14:dataValidation type="list" allowBlank="1" showInputMessage="1" showErrorMessage="1" xr:uid="{00000000-0002-0000-0300-000023000000}">
          <x14:formula1>
            <xm:f>'Sprachen &amp; Rückgabewerte'!$J$174:$J$175</xm:f>
          </x14:formula1>
          <xm:sqref>AM46:AS46</xm:sqref>
        </x14:dataValidation>
        <x14:dataValidation type="list" allowBlank="1" showInputMessage="1" showErrorMessage="1" xr:uid="{00000000-0002-0000-0300-000024000000}">
          <x14:formula1>
            <xm:f>'Sprachen &amp; Rückgabewerte'!$J$177:$J$178</xm:f>
          </x14:formula1>
          <xm:sqref>AM47:AS47</xm:sqref>
        </x14:dataValidation>
        <x14:dataValidation type="list" allowBlank="1" showInputMessage="1" showErrorMessage="1" xr:uid="{00000000-0002-0000-0300-000025000000}">
          <x14:formula1>
            <xm:f>'Sprachen &amp; Rückgabewerte'!$A$28:$A$30</xm:f>
          </x14:formula1>
          <xm:sqref>F16:G17 AL16:AM17 J16:K17 N16:O17 R16:S17 V16:W17 Z16:AA17 AD16:AE17 AH16:AI17 AP16:AQ17</xm:sqref>
        </x14:dataValidation>
        <x14:dataValidation type="list" allowBlank="1" showInputMessage="1" showErrorMessage="1" xr:uid="{6A9BA97F-1B20-4058-844B-3EEAA30E90FB}">
          <x14:formula1>
            <xm:f>'Sprachen &amp; Rückgabewerte'!$H$95:$H$96</xm:f>
          </x14:formula1>
          <xm:sqref>AQ96:AR96</xm:sqref>
        </x14:dataValidation>
        <x14:dataValidation type="list" allowBlank="1" showInputMessage="1" showErrorMessage="1" xr:uid="{B2091479-51BA-4658-8652-599B623F50CA}">
          <x14:formula1>
            <xm:f>'Sprachen &amp; Rückgabewerte'!$H$191:$H$192</xm:f>
          </x14:formula1>
          <xm:sqref>V96:Y96</xm:sqref>
        </x14:dataValidation>
        <x14:dataValidation type="list" allowBlank="1" showInputMessage="1" showErrorMessage="1" xr:uid="{E10AED44-58A9-4410-B627-65177BC19ABD}">
          <x14:formula1>
            <xm:f>'Sprachen &amp; Rückgabewerte'!$H$198:$H$199</xm:f>
          </x14:formula1>
          <xm:sqref>AZ9:BA9</xm:sqref>
        </x14:dataValidation>
        <x14:dataValidation type="list" allowBlank="1" showInputMessage="1" showErrorMessage="1" xr:uid="{9102ED93-0E51-49E5-8833-3561C1C68FE0}">
          <x14:formula1>
            <xm:f>'Sprachen &amp; Rückgabewerte'!$H$196:$H$197</xm:f>
          </x14:formula1>
          <xm:sqref>AZ10:BA10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794E-C175-403F-8C59-2AF4F8006E1A}">
  <dimension ref="A1:AF205"/>
  <sheetViews>
    <sheetView showGridLines="0" topLeftCell="A170" zoomScale="70" zoomScaleNormal="70" workbookViewId="0">
      <selection activeCell="P78" sqref="P78"/>
    </sheetView>
  </sheetViews>
  <sheetFormatPr baseColWidth="10" defaultColWidth="11.42578125" defaultRowHeight="12.75" x14ac:dyDescent="0.2"/>
  <cols>
    <col min="1" max="1" width="19.140625" style="280" customWidth="1"/>
    <col min="2" max="2" width="16.7109375" style="280" customWidth="1"/>
    <col min="3" max="3" width="11.42578125" style="280" customWidth="1"/>
    <col min="4" max="7" width="40.7109375" style="280" customWidth="1"/>
    <col min="8" max="8" width="34.28515625" style="280" customWidth="1"/>
    <col min="9" max="9" width="30.42578125" style="280" customWidth="1"/>
    <col min="10" max="10" width="25.7109375" style="280" customWidth="1"/>
    <col min="11" max="11" width="15.5703125" style="280" customWidth="1"/>
    <col min="12" max="12" width="13.42578125" style="280" customWidth="1"/>
    <col min="13" max="13" width="16.140625" style="280" customWidth="1"/>
    <col min="14" max="17" width="11.42578125" style="280"/>
    <col min="18" max="18" width="12.5703125" style="280" customWidth="1"/>
    <col min="19" max="19" width="10.140625" style="280" customWidth="1"/>
    <col min="20" max="20" width="10.28515625" style="280" customWidth="1"/>
    <col min="21" max="21" width="21.5703125" style="280" customWidth="1"/>
    <col min="22" max="26" width="11.42578125" style="280"/>
    <col min="27" max="27" width="12.28515625" style="280" customWidth="1"/>
    <col min="28" max="28" width="11.42578125" style="280"/>
    <col min="29" max="31" width="26.42578125" style="280" customWidth="1"/>
    <col min="32" max="16384" width="11.42578125" style="280"/>
  </cols>
  <sheetData>
    <row r="1" spans="1:32" ht="13.5" thickBot="1" x14ac:dyDescent="0.25">
      <c r="H1" s="46" t="s">
        <v>214</v>
      </c>
      <c r="L1" s="280" t="s">
        <v>181</v>
      </c>
      <c r="M1" s="280" t="s">
        <v>182</v>
      </c>
      <c r="N1" s="280" t="s">
        <v>183</v>
      </c>
      <c r="R1" s="280" t="s">
        <v>623</v>
      </c>
      <c r="S1" s="280" t="s">
        <v>624</v>
      </c>
      <c r="T1" s="280" t="s">
        <v>625</v>
      </c>
      <c r="W1" s="316" t="str">
        <f>IF($I$125=TRUE,R1,L1)</f>
        <v>Ug=</v>
      </c>
      <c r="X1" s="371" t="str">
        <f>IF($I$125=TRUE,S1,M1)</f>
        <v>Lt=</v>
      </c>
      <c r="Y1" s="371" t="str">
        <f>IF($I$125=TRUE,T1,N1)</f>
        <v>g=</v>
      </c>
    </row>
    <row r="2" spans="1:32" x14ac:dyDescent="0.2">
      <c r="B2" s="29" t="s">
        <v>178</v>
      </c>
      <c r="C2" s="30" t="s">
        <v>91</v>
      </c>
      <c r="D2" s="16" t="s">
        <v>457</v>
      </c>
      <c r="E2" s="17" t="s">
        <v>458</v>
      </c>
      <c r="F2" s="17" t="s">
        <v>459</v>
      </c>
      <c r="G2" s="18" t="s">
        <v>460</v>
      </c>
      <c r="H2" s="444" t="str">
        <f>IF($B$3=$A$3,D2,IF($B$3=$A$4,E2,IF($B$3=$A$5,F2,IF($B$3=$A$6,G2,""))))</f>
        <v>Sprache:</v>
      </c>
      <c r="I2" s="46" t="s">
        <v>194</v>
      </c>
      <c r="K2" s="34" t="s">
        <v>626</v>
      </c>
      <c r="L2" s="365"/>
      <c r="M2" s="365"/>
      <c r="N2" s="365"/>
      <c r="O2" s="365"/>
      <c r="P2" s="366"/>
      <c r="Q2" s="34" t="s">
        <v>627</v>
      </c>
      <c r="R2" s="365"/>
      <c r="S2" s="365"/>
      <c r="T2" s="365"/>
      <c r="U2" s="366"/>
      <c r="V2" s="34" t="s">
        <v>628</v>
      </c>
      <c r="W2" s="365"/>
      <c r="X2" s="365"/>
      <c r="Y2" s="365"/>
      <c r="Z2" s="365"/>
      <c r="AA2" s="366"/>
      <c r="AB2" s="445"/>
      <c r="AC2" s="445"/>
      <c r="AD2" s="445"/>
      <c r="AE2" s="445"/>
      <c r="AF2" s="445"/>
    </row>
    <row r="3" spans="1:32" x14ac:dyDescent="0.2">
      <c r="A3" s="280">
        <v>1</v>
      </c>
      <c r="B3" s="446">
        <v>1</v>
      </c>
      <c r="C3" s="447" t="s">
        <v>92</v>
      </c>
      <c r="D3" s="448" t="s">
        <v>92</v>
      </c>
      <c r="E3" s="449" t="s">
        <v>93</v>
      </c>
      <c r="F3" s="449" t="s">
        <v>94</v>
      </c>
      <c r="G3" s="450" t="s">
        <v>95</v>
      </c>
      <c r="H3" s="444" t="str">
        <f>IF($B$3=$A$3,D3,IF($B$3=$A$4,E3,IF($B$3=$A$5,F3,IF($B$3=$A$6,G3,""))))</f>
        <v>DEUTSCH</v>
      </c>
      <c r="I3" s="451"/>
      <c r="K3" s="357" t="s">
        <v>232</v>
      </c>
      <c r="L3" s="371">
        <v>1.1000000000000001</v>
      </c>
      <c r="M3" s="371">
        <v>81</v>
      </c>
      <c r="N3" s="371">
        <v>64</v>
      </c>
      <c r="O3" s="371" t="s">
        <v>233</v>
      </c>
      <c r="P3" s="372"/>
      <c r="Q3" s="357" t="s">
        <v>232</v>
      </c>
      <c r="R3" s="452">
        <v>0.34</v>
      </c>
      <c r="S3" s="371">
        <v>0.49</v>
      </c>
      <c r="T3" s="371">
        <v>0.67</v>
      </c>
      <c r="U3" s="372" t="s">
        <v>658</v>
      </c>
      <c r="V3" s="357" t="str">
        <f t="shared" ref="V3:Z25" si="0">IF($I$125=TRUE,Q3,K3)</f>
        <v>SG-01</v>
      </c>
      <c r="W3" s="316">
        <f t="shared" si="0"/>
        <v>1.1000000000000001</v>
      </c>
      <c r="X3" s="371">
        <f t="shared" si="0"/>
        <v>81</v>
      </c>
      <c r="Y3" s="371">
        <f t="shared" si="0"/>
        <v>64</v>
      </c>
      <c r="Z3" s="371" t="str">
        <f t="shared" si="0"/>
        <v>ESG 6 / 18 / ESG 6</v>
      </c>
      <c r="AA3" s="372"/>
      <c r="AB3" s="445"/>
      <c r="AC3" s="453"/>
      <c r="AD3" s="453"/>
      <c r="AE3" s="453"/>
      <c r="AF3" s="445"/>
    </row>
    <row r="4" spans="1:32" x14ac:dyDescent="0.2">
      <c r="A4" s="280">
        <v>2</v>
      </c>
      <c r="B4" s="454"/>
      <c r="C4" s="455" t="s">
        <v>93</v>
      </c>
      <c r="D4" s="357" t="s">
        <v>96</v>
      </c>
      <c r="E4" s="456" t="s">
        <v>97</v>
      </c>
      <c r="F4" s="456" t="s">
        <v>98</v>
      </c>
      <c r="G4" s="457" t="s">
        <v>99</v>
      </c>
      <c r="H4" s="444" t="str">
        <f>IF($B$3=$A$3,D4,IF($B$3=$A$4,E4,IF($B$3=$A$5,F4,IF($B$3=$A$6,G4,""))))</f>
        <v>BESTELLUNG</v>
      </c>
      <c r="I4" s="451"/>
      <c r="K4" s="281" t="s">
        <v>234</v>
      </c>
      <c r="L4" s="316">
        <v>1.1000000000000001</v>
      </c>
      <c r="M4" s="316">
        <v>80</v>
      </c>
      <c r="N4" s="316">
        <v>63</v>
      </c>
      <c r="O4" s="316" t="s">
        <v>235</v>
      </c>
      <c r="P4" s="317"/>
      <c r="Q4" s="281" t="s">
        <v>234</v>
      </c>
      <c r="R4" s="316">
        <v>0.34</v>
      </c>
      <c r="S4" s="316">
        <v>0.48</v>
      </c>
      <c r="T4" s="316">
        <v>0.66</v>
      </c>
      <c r="U4" s="317" t="s">
        <v>659</v>
      </c>
      <c r="V4" s="281" t="str">
        <f t="shared" si="0"/>
        <v>SG-02</v>
      </c>
      <c r="W4" s="316">
        <f t="shared" si="0"/>
        <v>1.1000000000000001</v>
      </c>
      <c r="X4" s="316">
        <f t="shared" si="0"/>
        <v>80</v>
      </c>
      <c r="Y4" s="316">
        <f t="shared" si="0"/>
        <v>63</v>
      </c>
      <c r="Z4" s="316" t="str">
        <f t="shared" si="0"/>
        <v>ESG 8 / 14 / ESG 8</v>
      </c>
      <c r="AA4" s="317"/>
      <c r="AB4" s="722"/>
      <c r="AC4" s="458"/>
      <c r="AD4" s="458"/>
      <c r="AE4" s="458"/>
      <c r="AF4" s="445"/>
    </row>
    <row r="5" spans="1:32" x14ac:dyDescent="0.2">
      <c r="A5" s="280">
        <v>3</v>
      </c>
      <c r="B5" s="454"/>
      <c r="C5" s="455" t="s">
        <v>94</v>
      </c>
      <c r="D5" s="281" t="s">
        <v>0</v>
      </c>
      <c r="E5" s="316" t="s">
        <v>1</v>
      </c>
      <c r="F5" s="316" t="s">
        <v>101</v>
      </c>
      <c r="G5" s="317" t="s">
        <v>100</v>
      </c>
      <c r="H5" s="444" t="str">
        <f>IF($B$3=$A$3,D5,IF($B$3=$A$4,E5,IF($B$3=$A$5,F5,IF($B$3=$A$6,G5,""))))</f>
        <v>Gemäss Zeichnung Nr.:</v>
      </c>
      <c r="I5" s="451" t="b">
        <v>0</v>
      </c>
      <c r="K5" s="281" t="s">
        <v>236</v>
      </c>
      <c r="L5" s="316">
        <v>1.1000000000000001</v>
      </c>
      <c r="M5" s="316">
        <v>80</v>
      </c>
      <c r="N5" s="316">
        <v>64</v>
      </c>
      <c r="O5" s="316" t="s">
        <v>237</v>
      </c>
      <c r="P5" s="317"/>
      <c r="Q5" s="281" t="s">
        <v>236</v>
      </c>
      <c r="R5" s="316">
        <v>0.34</v>
      </c>
      <c r="S5" s="316">
        <v>0.49</v>
      </c>
      <c r="T5" s="316">
        <v>0.68</v>
      </c>
      <c r="U5" s="317" t="s">
        <v>660</v>
      </c>
      <c r="V5" s="281" t="str">
        <f t="shared" si="0"/>
        <v>SG-03</v>
      </c>
      <c r="W5" s="316">
        <f t="shared" si="0"/>
        <v>1.1000000000000001</v>
      </c>
      <c r="X5" s="316">
        <f t="shared" si="0"/>
        <v>80</v>
      </c>
      <c r="Y5" s="316">
        <f t="shared" si="0"/>
        <v>64</v>
      </c>
      <c r="Z5" s="316" t="str">
        <f t="shared" si="0"/>
        <v>ESG 8 / 16 / ESG 6</v>
      </c>
      <c r="AA5" s="317"/>
      <c r="AB5" s="722"/>
      <c r="AC5" s="458"/>
      <c r="AD5" s="458"/>
      <c r="AE5" s="458"/>
      <c r="AF5" s="445"/>
    </row>
    <row r="6" spans="1:32" ht="13.5" thickBot="1" x14ac:dyDescent="0.25">
      <c r="A6" s="280">
        <v>4</v>
      </c>
      <c r="B6" s="459"/>
      <c r="C6" s="460" t="s">
        <v>95</v>
      </c>
      <c r="D6" s="281" t="s">
        <v>102</v>
      </c>
      <c r="E6" s="316" t="s">
        <v>103</v>
      </c>
      <c r="F6" s="316" t="s">
        <v>104</v>
      </c>
      <c r="G6" s="317" t="s">
        <v>376</v>
      </c>
      <c r="H6" s="444" t="str">
        <f>IF($B$3=$A$3,D6,IF($B$3=$A$4,E6,IF($B$3=$A$5,F6,IF($B$3=$A$6,G6,""))))</f>
        <v>Gemäss Skizze: (Ansicht von Aussen)</v>
      </c>
      <c r="I6" s="451" t="b">
        <v>0</v>
      </c>
      <c r="K6" s="281" t="s">
        <v>238</v>
      </c>
      <c r="L6" s="316">
        <v>1.1000000000000001</v>
      </c>
      <c r="M6" s="316">
        <v>80</v>
      </c>
      <c r="N6" s="316">
        <v>62</v>
      </c>
      <c r="O6" s="316" t="s">
        <v>239</v>
      </c>
      <c r="P6" s="317"/>
      <c r="Q6" s="281" t="s">
        <v>238</v>
      </c>
      <c r="R6" s="316">
        <v>0.34</v>
      </c>
      <c r="S6" s="316">
        <v>0.48</v>
      </c>
      <c r="T6" s="316">
        <v>0.66</v>
      </c>
      <c r="U6" s="317" t="s">
        <v>661</v>
      </c>
      <c r="V6" s="281" t="str">
        <f t="shared" si="0"/>
        <v>SG-04</v>
      </c>
      <c r="W6" s="316">
        <f t="shared" si="0"/>
        <v>1.1000000000000001</v>
      </c>
      <c r="X6" s="316">
        <f t="shared" si="0"/>
        <v>80</v>
      </c>
      <c r="Y6" s="316">
        <f t="shared" si="0"/>
        <v>62</v>
      </c>
      <c r="Z6" s="316" t="str">
        <f t="shared" si="0"/>
        <v>ESG 10 / 14 / ESG 6</v>
      </c>
      <c r="AA6" s="317"/>
      <c r="AB6" s="722"/>
      <c r="AC6" s="458"/>
      <c r="AD6" s="458"/>
      <c r="AE6" s="458"/>
      <c r="AF6" s="445"/>
    </row>
    <row r="7" spans="1:32" ht="13.5" thickBot="1" x14ac:dyDescent="0.25">
      <c r="D7" s="281" t="s">
        <v>513</v>
      </c>
      <c r="E7" s="316" t="s">
        <v>514</v>
      </c>
      <c r="F7" s="316" t="s">
        <v>515</v>
      </c>
      <c r="G7" s="317" t="s">
        <v>516</v>
      </c>
      <c r="H7" s="444" t="str">
        <f t="shared" ref="H7:H71" si="1">IF($B$3=$A$3,D7,IF($B$3=$A$4,E7,IF($B$3=$A$5,F7,IF($B$3=$A$6,G7,""))))</f>
        <v xml:space="preserve">Objekt: </v>
      </c>
      <c r="I7" s="451"/>
      <c r="K7" s="281" t="s">
        <v>240</v>
      </c>
      <c r="L7" s="316">
        <v>1.1000000000000001</v>
      </c>
      <c r="M7" s="316">
        <v>80</v>
      </c>
      <c r="N7" s="316" t="s">
        <v>800</v>
      </c>
      <c r="O7" s="316" t="s">
        <v>241</v>
      </c>
      <c r="P7" s="317"/>
      <c r="Q7" s="281" t="s">
        <v>240</v>
      </c>
      <c r="R7" s="316">
        <v>0.34</v>
      </c>
      <c r="S7" s="316">
        <v>0.47</v>
      </c>
      <c r="T7" s="316">
        <v>0.66</v>
      </c>
      <c r="U7" s="317" t="s">
        <v>662</v>
      </c>
      <c r="V7" s="281" t="str">
        <f t="shared" si="0"/>
        <v>SG-05</v>
      </c>
      <c r="W7" s="316">
        <f t="shared" si="0"/>
        <v>1.1000000000000001</v>
      </c>
      <c r="X7" s="316">
        <f t="shared" si="0"/>
        <v>80</v>
      </c>
      <c r="Y7" s="316" t="str">
        <f t="shared" si="0"/>
        <v>59/64</v>
      </c>
      <c r="Z7" s="316" t="str">
        <f t="shared" si="0"/>
        <v>V-F 8-2 / 14 / ESG 6</v>
      </c>
      <c r="AA7" s="317"/>
      <c r="AB7" s="722"/>
      <c r="AC7" s="458"/>
      <c r="AD7" s="458"/>
      <c r="AE7" s="458"/>
      <c r="AF7" s="445"/>
    </row>
    <row r="8" spans="1:32" x14ac:dyDescent="0.2">
      <c r="B8" s="16" t="s">
        <v>186</v>
      </c>
      <c r="C8" s="18" t="s">
        <v>190</v>
      </c>
      <c r="D8" s="281" t="s">
        <v>184</v>
      </c>
      <c r="E8" s="316" t="s">
        <v>185</v>
      </c>
      <c r="F8" s="316" t="s">
        <v>105</v>
      </c>
      <c r="G8" s="317" t="s">
        <v>106</v>
      </c>
      <c r="H8" s="444" t="str">
        <f t="shared" si="1"/>
        <v>Bestelldatum:</v>
      </c>
      <c r="I8" s="451"/>
      <c r="K8" s="281" t="s">
        <v>242</v>
      </c>
      <c r="L8" s="316">
        <v>1.1000000000000001</v>
      </c>
      <c r="M8" s="316">
        <v>79</v>
      </c>
      <c r="N8" s="316" t="s">
        <v>801</v>
      </c>
      <c r="O8" s="316" t="s">
        <v>243</v>
      </c>
      <c r="P8" s="317"/>
      <c r="Q8" s="281" t="s">
        <v>242</v>
      </c>
      <c r="R8" s="316">
        <v>0.33</v>
      </c>
      <c r="S8" s="316">
        <v>0.46</v>
      </c>
      <c r="T8" s="316">
        <v>0.65</v>
      </c>
      <c r="U8" s="317" t="s">
        <v>663</v>
      </c>
      <c r="V8" s="281" t="str">
        <f t="shared" si="0"/>
        <v>SG-06</v>
      </c>
      <c r="W8" s="316">
        <f t="shared" si="0"/>
        <v>1.1000000000000001</v>
      </c>
      <c r="X8" s="316">
        <f t="shared" si="0"/>
        <v>79</v>
      </c>
      <c r="Y8" s="316" t="str">
        <f t="shared" si="0"/>
        <v>59/62</v>
      </c>
      <c r="Z8" s="316" t="str">
        <f t="shared" si="0"/>
        <v>V-F 8-2 / 14 / ESG 8</v>
      </c>
      <c r="AA8" s="317"/>
      <c r="AB8" s="722"/>
      <c r="AC8" s="458"/>
      <c r="AD8" s="458"/>
      <c r="AE8" s="458"/>
      <c r="AF8" s="445"/>
    </row>
    <row r="9" spans="1:32" ht="13.5" thickBot="1" x14ac:dyDescent="0.25">
      <c r="B9" s="357" t="s">
        <v>841</v>
      </c>
      <c r="C9" s="358" t="s">
        <v>842</v>
      </c>
      <c r="D9" s="281" t="s">
        <v>2</v>
      </c>
      <c r="E9" s="316" t="s">
        <v>3</v>
      </c>
      <c r="F9" s="316" t="s">
        <v>4</v>
      </c>
      <c r="G9" s="317" t="s">
        <v>107</v>
      </c>
      <c r="H9" s="444" t="str">
        <f t="shared" si="1"/>
        <v>Projekt-Nr.:</v>
      </c>
      <c r="I9" s="451"/>
      <c r="K9" s="281" t="s">
        <v>244</v>
      </c>
      <c r="L9" s="316">
        <v>1.1000000000000001</v>
      </c>
      <c r="M9" s="316">
        <v>81</v>
      </c>
      <c r="N9" s="316">
        <v>64</v>
      </c>
      <c r="O9" s="316" t="s">
        <v>245</v>
      </c>
      <c r="P9" s="317"/>
      <c r="Q9" s="281">
        <v>0</v>
      </c>
      <c r="R9" s="316">
        <v>0</v>
      </c>
      <c r="S9" s="316">
        <v>0</v>
      </c>
      <c r="T9" s="316">
        <v>0</v>
      </c>
      <c r="U9" s="317" t="str">
        <f>$H$54</f>
        <v>Glastyp wählen</v>
      </c>
      <c r="V9" s="281" t="str">
        <f t="shared" si="0"/>
        <v>SG-07</v>
      </c>
      <c r="W9" s="316">
        <f t="shared" si="0"/>
        <v>1.1000000000000001</v>
      </c>
      <c r="X9" s="316">
        <f t="shared" si="0"/>
        <v>81</v>
      </c>
      <c r="Y9" s="316">
        <f t="shared" si="0"/>
        <v>64</v>
      </c>
      <c r="Z9" s="316" t="str">
        <f t="shared" si="0"/>
        <v>ESG 6 / 14 / V-WG 8-2</v>
      </c>
      <c r="AA9" s="317"/>
      <c r="AB9" s="722"/>
      <c r="AC9" s="458"/>
      <c r="AD9" s="458"/>
      <c r="AE9" s="458"/>
      <c r="AF9" s="445"/>
    </row>
    <row r="10" spans="1:32" x14ac:dyDescent="0.2">
      <c r="A10" s="57" t="s">
        <v>44</v>
      </c>
      <c r="B10" s="461" t="s">
        <v>187</v>
      </c>
      <c r="C10" s="462" t="s">
        <v>191</v>
      </c>
      <c r="D10" s="281" t="s">
        <v>5</v>
      </c>
      <c r="E10" s="316" t="s">
        <v>6</v>
      </c>
      <c r="F10" s="316" t="s">
        <v>7</v>
      </c>
      <c r="G10" s="317" t="s">
        <v>352</v>
      </c>
      <c r="H10" s="444" t="str">
        <f t="shared" si="1"/>
        <v>2-gleisig</v>
      </c>
      <c r="I10" s="463" t="b">
        <v>0</v>
      </c>
      <c r="K10" s="281" t="s">
        <v>246</v>
      </c>
      <c r="L10" s="52">
        <v>1.1000000000000001</v>
      </c>
      <c r="M10" s="316">
        <v>81</v>
      </c>
      <c r="N10" s="316">
        <v>63</v>
      </c>
      <c r="O10" s="316" t="s">
        <v>840</v>
      </c>
      <c r="P10" s="317"/>
      <c r="Q10" s="281" t="s">
        <v>247</v>
      </c>
      <c r="R10" s="316">
        <v>0.34</v>
      </c>
      <c r="S10" s="316">
        <v>0.41</v>
      </c>
      <c r="T10" s="316">
        <v>0.59</v>
      </c>
      <c r="U10" s="317" t="s">
        <v>657</v>
      </c>
      <c r="V10" s="281" t="str">
        <f t="shared" si="0"/>
        <v>SG-08</v>
      </c>
      <c r="W10" s="316">
        <f t="shared" si="0"/>
        <v>1.1000000000000001</v>
      </c>
      <c r="X10" s="316">
        <f t="shared" si="0"/>
        <v>81</v>
      </c>
      <c r="Y10" s="316">
        <f t="shared" si="0"/>
        <v>63</v>
      </c>
      <c r="Z10" s="316" t="str">
        <f t="shared" si="0"/>
        <v>ESG 8 / 14 / V-WG 8-2</v>
      </c>
      <c r="AA10" s="317"/>
      <c r="AB10" s="722"/>
      <c r="AC10" s="458"/>
      <c r="AD10" s="458"/>
      <c r="AE10" s="458"/>
      <c r="AF10" s="445"/>
    </row>
    <row r="11" spans="1:32" x14ac:dyDescent="0.2">
      <c r="A11" s="464"/>
      <c r="B11" s="465" t="s">
        <v>188</v>
      </c>
      <c r="C11" s="466" t="s">
        <v>192</v>
      </c>
      <c r="D11" s="281" t="s">
        <v>8</v>
      </c>
      <c r="E11" s="316" t="s">
        <v>9</v>
      </c>
      <c r="F11" s="316" t="s">
        <v>790</v>
      </c>
      <c r="G11" s="317" t="s">
        <v>353</v>
      </c>
      <c r="H11" s="444" t="str">
        <f t="shared" si="1"/>
        <v>3-gleisig</v>
      </c>
      <c r="I11" s="463" t="b">
        <v>0</v>
      </c>
      <c r="K11" s="281">
        <v>0</v>
      </c>
      <c r="L11" s="316">
        <v>0</v>
      </c>
      <c r="M11" s="316">
        <v>0</v>
      </c>
      <c r="N11" s="316">
        <v>0</v>
      </c>
      <c r="O11" s="316" t="str">
        <f>$H$54</f>
        <v>Glastyp wählen</v>
      </c>
      <c r="P11" s="317"/>
      <c r="Q11" s="281" t="s">
        <v>248</v>
      </c>
      <c r="R11" s="316">
        <v>0.33</v>
      </c>
      <c r="S11" s="316">
        <v>0.4</v>
      </c>
      <c r="T11" s="316">
        <v>0.57999999999999996</v>
      </c>
      <c r="U11" s="317" t="s">
        <v>664</v>
      </c>
      <c r="V11" s="281">
        <f t="shared" si="0"/>
        <v>0</v>
      </c>
      <c r="W11" s="316">
        <f t="shared" si="0"/>
        <v>0</v>
      </c>
      <c r="X11" s="316">
        <f t="shared" si="0"/>
        <v>0</v>
      </c>
      <c r="Y11" s="316">
        <f t="shared" si="0"/>
        <v>0</v>
      </c>
      <c r="Z11" s="316" t="str">
        <f t="shared" si="0"/>
        <v>Glastyp wählen</v>
      </c>
      <c r="AA11" s="317"/>
      <c r="AB11" s="722"/>
      <c r="AC11" s="458"/>
      <c r="AD11" s="458"/>
      <c r="AE11" s="458"/>
      <c r="AF11" s="445"/>
    </row>
    <row r="12" spans="1:32" x14ac:dyDescent="0.2">
      <c r="A12" s="444" t="s">
        <v>180</v>
      </c>
      <c r="B12" s="465" t="s">
        <v>189</v>
      </c>
      <c r="C12" s="466" t="s">
        <v>193</v>
      </c>
      <c r="D12" s="281" t="s">
        <v>10</v>
      </c>
      <c r="E12" s="316" t="s">
        <v>11</v>
      </c>
      <c r="F12" s="316" t="s">
        <v>791</v>
      </c>
      <c r="G12" s="317" t="s">
        <v>354</v>
      </c>
      <c r="H12" s="444" t="str">
        <f t="shared" si="1"/>
        <v>4-gleisig</v>
      </c>
      <c r="I12" s="463" t="b">
        <v>0</v>
      </c>
      <c r="K12" s="281" t="s">
        <v>247</v>
      </c>
      <c r="L12" s="316">
        <v>1</v>
      </c>
      <c r="M12" s="316">
        <v>71</v>
      </c>
      <c r="N12" s="316">
        <v>52</v>
      </c>
      <c r="O12" s="316" t="s">
        <v>233</v>
      </c>
      <c r="P12" s="317"/>
      <c r="Q12" s="281" t="s">
        <v>249</v>
      </c>
      <c r="R12" s="316">
        <v>0.34</v>
      </c>
      <c r="S12" s="316">
        <v>0.4</v>
      </c>
      <c r="T12" s="316">
        <v>0.57999999999999996</v>
      </c>
      <c r="U12" s="317" t="s">
        <v>665</v>
      </c>
      <c r="V12" s="281" t="str">
        <f t="shared" si="0"/>
        <v>SG-11</v>
      </c>
      <c r="W12" s="316">
        <f t="shared" si="0"/>
        <v>1</v>
      </c>
      <c r="X12" s="316">
        <f t="shared" si="0"/>
        <v>71</v>
      </c>
      <c r="Y12" s="316">
        <f t="shared" si="0"/>
        <v>52</v>
      </c>
      <c r="Z12" s="316" t="str">
        <f t="shared" si="0"/>
        <v>ESG 6 / 18 / ESG 6</v>
      </c>
      <c r="AA12" s="317"/>
      <c r="AB12" s="722"/>
      <c r="AC12" s="458"/>
      <c r="AD12" s="458"/>
      <c r="AE12" s="458"/>
      <c r="AF12" s="445"/>
    </row>
    <row r="13" spans="1:32" x14ac:dyDescent="0.2">
      <c r="A13" s="444" t="s">
        <v>225</v>
      </c>
      <c r="B13" s="467" t="s">
        <v>453</v>
      </c>
      <c r="C13" s="468" t="s">
        <v>452</v>
      </c>
      <c r="D13" s="281" t="s">
        <v>12</v>
      </c>
      <c r="E13" s="316" t="s">
        <v>13</v>
      </c>
      <c r="F13" s="316" t="s">
        <v>14</v>
      </c>
      <c r="G13" s="317" t="s">
        <v>108</v>
      </c>
      <c r="H13" s="444" t="str">
        <f t="shared" si="1"/>
        <v>Teilung Achsmasse</v>
      </c>
      <c r="I13" s="451" t="b">
        <v>0</v>
      </c>
      <c r="K13" s="281" t="s">
        <v>248</v>
      </c>
      <c r="L13" s="316">
        <v>1.1000000000000001</v>
      </c>
      <c r="M13" s="316">
        <v>70</v>
      </c>
      <c r="N13" s="316">
        <v>51</v>
      </c>
      <c r="O13" s="316" t="s">
        <v>235</v>
      </c>
      <c r="P13" s="317"/>
      <c r="Q13" s="281" t="s">
        <v>250</v>
      </c>
      <c r="R13" s="316">
        <v>0.33</v>
      </c>
      <c r="S13" s="316">
        <v>0.4</v>
      </c>
      <c r="T13" s="316">
        <v>0.57999999999999996</v>
      </c>
      <c r="U13" s="317" t="s">
        <v>666</v>
      </c>
      <c r="V13" s="281" t="str">
        <f t="shared" si="0"/>
        <v>SG-12</v>
      </c>
      <c r="W13" s="316">
        <f t="shared" si="0"/>
        <v>1.1000000000000001</v>
      </c>
      <c r="X13" s="316">
        <f t="shared" si="0"/>
        <v>70</v>
      </c>
      <c r="Y13" s="316">
        <f t="shared" si="0"/>
        <v>51</v>
      </c>
      <c r="Z13" s="316" t="str">
        <f t="shared" si="0"/>
        <v>ESG 8 / 14 / ESG 8</v>
      </c>
      <c r="AA13" s="317"/>
      <c r="AB13" s="722"/>
      <c r="AC13" s="458"/>
      <c r="AD13" s="458"/>
      <c r="AE13" s="458"/>
      <c r="AF13" s="445"/>
    </row>
    <row r="14" spans="1:32" ht="13.5" thickBot="1" x14ac:dyDescent="0.25">
      <c r="A14" s="444" t="s">
        <v>224</v>
      </c>
      <c r="B14" s="374" t="s">
        <v>454</v>
      </c>
      <c r="C14" s="469" t="s">
        <v>451</v>
      </c>
      <c r="D14" s="281" t="s">
        <v>110</v>
      </c>
      <c r="E14" s="316" t="s">
        <v>109</v>
      </c>
      <c r="F14" s="5" t="s">
        <v>15</v>
      </c>
      <c r="G14" s="59" t="s">
        <v>377</v>
      </c>
      <c r="H14" s="444" t="str">
        <f t="shared" si="1"/>
        <v>alle Gläser gleiche Breite (Empfehlung)</v>
      </c>
      <c r="I14" s="451" t="b">
        <v>0</v>
      </c>
      <c r="K14" s="281" t="s">
        <v>249</v>
      </c>
      <c r="L14" s="316">
        <v>1</v>
      </c>
      <c r="M14" s="316">
        <v>71</v>
      </c>
      <c r="N14" s="316">
        <v>52</v>
      </c>
      <c r="O14" s="316" t="s">
        <v>237</v>
      </c>
      <c r="P14" s="317"/>
      <c r="Q14" s="281" t="s">
        <v>251</v>
      </c>
      <c r="R14" s="316">
        <v>0.33</v>
      </c>
      <c r="S14" s="316">
        <v>0.39</v>
      </c>
      <c r="T14" s="316">
        <v>0.56999999999999995</v>
      </c>
      <c r="U14" s="317" t="s">
        <v>667</v>
      </c>
      <c r="V14" s="281" t="str">
        <f t="shared" si="0"/>
        <v>SG-13</v>
      </c>
      <c r="W14" s="316">
        <f t="shared" si="0"/>
        <v>1</v>
      </c>
      <c r="X14" s="316">
        <f t="shared" si="0"/>
        <v>71</v>
      </c>
      <c r="Y14" s="316">
        <f t="shared" si="0"/>
        <v>52</v>
      </c>
      <c r="Z14" s="316" t="str">
        <f t="shared" si="0"/>
        <v>ESG 8 / 16 / ESG 6</v>
      </c>
      <c r="AA14" s="317"/>
      <c r="AB14" s="722"/>
      <c r="AC14" s="458"/>
      <c r="AD14" s="458"/>
      <c r="AE14" s="458"/>
      <c r="AF14" s="445"/>
    </row>
    <row r="15" spans="1:32" x14ac:dyDescent="0.2">
      <c r="A15" s="444" t="s">
        <v>226</v>
      </c>
      <c r="B15" s="86" t="s">
        <v>197</v>
      </c>
      <c r="C15" s="35"/>
      <c r="D15" s="281" t="s">
        <v>16</v>
      </c>
      <c r="E15" s="316" t="s">
        <v>16</v>
      </c>
      <c r="F15" s="316" t="s">
        <v>16</v>
      </c>
      <c r="G15" s="317" t="s">
        <v>16</v>
      </c>
      <c r="H15" s="444" t="str">
        <f t="shared" si="1"/>
        <v>Standard</v>
      </c>
      <c r="I15" s="451" t="b">
        <v>0</v>
      </c>
      <c r="K15" s="281" t="s">
        <v>250</v>
      </c>
      <c r="L15" s="316">
        <v>1.1000000000000001</v>
      </c>
      <c r="M15" s="316">
        <v>70</v>
      </c>
      <c r="N15" s="316">
        <v>50</v>
      </c>
      <c r="O15" s="316" t="s">
        <v>239</v>
      </c>
      <c r="P15" s="317"/>
      <c r="Q15" s="281" t="s">
        <v>252</v>
      </c>
      <c r="R15" s="316">
        <v>0.33</v>
      </c>
      <c r="S15" s="316">
        <v>0.39</v>
      </c>
      <c r="T15" s="316">
        <v>0.56999999999999995</v>
      </c>
      <c r="U15" s="317" t="s">
        <v>668</v>
      </c>
      <c r="V15" s="281" t="str">
        <f t="shared" si="0"/>
        <v>SG-14</v>
      </c>
      <c r="W15" s="316">
        <f t="shared" si="0"/>
        <v>1.1000000000000001</v>
      </c>
      <c r="X15" s="316">
        <f t="shared" si="0"/>
        <v>70</v>
      </c>
      <c r="Y15" s="316">
        <f t="shared" si="0"/>
        <v>50</v>
      </c>
      <c r="Z15" s="316" t="str">
        <f t="shared" si="0"/>
        <v>ESG 10 / 14 / ESG 6</v>
      </c>
      <c r="AA15" s="317"/>
      <c r="AB15" s="722"/>
      <c r="AC15" s="458"/>
      <c r="AD15" s="458"/>
      <c r="AE15" s="458"/>
      <c r="AF15" s="445"/>
    </row>
    <row r="16" spans="1:32" x14ac:dyDescent="0.2">
      <c r="A16" s="444" t="s">
        <v>227</v>
      </c>
      <c r="B16" s="470" t="s">
        <v>198</v>
      </c>
      <c r="C16" s="462">
        <f>IF(AND($I$20=TRUE,OR('Pos. 2'!$F$10='Sprachen &amp; Rückgabewerte(2)'!$B$10,'Pos. 2'!$F$10='Sprachen &amp; Rückgabewerte(2)'!$B$11)),1,0)</f>
        <v>0</v>
      </c>
      <c r="D16" s="281" t="s">
        <v>17</v>
      </c>
      <c r="E16" s="316" t="s">
        <v>18</v>
      </c>
      <c r="F16" s="316" t="s">
        <v>19</v>
      </c>
      <c r="G16" s="317" t="s">
        <v>355</v>
      </c>
      <c r="H16" s="444" t="str">
        <f t="shared" si="1"/>
        <v>Einbruchschutz RC2</v>
      </c>
      <c r="I16" s="451" t="b">
        <v>0</v>
      </c>
      <c r="K16" s="281" t="s">
        <v>251</v>
      </c>
      <c r="L16" s="316">
        <v>1</v>
      </c>
      <c r="M16" s="316">
        <v>70</v>
      </c>
      <c r="N16" s="316" t="s">
        <v>803</v>
      </c>
      <c r="O16" s="316" t="s">
        <v>241</v>
      </c>
      <c r="P16" s="317"/>
      <c r="Q16" s="281">
        <v>0</v>
      </c>
      <c r="R16" s="316">
        <v>0</v>
      </c>
      <c r="S16" s="316">
        <v>0</v>
      </c>
      <c r="T16" s="316">
        <v>0</v>
      </c>
      <c r="U16" s="317" t="str">
        <f t="shared" ref="U16:U23" si="2">$H$54</f>
        <v>Glastyp wählen</v>
      </c>
      <c r="V16" s="281" t="str">
        <f t="shared" si="0"/>
        <v>SG-15</v>
      </c>
      <c r="W16" s="316">
        <f t="shared" si="0"/>
        <v>1</v>
      </c>
      <c r="X16" s="316">
        <f t="shared" si="0"/>
        <v>70</v>
      </c>
      <c r="Y16" s="316" t="str">
        <f t="shared" si="0"/>
        <v>48/51</v>
      </c>
      <c r="Z16" s="316" t="str">
        <f t="shared" si="0"/>
        <v>V-F 8-2 / 14 / ESG 6</v>
      </c>
      <c r="AA16" s="317"/>
      <c r="AB16" s="722"/>
      <c r="AC16" s="458"/>
      <c r="AD16" s="458"/>
      <c r="AE16" s="458"/>
      <c r="AF16" s="445"/>
    </row>
    <row r="17" spans="1:32" x14ac:dyDescent="0.2">
      <c r="A17" s="444" t="s">
        <v>228</v>
      </c>
      <c r="B17" s="465" t="s">
        <v>199</v>
      </c>
      <c r="C17" s="466">
        <f>IF(AND($I$20=TRUE,OR('Pos. 2'!$J$10='Sprachen &amp; Rückgabewerte(2)'!$B$10,'Pos. 2'!$J$10='Sprachen &amp; Rückgabewerte(2)'!$B$11)),1,0)</f>
        <v>0</v>
      </c>
      <c r="D17" s="281" t="s">
        <v>346</v>
      </c>
      <c r="E17" s="316" t="s">
        <v>20</v>
      </c>
      <c r="F17" s="316" t="s">
        <v>21</v>
      </c>
      <c r="G17" s="317" t="s">
        <v>125</v>
      </c>
      <c r="H17" s="444" t="str">
        <f t="shared" si="1"/>
        <v>Positionsüberwachung (P)</v>
      </c>
      <c r="I17" s="451" t="b">
        <v>0</v>
      </c>
      <c r="K17" s="281" t="s">
        <v>252</v>
      </c>
      <c r="L17" s="316">
        <v>1</v>
      </c>
      <c r="M17" s="316">
        <v>70</v>
      </c>
      <c r="N17" s="316" t="s">
        <v>802</v>
      </c>
      <c r="O17" s="316" t="s">
        <v>243</v>
      </c>
      <c r="P17" s="317"/>
      <c r="Q17" s="281" t="s">
        <v>253</v>
      </c>
      <c r="R17" s="316">
        <v>0.34</v>
      </c>
      <c r="S17" s="316">
        <v>0.26</v>
      </c>
      <c r="T17" s="316">
        <v>0.53</v>
      </c>
      <c r="U17" s="317" t="s">
        <v>669</v>
      </c>
      <c r="V17" s="281" t="str">
        <f t="shared" si="0"/>
        <v>SG-16</v>
      </c>
      <c r="W17" s="316">
        <f t="shared" si="0"/>
        <v>1</v>
      </c>
      <c r="X17" s="316">
        <f t="shared" si="0"/>
        <v>70</v>
      </c>
      <c r="Y17" s="316" t="str">
        <f t="shared" si="0"/>
        <v>48/50</v>
      </c>
      <c r="Z17" s="316" t="str">
        <f t="shared" si="0"/>
        <v>V-F 8-2 / 14 / ESG 8</v>
      </c>
      <c r="AA17" s="317"/>
      <c r="AB17" s="722"/>
      <c r="AC17" s="458"/>
      <c r="AD17" s="458"/>
      <c r="AE17" s="458"/>
      <c r="AF17" s="445"/>
    </row>
    <row r="18" spans="1:32" x14ac:dyDescent="0.2">
      <c r="A18" s="444" t="s">
        <v>229</v>
      </c>
      <c r="B18" s="465" t="s">
        <v>200</v>
      </c>
      <c r="C18" s="466">
        <f>IF(AND($I$20=TRUE,OR('Pos. 2'!$N$10='Sprachen &amp; Rückgabewerte(2)'!$B$10,'Pos. 2'!$N$10='Sprachen &amp; Rückgabewerte(2)'!$B$11)),1,0)</f>
        <v>0</v>
      </c>
      <c r="D18" s="281" t="s">
        <v>347</v>
      </c>
      <c r="E18" s="316" t="s">
        <v>22</v>
      </c>
      <c r="F18" s="316" t="s">
        <v>348</v>
      </c>
      <c r="G18" s="317" t="s">
        <v>126</v>
      </c>
      <c r="H18" s="444" t="str">
        <f t="shared" si="1"/>
        <v xml:space="preserve">Riegelüberwachung (R) </v>
      </c>
      <c r="I18" s="451" t="b">
        <v>0</v>
      </c>
      <c r="K18" s="281">
        <v>0</v>
      </c>
      <c r="L18" s="316">
        <v>0</v>
      </c>
      <c r="M18" s="316">
        <v>0</v>
      </c>
      <c r="N18" s="316"/>
      <c r="O18" s="316" t="str">
        <f>$H$54</f>
        <v>Glastyp wählen</v>
      </c>
      <c r="P18" s="317"/>
      <c r="Q18" s="281" t="s">
        <v>254</v>
      </c>
      <c r="R18" s="316">
        <v>0.33</v>
      </c>
      <c r="S18" s="316">
        <v>0.26</v>
      </c>
      <c r="T18" s="316">
        <v>0.52</v>
      </c>
      <c r="U18" s="317" t="s">
        <v>670</v>
      </c>
      <c r="V18" s="281">
        <f t="shared" si="0"/>
        <v>0</v>
      </c>
      <c r="W18" s="316">
        <f t="shared" si="0"/>
        <v>0</v>
      </c>
      <c r="X18" s="316">
        <f t="shared" si="0"/>
        <v>0</v>
      </c>
      <c r="Y18" s="316">
        <f t="shared" si="0"/>
        <v>0</v>
      </c>
      <c r="Z18" s="316" t="str">
        <f t="shared" si="0"/>
        <v>Glastyp wählen</v>
      </c>
      <c r="AA18" s="317"/>
      <c r="AB18" s="722"/>
      <c r="AC18" s="458"/>
      <c r="AD18" s="458"/>
      <c r="AE18" s="458"/>
      <c r="AF18" s="445"/>
    </row>
    <row r="19" spans="1:32" x14ac:dyDescent="0.2">
      <c r="A19" s="444"/>
      <c r="B19" s="465" t="s">
        <v>201</v>
      </c>
      <c r="C19" s="466">
        <f>IF(AND($I$20=TRUE,OR('Pos. 2'!$R$10='Sprachen &amp; Rückgabewerte(2)'!$B$10,'Pos. 2'!$R$10='Sprachen &amp; Rückgabewerte(2)'!$B$11)),1,0)</f>
        <v>0</v>
      </c>
      <c r="D19" s="281" t="s">
        <v>349</v>
      </c>
      <c r="E19" s="316" t="s">
        <v>23</v>
      </c>
      <c r="F19" s="316" t="s">
        <v>24</v>
      </c>
      <c r="G19" s="317" t="s">
        <v>124</v>
      </c>
      <c r="H19" s="444" t="str">
        <f t="shared" si="1"/>
        <v>Glasbruchüberwachung (G)</v>
      </c>
      <c r="I19" s="451" t="b">
        <v>0</v>
      </c>
      <c r="K19" s="281" t="s">
        <v>253</v>
      </c>
      <c r="L19" s="316">
        <v>1</v>
      </c>
      <c r="M19" s="316">
        <v>61</v>
      </c>
      <c r="N19" s="316">
        <v>28</v>
      </c>
      <c r="O19" s="316" t="s">
        <v>233</v>
      </c>
      <c r="P19" s="317"/>
      <c r="Q19" s="281" t="s">
        <v>255</v>
      </c>
      <c r="R19" s="316">
        <v>0.34</v>
      </c>
      <c r="S19" s="316">
        <v>0.26</v>
      </c>
      <c r="T19" s="316">
        <v>0.52</v>
      </c>
      <c r="U19" s="317" t="s">
        <v>671</v>
      </c>
      <c r="V19" s="281" t="str">
        <f t="shared" si="0"/>
        <v>SG-21</v>
      </c>
      <c r="W19" s="316">
        <f t="shared" si="0"/>
        <v>1</v>
      </c>
      <c r="X19" s="316">
        <f t="shared" si="0"/>
        <v>61</v>
      </c>
      <c r="Y19" s="316">
        <f t="shared" si="0"/>
        <v>28</v>
      </c>
      <c r="Z19" s="316" t="str">
        <f t="shared" si="0"/>
        <v>ESG 6 / 18 / ESG 6</v>
      </c>
      <c r="AA19" s="317"/>
      <c r="AB19" s="445"/>
      <c r="AC19" s="445"/>
      <c r="AD19" s="445"/>
      <c r="AE19" s="445"/>
      <c r="AF19" s="445"/>
    </row>
    <row r="20" spans="1:32" x14ac:dyDescent="0.2">
      <c r="A20" s="444" t="s">
        <v>230</v>
      </c>
      <c r="B20" s="465" t="s">
        <v>202</v>
      </c>
      <c r="C20" s="466">
        <f>IF(AND($I$20=TRUE,OR('Pos. 2'!$V$10='Sprachen &amp; Rückgabewerte(2)'!$B$10,'Pos. 2'!$V$10='Sprachen &amp; Rückgabewerte(2)'!$B$11)),1,0)</f>
        <v>0</v>
      </c>
      <c r="D20" s="281" t="s">
        <v>25</v>
      </c>
      <c r="E20" s="316" t="s">
        <v>195</v>
      </c>
      <c r="F20" s="316" t="s">
        <v>26</v>
      </c>
      <c r="G20" s="317" t="s">
        <v>127</v>
      </c>
      <c r="H20" s="444" t="str">
        <f t="shared" si="1"/>
        <v>Elektrischer Antrieb, Anzahl</v>
      </c>
      <c r="I20" s="451" t="b">
        <v>0</v>
      </c>
      <c r="K20" s="281" t="s">
        <v>254</v>
      </c>
      <c r="L20" s="316">
        <v>1.1000000000000001</v>
      </c>
      <c r="M20" s="316">
        <v>60</v>
      </c>
      <c r="N20" s="316">
        <v>28</v>
      </c>
      <c r="O20" s="316" t="s">
        <v>235</v>
      </c>
      <c r="P20" s="317"/>
      <c r="Q20" s="281" t="s">
        <v>256</v>
      </c>
      <c r="R20" s="316">
        <v>0.33</v>
      </c>
      <c r="S20" s="316">
        <v>0.26</v>
      </c>
      <c r="T20" s="316">
        <v>0.52</v>
      </c>
      <c r="U20" s="317" t="s">
        <v>672</v>
      </c>
      <c r="V20" s="281" t="str">
        <f t="shared" si="0"/>
        <v>SG-22</v>
      </c>
      <c r="W20" s="316">
        <f t="shared" si="0"/>
        <v>1.1000000000000001</v>
      </c>
      <c r="X20" s="316">
        <f t="shared" si="0"/>
        <v>60</v>
      </c>
      <c r="Y20" s="316">
        <f t="shared" si="0"/>
        <v>28</v>
      </c>
      <c r="Z20" s="316" t="str">
        <f t="shared" si="0"/>
        <v>ESG 8 / 14 / ESG 8</v>
      </c>
      <c r="AA20" s="317"/>
      <c r="AB20" s="445"/>
      <c r="AC20" s="445"/>
      <c r="AD20" s="445"/>
      <c r="AE20" s="445"/>
      <c r="AF20" s="445"/>
    </row>
    <row r="21" spans="1:32" x14ac:dyDescent="0.2">
      <c r="A21" s="444" t="s">
        <v>231</v>
      </c>
      <c r="B21" s="465" t="s">
        <v>203</v>
      </c>
      <c r="C21" s="466">
        <f>IF(AND($I$20=TRUE,OR('Pos. 2'!$Z$10='Sprachen &amp; Rückgabewerte(2)'!$B$10,'Pos. 2'!$Z$10='Sprachen &amp; Rückgabewerte(2)'!$B$11)),1,0)</f>
        <v>0</v>
      </c>
      <c r="D21" s="281" t="s">
        <v>27</v>
      </c>
      <c r="E21" s="316" t="s">
        <v>770</v>
      </c>
      <c r="F21" s="316" t="s">
        <v>28</v>
      </c>
      <c r="G21" s="317" t="s">
        <v>128</v>
      </c>
      <c r="H21" s="444" t="str">
        <f t="shared" si="1"/>
        <v>Stk.</v>
      </c>
      <c r="I21" s="451"/>
      <c r="K21" s="281" t="s">
        <v>255</v>
      </c>
      <c r="L21" s="316">
        <v>1</v>
      </c>
      <c r="M21" s="316">
        <v>60</v>
      </c>
      <c r="N21" s="316">
        <v>28</v>
      </c>
      <c r="O21" s="316" t="s">
        <v>237</v>
      </c>
      <c r="P21" s="317"/>
      <c r="Q21" s="281" t="s">
        <v>257</v>
      </c>
      <c r="R21" s="316">
        <v>0.33</v>
      </c>
      <c r="S21" s="316">
        <v>0.26</v>
      </c>
      <c r="T21" s="316">
        <v>0.52</v>
      </c>
      <c r="U21" s="317" t="s">
        <v>673</v>
      </c>
      <c r="V21" s="281" t="str">
        <f t="shared" si="0"/>
        <v>SG-23</v>
      </c>
      <c r="W21" s="316">
        <f t="shared" si="0"/>
        <v>1</v>
      </c>
      <c r="X21" s="316">
        <f t="shared" si="0"/>
        <v>60</v>
      </c>
      <c r="Y21" s="316">
        <f t="shared" si="0"/>
        <v>28</v>
      </c>
      <c r="Z21" s="316" t="str">
        <f t="shared" si="0"/>
        <v>ESG 8 / 16 / ESG 6</v>
      </c>
      <c r="AA21" s="317"/>
      <c r="AB21" s="445"/>
      <c r="AC21" s="445"/>
      <c r="AD21" s="445"/>
      <c r="AE21" s="445"/>
      <c r="AF21" s="445"/>
    </row>
    <row r="22" spans="1:32" x14ac:dyDescent="0.2">
      <c r="A22" s="444"/>
      <c r="B22" s="465" t="s">
        <v>204</v>
      </c>
      <c r="C22" s="466">
        <f>IF(AND($I$20=TRUE,OR('Pos. 2'!$AD$10='Sprachen &amp; Rückgabewerte(2)'!$B$10,'Pos. 2'!$AD$10='Sprachen &amp; Rückgabewerte(2)'!$B$11)),1,0)</f>
        <v>0</v>
      </c>
      <c r="D22" s="281" t="s">
        <v>29</v>
      </c>
      <c r="E22" s="316" t="s">
        <v>345</v>
      </c>
      <c r="F22" s="316" t="s">
        <v>344</v>
      </c>
      <c r="G22" s="317" t="s">
        <v>508</v>
      </c>
      <c r="H22" s="444" t="str">
        <f t="shared" si="1"/>
        <v>geforderte Klassen:</v>
      </c>
      <c r="I22" s="451" t="b">
        <v>0</v>
      </c>
      <c r="K22" s="281" t="s">
        <v>256</v>
      </c>
      <c r="L22" s="316">
        <v>1.1000000000000001</v>
      </c>
      <c r="M22" s="316">
        <v>60</v>
      </c>
      <c r="N22" s="316">
        <v>28</v>
      </c>
      <c r="O22" s="316" t="s">
        <v>239</v>
      </c>
      <c r="P22" s="317"/>
      <c r="Q22" s="281" t="s">
        <v>258</v>
      </c>
      <c r="R22" s="316">
        <v>0.33</v>
      </c>
      <c r="S22" s="316">
        <v>0.26</v>
      </c>
      <c r="T22" s="316">
        <v>0.51</v>
      </c>
      <c r="U22" s="317" t="s">
        <v>674</v>
      </c>
      <c r="V22" s="281" t="str">
        <f t="shared" si="0"/>
        <v>SG-24</v>
      </c>
      <c r="W22" s="316">
        <f t="shared" si="0"/>
        <v>1.1000000000000001</v>
      </c>
      <c r="X22" s="316">
        <f t="shared" si="0"/>
        <v>60</v>
      </c>
      <c r="Y22" s="316">
        <f t="shared" si="0"/>
        <v>28</v>
      </c>
      <c r="Z22" s="316" t="str">
        <f t="shared" si="0"/>
        <v>ESG 10 / 14 / ESG 6</v>
      </c>
      <c r="AA22" s="317"/>
      <c r="AB22" s="445"/>
      <c r="AC22" s="445"/>
      <c r="AD22" s="445"/>
      <c r="AE22" s="445"/>
      <c r="AF22" s="445"/>
    </row>
    <row r="23" spans="1:32" x14ac:dyDescent="0.2">
      <c r="A23" s="363">
        <v>1</v>
      </c>
      <c r="B23" s="465" t="s">
        <v>205</v>
      </c>
      <c r="C23" s="466">
        <f>IF(AND($I$20=TRUE,OR('Pos. 2'!$AH$10='Sprachen &amp; Rückgabewerte(2)'!$B$10,'Pos. 2'!$AH$10='Sprachen &amp; Rückgabewerte(2)'!$B$11)),1,0)</f>
        <v>0</v>
      </c>
      <c r="D23" s="6" t="s">
        <v>119</v>
      </c>
      <c r="E23" s="7" t="s">
        <v>121</v>
      </c>
      <c r="F23" s="7" t="s">
        <v>122</v>
      </c>
      <c r="G23" s="8" t="s">
        <v>356</v>
      </c>
      <c r="H23" s="444" t="str">
        <f t="shared" si="1"/>
        <v>(Schlagregen, Luftdurchlässigkeit)</v>
      </c>
      <c r="I23" s="451"/>
      <c r="K23" s="281" t="s">
        <v>257</v>
      </c>
      <c r="L23" s="316">
        <v>1</v>
      </c>
      <c r="M23" s="316">
        <v>61</v>
      </c>
      <c r="N23" s="316">
        <v>28</v>
      </c>
      <c r="O23" s="316" t="s">
        <v>245</v>
      </c>
      <c r="P23" s="317"/>
      <c r="Q23" s="281">
        <v>0</v>
      </c>
      <c r="R23" s="316">
        <v>0</v>
      </c>
      <c r="S23" s="316">
        <v>0</v>
      </c>
      <c r="T23" s="316">
        <v>0</v>
      </c>
      <c r="U23" s="317" t="str">
        <f t="shared" si="2"/>
        <v>Glastyp wählen</v>
      </c>
      <c r="V23" s="281" t="str">
        <f t="shared" si="0"/>
        <v>SG-25</v>
      </c>
      <c r="W23" s="316">
        <f t="shared" si="0"/>
        <v>1</v>
      </c>
      <c r="X23" s="316">
        <f t="shared" si="0"/>
        <v>61</v>
      </c>
      <c r="Y23" s="316">
        <f t="shared" si="0"/>
        <v>28</v>
      </c>
      <c r="Z23" s="316" t="str">
        <f t="shared" si="0"/>
        <v>ESG 6 / 14 / V-WG 8-2</v>
      </c>
      <c r="AA23" s="317"/>
      <c r="AB23" s="445"/>
      <c r="AC23" s="445"/>
      <c r="AD23" s="445"/>
      <c r="AE23" s="445"/>
      <c r="AF23" s="445"/>
    </row>
    <row r="24" spans="1:32" ht="13.5" thickBot="1" x14ac:dyDescent="0.25">
      <c r="A24" s="471">
        <v>2</v>
      </c>
      <c r="B24" s="465" t="s">
        <v>206</v>
      </c>
      <c r="C24" s="466">
        <f>IF(AND($I$20=TRUE,OR('Pos. 2'!$AL$10='Sprachen &amp; Rückgabewerte(2)'!$B$10,'Pos. 2'!$AL$10='Sprachen &amp; Rückgabewerte(2)'!$B$11)),1,0)</f>
        <v>0</v>
      </c>
      <c r="D24" s="281" t="s">
        <v>111</v>
      </c>
      <c r="E24" s="316" t="s">
        <v>112</v>
      </c>
      <c r="F24" s="316" t="s">
        <v>113</v>
      </c>
      <c r="G24" s="317" t="s">
        <v>114</v>
      </c>
      <c r="H24" s="444" t="str">
        <f t="shared" si="1"/>
        <v>Speziell:</v>
      </c>
      <c r="I24" s="451"/>
      <c r="K24" s="281" t="s">
        <v>258</v>
      </c>
      <c r="L24" s="316">
        <v>1</v>
      </c>
      <c r="M24" s="316">
        <v>60</v>
      </c>
      <c r="N24" s="316">
        <v>28</v>
      </c>
      <c r="O24" s="316" t="s">
        <v>259</v>
      </c>
      <c r="P24" s="317"/>
      <c r="Q24" s="281" t="s">
        <v>675</v>
      </c>
      <c r="R24" s="316">
        <v>0.34</v>
      </c>
      <c r="S24" s="316">
        <v>0.22</v>
      </c>
      <c r="T24" s="316">
        <v>0.43</v>
      </c>
      <c r="U24" s="317" t="s">
        <v>676</v>
      </c>
      <c r="V24" s="281" t="str">
        <f t="shared" si="0"/>
        <v>SG-26</v>
      </c>
      <c r="W24" s="316">
        <f t="shared" si="0"/>
        <v>1</v>
      </c>
      <c r="X24" s="316">
        <f t="shared" si="0"/>
        <v>60</v>
      </c>
      <c r="Y24" s="316">
        <f t="shared" si="0"/>
        <v>28</v>
      </c>
      <c r="Z24" s="316" t="str">
        <f t="shared" si="0"/>
        <v>ESG 8 / 12 / V-WG 8-2</v>
      </c>
      <c r="AA24" s="317"/>
      <c r="AB24" s="445"/>
      <c r="AC24" s="445"/>
      <c r="AD24" s="445"/>
      <c r="AE24" s="445"/>
      <c r="AF24" s="445"/>
    </row>
    <row r="25" spans="1:32" ht="13.5" thickBot="1" x14ac:dyDescent="0.25">
      <c r="B25" s="472" t="s">
        <v>207</v>
      </c>
      <c r="C25" s="469">
        <f>IF(AND($I$20=TRUE,OR('Pos. 2'!$AP$10='Sprachen &amp; Rückgabewerte(2)'!$B$10,'Pos. 2'!$AP$10='Sprachen &amp; Rückgabewerte(2)'!$B$11)),1,0)</f>
        <v>0</v>
      </c>
      <c r="D25" s="281" t="s">
        <v>30</v>
      </c>
      <c r="E25" s="316" t="s">
        <v>30</v>
      </c>
      <c r="F25" s="316" t="s">
        <v>30</v>
      </c>
      <c r="G25" s="317" t="s">
        <v>30</v>
      </c>
      <c r="H25" s="444" t="str">
        <f t="shared" si="1"/>
        <v>Pool</v>
      </c>
      <c r="I25" s="451" t="b">
        <v>0</v>
      </c>
      <c r="K25" s="281" t="s">
        <v>260</v>
      </c>
      <c r="L25" s="316">
        <v>1</v>
      </c>
      <c r="M25" s="316">
        <v>59</v>
      </c>
      <c r="N25" s="316">
        <v>27</v>
      </c>
      <c r="O25" s="316" t="s">
        <v>261</v>
      </c>
      <c r="P25" s="317"/>
      <c r="Q25" s="281" t="s">
        <v>677</v>
      </c>
      <c r="R25" s="316">
        <v>0.33</v>
      </c>
      <c r="S25" s="316">
        <v>0.22</v>
      </c>
      <c r="T25" s="316">
        <v>0.42</v>
      </c>
      <c r="U25" s="317" t="s">
        <v>678</v>
      </c>
      <c r="V25" s="473" t="str">
        <f t="shared" si="0"/>
        <v>SG-27</v>
      </c>
      <c r="W25" s="474">
        <f t="shared" si="0"/>
        <v>1</v>
      </c>
      <c r="X25" s="474">
        <f t="shared" si="0"/>
        <v>59</v>
      </c>
      <c r="Y25" s="474">
        <f t="shared" si="0"/>
        <v>27</v>
      </c>
      <c r="Z25" s="474" t="str">
        <f t="shared" si="0"/>
        <v>V-F 10-2 / 12 / ESG 6</v>
      </c>
      <c r="AA25" s="475"/>
      <c r="AB25" s="445"/>
      <c r="AC25" s="445"/>
      <c r="AD25" s="445"/>
      <c r="AE25" s="445"/>
      <c r="AF25" s="445"/>
    </row>
    <row r="26" spans="1:32" ht="13.5" thickBot="1" x14ac:dyDescent="0.25">
      <c r="D26" s="281" t="s">
        <v>115</v>
      </c>
      <c r="E26" s="316" t="s">
        <v>120</v>
      </c>
      <c r="F26" s="316" t="s">
        <v>123</v>
      </c>
      <c r="G26" s="317" t="s">
        <v>357</v>
      </c>
      <c r="H26" s="444" t="str">
        <f t="shared" si="1"/>
        <v>Schallschutz</v>
      </c>
      <c r="I26" s="451"/>
      <c r="K26" s="281">
        <v>0</v>
      </c>
      <c r="L26" s="316">
        <v>0</v>
      </c>
      <c r="M26" s="316">
        <v>0</v>
      </c>
      <c r="N26" s="316">
        <v>0</v>
      </c>
      <c r="O26" s="316" t="str">
        <f t="shared" ref="O26:O35" si="3">$H$54</f>
        <v>Glastyp wählen</v>
      </c>
      <c r="P26" s="317"/>
      <c r="Q26" s="476" t="s">
        <v>679</v>
      </c>
      <c r="R26" s="477">
        <v>0.34</v>
      </c>
      <c r="S26" s="477">
        <v>0.22</v>
      </c>
      <c r="T26" s="477">
        <v>0.43</v>
      </c>
      <c r="U26" s="317" t="s">
        <v>680</v>
      </c>
      <c r="V26" s="281">
        <f t="shared" ref="V26:Z35" si="4">IF($I$125=TRUE,Q26,K26)</f>
        <v>0</v>
      </c>
      <c r="W26" s="316">
        <f t="shared" si="4"/>
        <v>0</v>
      </c>
      <c r="X26" s="316">
        <f t="shared" si="4"/>
        <v>0</v>
      </c>
      <c r="Y26" s="316">
        <f t="shared" si="4"/>
        <v>0</v>
      </c>
      <c r="Z26" s="316" t="str">
        <f t="shared" si="4"/>
        <v>Glastyp wählen</v>
      </c>
      <c r="AA26" s="317"/>
      <c r="AB26" s="445"/>
      <c r="AC26" s="445"/>
      <c r="AD26" s="445"/>
      <c r="AE26" s="445"/>
      <c r="AF26" s="445"/>
    </row>
    <row r="27" spans="1:32" x14ac:dyDescent="0.2">
      <c r="A27" s="57" t="s">
        <v>865</v>
      </c>
      <c r="B27" s="34" t="s">
        <v>208</v>
      </c>
      <c r="C27" s="366"/>
      <c r="D27" s="281" t="s">
        <v>116</v>
      </c>
      <c r="E27" s="316" t="s">
        <v>116</v>
      </c>
      <c r="F27" s="316" t="s">
        <v>116</v>
      </c>
      <c r="G27" s="317" t="s">
        <v>116</v>
      </c>
      <c r="H27" s="444" t="str">
        <f t="shared" si="1"/>
        <v>MINERGIE Modul</v>
      </c>
      <c r="I27" s="451"/>
      <c r="K27" s="281">
        <v>0</v>
      </c>
      <c r="L27" s="316">
        <v>0</v>
      </c>
      <c r="M27" s="316">
        <v>0</v>
      </c>
      <c r="N27" s="316">
        <v>0</v>
      </c>
      <c r="O27" s="316" t="str">
        <f t="shared" si="3"/>
        <v>Glastyp wählen</v>
      </c>
      <c r="P27" s="317"/>
      <c r="Q27" s="476" t="s">
        <v>681</v>
      </c>
      <c r="R27" s="477">
        <v>0.33</v>
      </c>
      <c r="S27" s="477">
        <v>0.22</v>
      </c>
      <c r="T27" s="477">
        <v>0.42</v>
      </c>
      <c r="U27" s="317" t="s">
        <v>682</v>
      </c>
      <c r="V27" s="281">
        <f t="shared" si="4"/>
        <v>0</v>
      </c>
      <c r="W27" s="316">
        <f t="shared" si="4"/>
        <v>0</v>
      </c>
      <c r="X27" s="316">
        <f t="shared" si="4"/>
        <v>0</v>
      </c>
      <c r="Y27" s="316">
        <f t="shared" si="4"/>
        <v>0</v>
      </c>
      <c r="Z27" s="316" t="str">
        <f t="shared" si="4"/>
        <v>Glastyp wählen</v>
      </c>
      <c r="AA27" s="317"/>
      <c r="AB27" s="445"/>
      <c r="AC27" s="445"/>
      <c r="AD27" s="445"/>
      <c r="AE27" s="445"/>
      <c r="AF27" s="445"/>
    </row>
    <row r="28" spans="1:32" x14ac:dyDescent="0.2">
      <c r="A28" s="362"/>
      <c r="B28" s="357" t="s">
        <v>209</v>
      </c>
      <c r="C28" s="358" t="str">
        <f>IF($I$17=TRUE,"P","")</f>
        <v/>
      </c>
      <c r="D28" s="281" t="s">
        <v>117</v>
      </c>
      <c r="E28" s="316" t="s">
        <v>117</v>
      </c>
      <c r="F28" s="316" t="s">
        <v>117</v>
      </c>
      <c r="G28" s="317" t="s">
        <v>117</v>
      </c>
      <c r="H28" s="444" t="str">
        <f t="shared" si="1"/>
        <v>MINERGIE-P Modul</v>
      </c>
      <c r="I28" s="451"/>
      <c r="K28" s="281">
        <v>0</v>
      </c>
      <c r="L28" s="316">
        <v>0</v>
      </c>
      <c r="M28" s="316">
        <v>0</v>
      </c>
      <c r="N28" s="316">
        <v>0</v>
      </c>
      <c r="O28" s="316" t="str">
        <f t="shared" si="3"/>
        <v>Glastyp wählen</v>
      </c>
      <c r="P28" s="317"/>
      <c r="Q28" s="476" t="s">
        <v>683</v>
      </c>
      <c r="R28" s="477">
        <v>0.33</v>
      </c>
      <c r="S28" s="477">
        <v>0.22</v>
      </c>
      <c r="T28" s="477">
        <v>0.42</v>
      </c>
      <c r="U28" s="317" t="s">
        <v>684</v>
      </c>
      <c r="V28" s="281">
        <f t="shared" si="4"/>
        <v>0</v>
      </c>
      <c r="W28" s="316">
        <f t="shared" si="4"/>
        <v>0</v>
      </c>
      <c r="X28" s="316">
        <f t="shared" si="4"/>
        <v>0</v>
      </c>
      <c r="Y28" s="316">
        <f t="shared" si="4"/>
        <v>0</v>
      </c>
      <c r="Z28" s="316" t="str">
        <f t="shared" si="4"/>
        <v>Glastyp wählen</v>
      </c>
      <c r="AA28" s="317"/>
      <c r="AB28" s="445"/>
      <c r="AC28" s="445"/>
      <c r="AD28" s="445"/>
      <c r="AE28" s="445"/>
      <c r="AF28" s="445"/>
    </row>
    <row r="29" spans="1:32" x14ac:dyDescent="0.2">
      <c r="A29" s="363" t="s">
        <v>866</v>
      </c>
      <c r="B29" s="281" t="s">
        <v>210</v>
      </c>
      <c r="C29" s="466" t="str">
        <f>IF($I$18=TRUE,"R","")</f>
        <v/>
      </c>
      <c r="D29" s="281" t="s">
        <v>118</v>
      </c>
      <c r="E29" s="316" t="s">
        <v>118</v>
      </c>
      <c r="F29" s="316" t="s">
        <v>118</v>
      </c>
      <c r="G29" s="317" t="s">
        <v>118</v>
      </c>
      <c r="H29" s="444" t="str">
        <f t="shared" si="1"/>
        <v>Gun</v>
      </c>
      <c r="I29" s="451"/>
      <c r="K29" s="281">
        <v>0</v>
      </c>
      <c r="L29" s="316">
        <v>0</v>
      </c>
      <c r="M29" s="316">
        <v>0</v>
      </c>
      <c r="N29" s="316">
        <v>0</v>
      </c>
      <c r="O29" s="316" t="str">
        <f t="shared" si="3"/>
        <v>Glastyp wählen</v>
      </c>
      <c r="P29" s="317"/>
      <c r="Q29" s="476" t="s">
        <v>685</v>
      </c>
      <c r="R29" s="477">
        <v>0.33</v>
      </c>
      <c r="S29" s="477">
        <v>0.22</v>
      </c>
      <c r="T29" s="477">
        <v>0.42</v>
      </c>
      <c r="U29" s="317" t="s">
        <v>686</v>
      </c>
      <c r="V29" s="281">
        <f t="shared" si="4"/>
        <v>0</v>
      </c>
      <c r="W29" s="316">
        <f t="shared" si="4"/>
        <v>0</v>
      </c>
      <c r="X29" s="316">
        <f t="shared" si="4"/>
        <v>0</v>
      </c>
      <c r="Y29" s="316">
        <f t="shared" si="4"/>
        <v>0</v>
      </c>
      <c r="Z29" s="316" t="str">
        <f t="shared" si="4"/>
        <v>Glastyp wählen</v>
      </c>
      <c r="AA29" s="317"/>
      <c r="AB29" s="445"/>
      <c r="AC29" s="445"/>
      <c r="AD29" s="445"/>
      <c r="AE29" s="445"/>
      <c r="AF29" s="445"/>
    </row>
    <row r="30" spans="1:32" ht="13.5" thickBot="1" x14ac:dyDescent="0.25">
      <c r="A30" s="364" t="s">
        <v>867</v>
      </c>
      <c r="B30" s="472" t="s">
        <v>211</v>
      </c>
      <c r="C30" s="469" t="str">
        <f>IF($I$19=TRUE,"G","")</f>
        <v/>
      </c>
      <c r="D30" s="281" t="s">
        <v>31</v>
      </c>
      <c r="E30" s="316" t="s">
        <v>32</v>
      </c>
      <c r="F30" s="316" t="s">
        <v>33</v>
      </c>
      <c r="G30" s="317" t="s">
        <v>701</v>
      </c>
      <c r="H30" s="444" t="str">
        <f t="shared" si="1"/>
        <v>nach rechts</v>
      </c>
      <c r="I30" s="451" t="b">
        <v>0</v>
      </c>
      <c r="K30" s="281">
        <v>0</v>
      </c>
      <c r="L30" s="316">
        <v>0</v>
      </c>
      <c r="M30" s="316">
        <v>0</v>
      </c>
      <c r="N30" s="316">
        <v>0</v>
      </c>
      <c r="O30" s="316" t="str">
        <f t="shared" si="3"/>
        <v>Glastyp wählen</v>
      </c>
      <c r="P30" s="317"/>
      <c r="Q30" s="281">
        <v>0</v>
      </c>
      <c r="R30" s="316">
        <v>0</v>
      </c>
      <c r="S30" s="316">
        <v>0</v>
      </c>
      <c r="T30" s="316">
        <v>0</v>
      </c>
      <c r="U30" s="317" t="str">
        <f t="shared" ref="U30" si="5">$H$54</f>
        <v>Glastyp wählen</v>
      </c>
      <c r="V30" s="281">
        <f t="shared" si="4"/>
        <v>0</v>
      </c>
      <c r="W30" s="316">
        <f t="shared" si="4"/>
        <v>0</v>
      </c>
      <c r="X30" s="316">
        <f t="shared" si="4"/>
        <v>0</v>
      </c>
      <c r="Y30" s="316">
        <f t="shared" si="4"/>
        <v>0</v>
      </c>
      <c r="Z30" s="316" t="str">
        <f t="shared" si="4"/>
        <v>Glastyp wählen</v>
      </c>
      <c r="AA30" s="317"/>
      <c r="AB30" s="445"/>
      <c r="AC30" s="445"/>
      <c r="AD30" s="445"/>
      <c r="AE30" s="445"/>
      <c r="AF30" s="445"/>
    </row>
    <row r="31" spans="1:32" ht="13.5" thickBot="1" x14ac:dyDescent="0.25">
      <c r="B31" s="445"/>
      <c r="C31" s="478"/>
      <c r="D31" s="465" t="s">
        <v>34</v>
      </c>
      <c r="E31" s="316" t="s">
        <v>35</v>
      </c>
      <c r="F31" s="316" t="s">
        <v>36</v>
      </c>
      <c r="G31" s="317" t="s">
        <v>702</v>
      </c>
      <c r="H31" s="444" t="str">
        <f t="shared" si="1"/>
        <v>nach links</v>
      </c>
      <c r="I31" s="451" t="b">
        <v>0</v>
      </c>
      <c r="K31" s="281">
        <v>0</v>
      </c>
      <c r="L31" s="316">
        <v>0</v>
      </c>
      <c r="M31" s="316">
        <v>0</v>
      </c>
      <c r="N31" s="316">
        <v>0</v>
      </c>
      <c r="O31" s="316" t="str">
        <f t="shared" si="3"/>
        <v>Glastyp wählen</v>
      </c>
      <c r="P31" s="317"/>
      <c r="Q31" s="476" t="s">
        <v>687</v>
      </c>
      <c r="R31" s="477">
        <v>0.33</v>
      </c>
      <c r="S31" s="477">
        <v>0.46</v>
      </c>
      <c r="T31" s="477">
        <v>0.66</v>
      </c>
      <c r="U31" s="317" t="s">
        <v>691</v>
      </c>
      <c r="V31" s="281">
        <f t="shared" si="4"/>
        <v>0</v>
      </c>
      <c r="W31" s="316">
        <f t="shared" si="4"/>
        <v>0</v>
      </c>
      <c r="X31" s="316">
        <f t="shared" si="4"/>
        <v>0</v>
      </c>
      <c r="Y31" s="316">
        <f t="shared" si="4"/>
        <v>0</v>
      </c>
      <c r="Z31" s="316" t="str">
        <f t="shared" si="4"/>
        <v>Glastyp wählen</v>
      </c>
      <c r="AA31" s="317"/>
      <c r="AB31" s="445"/>
      <c r="AC31" s="445"/>
      <c r="AD31" s="445"/>
      <c r="AE31" s="445"/>
      <c r="AF31" s="445"/>
    </row>
    <row r="32" spans="1:32" x14ac:dyDescent="0.2">
      <c r="B32" s="34" t="s">
        <v>217</v>
      </c>
      <c r="C32" s="34"/>
      <c r="D32" s="465" t="s">
        <v>37</v>
      </c>
      <c r="E32" s="316" t="s">
        <v>38</v>
      </c>
      <c r="F32" s="316" t="s">
        <v>39</v>
      </c>
      <c r="G32" s="317" t="s">
        <v>129</v>
      </c>
      <c r="H32" s="444" t="str">
        <f t="shared" si="1"/>
        <v>Breite =</v>
      </c>
      <c r="I32" s="451"/>
      <c r="K32" s="281">
        <v>0</v>
      </c>
      <c r="L32" s="316">
        <v>0</v>
      </c>
      <c r="M32" s="316">
        <v>0</v>
      </c>
      <c r="N32" s="316">
        <v>0</v>
      </c>
      <c r="O32" s="316" t="str">
        <f t="shared" si="3"/>
        <v>Glastyp wählen</v>
      </c>
      <c r="P32" s="317"/>
      <c r="Q32" s="476" t="s">
        <v>688</v>
      </c>
      <c r="R32" s="477">
        <v>0.32</v>
      </c>
      <c r="S32" s="477">
        <v>0.39</v>
      </c>
      <c r="T32" s="477">
        <v>0.57999999999999996</v>
      </c>
      <c r="U32" s="317" t="s">
        <v>692</v>
      </c>
      <c r="V32" s="281">
        <f t="shared" si="4"/>
        <v>0</v>
      </c>
      <c r="W32" s="316">
        <f t="shared" si="4"/>
        <v>0</v>
      </c>
      <c r="X32" s="316">
        <f t="shared" si="4"/>
        <v>0</v>
      </c>
      <c r="Y32" s="316">
        <f t="shared" si="4"/>
        <v>0</v>
      </c>
      <c r="Z32" s="316" t="str">
        <f t="shared" si="4"/>
        <v>Glastyp wählen</v>
      </c>
      <c r="AA32" s="317"/>
      <c r="AB32" s="445"/>
      <c r="AC32" s="445"/>
      <c r="AD32" s="445"/>
      <c r="AE32" s="445"/>
      <c r="AF32" s="445"/>
    </row>
    <row r="33" spans="1:32" x14ac:dyDescent="0.2">
      <c r="B33" s="357"/>
      <c r="C33" s="372"/>
      <c r="D33" s="281" t="s">
        <v>132</v>
      </c>
      <c r="E33" s="316" t="s">
        <v>131</v>
      </c>
      <c r="F33" s="316" t="s">
        <v>40</v>
      </c>
      <c r="G33" s="317" t="s">
        <v>130</v>
      </c>
      <c r="H33" s="444" t="str">
        <f t="shared" si="1"/>
        <v>Griffhöhe:</v>
      </c>
      <c r="I33" s="451"/>
      <c r="K33" s="281">
        <v>0</v>
      </c>
      <c r="L33" s="316">
        <v>0</v>
      </c>
      <c r="M33" s="316">
        <v>0</v>
      </c>
      <c r="N33" s="316">
        <v>0</v>
      </c>
      <c r="O33" s="316" t="str">
        <f t="shared" si="3"/>
        <v>Glastyp wählen</v>
      </c>
      <c r="P33" s="317"/>
      <c r="Q33" s="476" t="s">
        <v>689</v>
      </c>
      <c r="R33" s="477">
        <v>0.32</v>
      </c>
      <c r="S33" s="477">
        <v>0.26</v>
      </c>
      <c r="T33" s="477">
        <v>0.52</v>
      </c>
      <c r="U33" s="317" t="s">
        <v>690</v>
      </c>
      <c r="V33" s="281">
        <f t="shared" si="4"/>
        <v>0</v>
      </c>
      <c r="W33" s="316">
        <f t="shared" si="4"/>
        <v>0</v>
      </c>
      <c r="X33" s="316">
        <f t="shared" si="4"/>
        <v>0</v>
      </c>
      <c r="Y33" s="316">
        <f t="shared" si="4"/>
        <v>0</v>
      </c>
      <c r="Z33" s="316" t="str">
        <f t="shared" si="4"/>
        <v>Glastyp wählen</v>
      </c>
      <c r="AA33" s="317"/>
      <c r="AB33" s="445"/>
      <c r="AC33" s="445"/>
      <c r="AD33" s="445"/>
      <c r="AE33" s="445"/>
      <c r="AF33" s="445"/>
    </row>
    <row r="34" spans="1:32" ht="13.5" thickBot="1" x14ac:dyDescent="0.25">
      <c r="B34" s="479" t="s">
        <v>218</v>
      </c>
      <c r="C34" s="377"/>
      <c r="D34" s="281" t="s">
        <v>41</v>
      </c>
      <c r="E34" s="316" t="s">
        <v>42</v>
      </c>
      <c r="F34" s="316" t="s">
        <v>43</v>
      </c>
      <c r="G34" s="317" t="s">
        <v>133</v>
      </c>
      <c r="H34" s="444" t="str">
        <f t="shared" si="1"/>
        <v xml:space="preserve">Höhe = </v>
      </c>
      <c r="I34" s="451"/>
      <c r="K34" s="281">
        <v>0</v>
      </c>
      <c r="L34" s="316">
        <v>0</v>
      </c>
      <c r="M34" s="316">
        <v>0</v>
      </c>
      <c r="N34" s="316">
        <v>0</v>
      </c>
      <c r="O34" s="316" t="str">
        <f t="shared" si="3"/>
        <v>Glastyp wählen</v>
      </c>
      <c r="P34" s="229"/>
      <c r="Q34" s="281">
        <v>0</v>
      </c>
      <c r="R34" s="316">
        <v>0</v>
      </c>
      <c r="S34" s="316">
        <v>0</v>
      </c>
      <c r="T34" s="316">
        <v>0</v>
      </c>
      <c r="U34" s="317" t="str">
        <f t="shared" ref="U34" si="6">$H$54</f>
        <v>Glastyp wählen</v>
      </c>
      <c r="V34" s="281">
        <f t="shared" si="4"/>
        <v>0</v>
      </c>
      <c r="W34" s="316">
        <f t="shared" si="4"/>
        <v>0</v>
      </c>
      <c r="X34" s="316">
        <f t="shared" si="4"/>
        <v>0</v>
      </c>
      <c r="Y34" s="316">
        <f t="shared" si="4"/>
        <v>0</v>
      </c>
      <c r="Z34" s="316" t="str">
        <f t="shared" si="4"/>
        <v>Glastyp wählen</v>
      </c>
      <c r="AA34" s="317"/>
      <c r="AB34" s="445"/>
      <c r="AC34" s="445"/>
      <c r="AD34" s="445"/>
      <c r="AE34" s="445"/>
      <c r="AF34" s="445"/>
    </row>
    <row r="35" spans="1:32" ht="13.5" thickBot="1" x14ac:dyDescent="0.25">
      <c r="D35" s="281" t="s">
        <v>44</v>
      </c>
      <c r="E35" s="316" t="s">
        <v>45</v>
      </c>
      <c r="F35" s="316" t="s">
        <v>45</v>
      </c>
      <c r="G35" s="317" t="s">
        <v>134</v>
      </c>
      <c r="H35" s="444" t="str">
        <f t="shared" si="1"/>
        <v>Oberfläche:</v>
      </c>
      <c r="I35" s="451"/>
      <c r="K35" s="472">
        <v>0</v>
      </c>
      <c r="L35" s="480">
        <v>0</v>
      </c>
      <c r="M35" s="480">
        <v>0</v>
      </c>
      <c r="N35" s="480">
        <v>0</v>
      </c>
      <c r="O35" s="480" t="str">
        <f t="shared" si="3"/>
        <v>Glastyp wählen</v>
      </c>
      <c r="P35" s="377"/>
      <c r="Q35" s="481" t="s">
        <v>693</v>
      </c>
      <c r="R35" s="482">
        <v>0.32</v>
      </c>
      <c r="S35" s="482">
        <v>0.22</v>
      </c>
      <c r="T35" s="482">
        <v>0.42</v>
      </c>
      <c r="U35" s="377" t="s">
        <v>694</v>
      </c>
      <c r="V35" s="472">
        <f t="shared" si="4"/>
        <v>0</v>
      </c>
      <c r="W35" s="480">
        <f t="shared" si="4"/>
        <v>0</v>
      </c>
      <c r="X35" s="480">
        <f t="shared" si="4"/>
        <v>0</v>
      </c>
      <c r="Y35" s="480">
        <f t="shared" si="4"/>
        <v>0</v>
      </c>
      <c r="Z35" s="480" t="str">
        <f t="shared" si="4"/>
        <v>Glastyp wählen</v>
      </c>
      <c r="AA35" s="377"/>
      <c r="AB35" s="445"/>
      <c r="AC35" s="445"/>
      <c r="AD35" s="445"/>
      <c r="AE35" s="445"/>
      <c r="AF35" s="445"/>
    </row>
    <row r="36" spans="1:32" x14ac:dyDescent="0.2">
      <c r="B36" s="34" t="s">
        <v>219</v>
      </c>
      <c r="C36" s="34"/>
      <c r="D36" s="281" t="s">
        <v>46</v>
      </c>
      <c r="E36" s="316" t="s">
        <v>47</v>
      </c>
      <c r="F36" s="316" t="s">
        <v>136</v>
      </c>
      <c r="G36" s="317" t="s">
        <v>135</v>
      </c>
      <c r="H36" s="444" t="str">
        <f t="shared" si="1"/>
        <v>eloxiert (Qualanod):</v>
      </c>
      <c r="I36" s="451" t="b">
        <v>1</v>
      </c>
      <c r="AB36" s="445"/>
      <c r="AC36" s="445"/>
      <c r="AD36" s="445"/>
      <c r="AE36" s="445"/>
      <c r="AF36" s="445"/>
    </row>
    <row r="37" spans="1:32" x14ac:dyDescent="0.2">
      <c r="B37" s="357" t="s">
        <v>221</v>
      </c>
      <c r="C37" s="372" t="b">
        <v>1</v>
      </c>
      <c r="D37" s="281" t="s">
        <v>48</v>
      </c>
      <c r="E37" s="316" t="s">
        <v>137</v>
      </c>
      <c r="F37" s="316" t="s">
        <v>137</v>
      </c>
      <c r="G37" s="317" t="s">
        <v>137</v>
      </c>
      <c r="H37" s="444" t="str">
        <f t="shared" si="1"/>
        <v>20 my (Standard)</v>
      </c>
      <c r="I37" s="451"/>
    </row>
    <row r="38" spans="1:32" x14ac:dyDescent="0.2">
      <c r="B38" s="281" t="s">
        <v>220</v>
      </c>
      <c r="C38" s="317" t="b">
        <v>1</v>
      </c>
      <c r="D38" s="281" t="s">
        <v>49</v>
      </c>
      <c r="E38" s="316" t="s">
        <v>50</v>
      </c>
      <c r="F38" s="316" t="s">
        <v>51</v>
      </c>
      <c r="G38" s="317" t="s">
        <v>358</v>
      </c>
      <c r="H38" s="444" t="str">
        <f t="shared" si="1"/>
        <v>25 my (Pool/Meer)</v>
      </c>
      <c r="I38" s="451"/>
    </row>
    <row r="39" spans="1:32" ht="13.5" thickBot="1" x14ac:dyDescent="0.25">
      <c r="B39" s="281" t="s">
        <v>222</v>
      </c>
      <c r="C39" s="317" t="b">
        <v>0</v>
      </c>
      <c r="D39" s="281" t="s">
        <v>382</v>
      </c>
      <c r="E39" s="316" t="s">
        <v>383</v>
      </c>
      <c r="F39" s="316" t="s">
        <v>384</v>
      </c>
      <c r="G39" s="317" t="s">
        <v>385</v>
      </c>
      <c r="H39" s="444" t="str">
        <f t="shared" si="1"/>
        <v>pulverbeschichtet:</v>
      </c>
      <c r="I39" s="451" t="b">
        <v>0</v>
      </c>
    </row>
    <row r="40" spans="1:32" x14ac:dyDescent="0.2">
      <c r="A40" s="282" t="s">
        <v>762</v>
      </c>
      <c r="B40" s="281" t="s">
        <v>223</v>
      </c>
      <c r="C40" s="317" t="b">
        <v>0</v>
      </c>
      <c r="D40" s="281" t="s">
        <v>856</v>
      </c>
      <c r="E40" s="316" t="s">
        <v>857</v>
      </c>
      <c r="F40" s="316" t="s">
        <v>858</v>
      </c>
      <c r="G40" s="317" t="s">
        <v>859</v>
      </c>
      <c r="H40" s="444" t="str">
        <f t="shared" si="1"/>
        <v>Vorbehandlung:</v>
      </c>
      <c r="I40" s="451"/>
      <c r="K40" s="57" t="s">
        <v>468</v>
      </c>
      <c r="L40" s="365"/>
      <c r="M40" s="366"/>
      <c r="N40" s="536" t="s">
        <v>621</v>
      </c>
      <c r="O40" s="537"/>
      <c r="P40" s="538"/>
      <c r="Q40" s="57" t="s">
        <v>321</v>
      </c>
      <c r="R40" s="57" t="s">
        <v>528</v>
      </c>
      <c r="S40" s="57" t="s">
        <v>532</v>
      </c>
      <c r="U40" s="34" t="s">
        <v>760</v>
      </c>
      <c r="V40" s="35"/>
    </row>
    <row r="41" spans="1:32" x14ac:dyDescent="0.2">
      <c r="A41" s="464" t="b">
        <f>IF(C41=FALSE,TRUE,(IF(AND(C41=TRUE,'Pos. 2'!F72=""),FALSE,TRUE)))</f>
        <v>1</v>
      </c>
      <c r="B41" s="281" t="s">
        <v>389</v>
      </c>
      <c r="C41" s="317" t="b">
        <v>0</v>
      </c>
      <c r="D41" s="281" t="s">
        <v>52</v>
      </c>
      <c r="E41" s="316" t="s">
        <v>53</v>
      </c>
      <c r="F41" s="316" t="s">
        <v>54</v>
      </c>
      <c r="G41" s="483" t="s">
        <v>138</v>
      </c>
      <c r="H41" s="444" t="str">
        <f t="shared" si="1"/>
        <v>+Voranodisieren</v>
      </c>
      <c r="I41" s="451"/>
      <c r="K41" s="484" t="s">
        <v>469</v>
      </c>
      <c r="L41" s="284">
        <f>IF(OR($I$5=TRUE,$I$6=TRUE),1,0)</f>
        <v>0</v>
      </c>
      <c r="M41" s="485"/>
      <c r="N41" s="193" t="str">
        <f>CONCATENATE("Pos. ",'Pos. 2'!$B$2,".1")</f>
        <v>Pos. 2.1</v>
      </c>
      <c r="O41" s="194" t="b">
        <f>IF(AND('Pos. 2'!AW32&lt;&gt;"",'Pos. 2'!AX32&lt;&gt;""),TRUE,FALSE)</f>
        <v>0</v>
      </c>
      <c r="P41" s="195"/>
      <c r="Q41" s="362"/>
      <c r="R41" s="362"/>
      <c r="S41" s="280">
        <f>COUNTA('Pos. 2'!G20:AP20)</f>
        <v>0</v>
      </c>
      <c r="U41" s="486" t="b">
        <f>IF(L41=0,FALSE,TRUE)</f>
        <v>0</v>
      </c>
      <c r="V41" s="487">
        <f>IF(U41=FALSE,1,0)</f>
        <v>1</v>
      </c>
    </row>
    <row r="42" spans="1:32" x14ac:dyDescent="0.2">
      <c r="A42" s="444" t="b">
        <f>IF(C42=FALSE,TRUE,(IF(AND(C42=TRUE,'Pos. 2'!L72=""),FALSE,TRUE)))</f>
        <v>1</v>
      </c>
      <c r="B42" s="281" t="s">
        <v>390</v>
      </c>
      <c r="C42" s="317" t="b">
        <v>0</v>
      </c>
      <c r="D42" s="281" t="s">
        <v>55</v>
      </c>
      <c r="E42" s="316" t="s">
        <v>56</v>
      </c>
      <c r="F42" s="316" t="s">
        <v>57</v>
      </c>
      <c r="G42" s="317" t="s">
        <v>139</v>
      </c>
      <c r="H42" s="444" t="str">
        <f t="shared" si="1"/>
        <v>Glas-Typ: SG = "Sky-Glass"</v>
      </c>
      <c r="I42" s="451"/>
      <c r="K42" s="311" t="s">
        <v>470</v>
      </c>
      <c r="L42" s="287">
        <f>IF(AND('Pos. 2'!$Y$5&lt;&gt;"",'Pos. 2'!$Y$7&lt;&gt;"",'Pos. 2'!$Y$6&lt;&gt;""),1,0)</f>
        <v>0</v>
      </c>
      <c r="M42" s="488"/>
      <c r="N42" s="193" t="str">
        <f>CONCATENATE("Pos. ",'Pos. 2'!$B$2,".2")</f>
        <v>Pos. 2.2</v>
      </c>
      <c r="O42" s="194" t="b">
        <f>IF(AND('Pos. 2'!AW33&lt;&gt;"",'Pos. 2'!AX33&lt;&gt;""),TRUE,FALSE)</f>
        <v>0</v>
      </c>
      <c r="P42" s="197"/>
      <c r="Q42" s="489">
        <v>1</v>
      </c>
      <c r="R42" s="490" t="s">
        <v>526</v>
      </c>
      <c r="U42" s="311" t="b">
        <f t="shared" ref="U42:U47" si="7">IF(L42=0,FALSE,TRUE)</f>
        <v>0</v>
      </c>
      <c r="V42" s="491">
        <f t="shared" ref="V42:V79" si="8">IF(U42=FALSE,1,0)</f>
        <v>1</v>
      </c>
    </row>
    <row r="43" spans="1:32" x14ac:dyDescent="0.2">
      <c r="A43" s="444" t="b">
        <f>IF(C43=FALSE,TRUE,(IF(AND(C43=TRUE,'Pos. 2'!R72=""),FALSE,TRUE)))</f>
        <v>1</v>
      </c>
      <c r="B43" s="281" t="s">
        <v>391</v>
      </c>
      <c r="C43" s="317" t="b">
        <v>0</v>
      </c>
      <c r="D43" s="281" t="s">
        <v>58</v>
      </c>
      <c r="E43" s="316" t="s">
        <v>59</v>
      </c>
      <c r="F43" s="316" t="s">
        <v>60</v>
      </c>
      <c r="G43" s="317" t="s">
        <v>140</v>
      </c>
      <c r="H43" s="444" t="str">
        <f t="shared" si="1"/>
        <v>Swisspacer-U schwarz</v>
      </c>
      <c r="I43" s="451" t="b">
        <v>0</v>
      </c>
      <c r="K43" s="311" t="s">
        <v>471</v>
      </c>
      <c r="L43" s="287">
        <f>IF(AND('Pos. 2'!$AJ$5&lt;&gt;"",'Pos. 2'!$AJ$6&lt;&gt;"",'Pos. 2'!$AJ$7&lt;&gt;""),1,0)</f>
        <v>0</v>
      </c>
      <c r="M43" s="488"/>
      <c r="N43" s="193" t="str">
        <f>CONCATENATE("Pos. ",'Pos. 2'!$B$2,".3")</f>
        <v>Pos. 2.3</v>
      </c>
      <c r="O43" s="194" t="b">
        <f>IF(AND('Pos. 2'!AW34&lt;&gt;"",'Pos. 2'!AX34&lt;&gt;""),TRUE,FALSE)</f>
        <v>0</v>
      </c>
      <c r="P43" s="197"/>
      <c r="Q43" s="363">
        <v>2</v>
      </c>
      <c r="R43" s="490" t="s">
        <v>527</v>
      </c>
      <c r="U43" s="311" t="b">
        <f t="shared" si="7"/>
        <v>0</v>
      </c>
      <c r="V43" s="491">
        <f t="shared" si="8"/>
        <v>1</v>
      </c>
    </row>
    <row r="44" spans="1:32" x14ac:dyDescent="0.2">
      <c r="A44" s="444" t="b">
        <f>IF(C44=FALSE,TRUE,(IF(AND(C44=TRUE,'Pos. 2'!X72=""),FALSE,TRUE)))</f>
        <v>1</v>
      </c>
      <c r="B44" s="281" t="str">
        <f>IF('Pos. 2'!AB62="","121101/121101","121401/121401")</f>
        <v>121101/121101</v>
      </c>
      <c r="C44" s="317" t="b">
        <v>0</v>
      </c>
      <c r="D44" s="281" t="s">
        <v>61</v>
      </c>
      <c r="E44" s="316" t="s">
        <v>62</v>
      </c>
      <c r="F44" s="316" t="s">
        <v>63</v>
      </c>
      <c r="G44" s="317" t="s">
        <v>141</v>
      </c>
      <c r="H44" s="444" t="str">
        <f t="shared" si="1"/>
        <v>Swisspacer-U grau</v>
      </c>
      <c r="I44" s="451" t="b">
        <v>0</v>
      </c>
      <c r="K44" s="311" t="s">
        <v>472</v>
      </c>
      <c r="L44" s="287">
        <f>IF(OR($I$10=TRUE,$I$11=TRUE,$I$12=TRUE),1,0)</f>
        <v>0</v>
      </c>
      <c r="M44" s="488"/>
      <c r="N44" s="193" t="str">
        <f>CONCATENATE("Pos. ",'Pos. 2'!$B$2,".4")</f>
        <v>Pos. 2.4</v>
      </c>
      <c r="O44" s="194" t="b">
        <f>IF(AND('Pos. 2'!AW35&lt;&gt;"",'Pos. 2'!AX35&lt;&gt;""),TRUE,FALSE)</f>
        <v>0</v>
      </c>
      <c r="P44" s="197"/>
      <c r="Q44" s="363">
        <v>3</v>
      </c>
      <c r="U44" s="311" t="b">
        <f t="shared" si="7"/>
        <v>0</v>
      </c>
      <c r="V44" s="491">
        <f t="shared" si="8"/>
        <v>1</v>
      </c>
    </row>
    <row r="45" spans="1:32" x14ac:dyDescent="0.2">
      <c r="A45" s="444" t="b">
        <f>IF(C45=FALSE,TRUE,(IF(AND(C45=TRUE,'Pos. 2'!H85=""),FALSE,TRUE)))</f>
        <v>1</v>
      </c>
      <c r="B45" s="281" t="s">
        <v>406</v>
      </c>
      <c r="C45" s="317" t="b">
        <v>0</v>
      </c>
      <c r="D45" s="281" t="s">
        <v>111</v>
      </c>
      <c r="E45" s="316" t="s">
        <v>112</v>
      </c>
      <c r="F45" s="316" t="s">
        <v>113</v>
      </c>
      <c r="G45" s="317" t="s">
        <v>114</v>
      </c>
      <c r="H45" s="444" t="str">
        <f t="shared" si="1"/>
        <v>Speziell:</v>
      </c>
      <c r="I45" s="451" t="b">
        <v>0</v>
      </c>
      <c r="K45" s="311" t="s">
        <v>473</v>
      </c>
      <c r="L45" s="287">
        <f>IF(AND('Pos. 2'!$F$10&lt;&gt;"",OR('Pos. 2'!$E$23&lt;&gt;"",'Pos. 2'!$E$24&lt;&gt;"",'Pos. 2'!$E$25&lt;&gt;"",'Pos. 2'!$E$26&lt;&gt;"")),1,0)</f>
        <v>0</v>
      </c>
      <c r="M45" s="488"/>
      <c r="N45" s="193" t="str">
        <f>CONCATENATE("Pos. ",'Pos. 2'!$B$2,".5")</f>
        <v>Pos. 2.5</v>
      </c>
      <c r="O45" s="194" t="b">
        <f>IF(AND('Pos. 2'!AW36&lt;&gt;"",'Pos. 2'!AX36&lt;&gt;""),TRUE,FALSE)</f>
        <v>0</v>
      </c>
      <c r="P45" s="197"/>
      <c r="Q45" s="363">
        <v>4</v>
      </c>
      <c r="U45" s="311" t="b">
        <f t="shared" si="7"/>
        <v>0</v>
      </c>
      <c r="V45" s="491">
        <f t="shared" si="8"/>
        <v>1</v>
      </c>
    </row>
    <row r="46" spans="1:32" x14ac:dyDescent="0.2">
      <c r="A46" s="444" t="b">
        <f>IF(C46=FALSE,TRUE,(IF(AND(C46=TRUE,'Pos. 2'!O85=""),FALSE,TRUE)))</f>
        <v>1</v>
      </c>
      <c r="B46" s="281" t="s">
        <v>407</v>
      </c>
      <c r="C46" s="317" t="b">
        <v>0</v>
      </c>
      <c r="D46" s="281" t="s">
        <v>64</v>
      </c>
      <c r="E46" s="316" t="s">
        <v>65</v>
      </c>
      <c r="F46" s="316" t="s">
        <v>66</v>
      </c>
      <c r="G46" s="317" t="s">
        <v>142</v>
      </c>
      <c r="H46" s="444" t="str">
        <f t="shared" si="1"/>
        <v>Statik:</v>
      </c>
      <c r="I46" s="451"/>
      <c r="K46" s="311" t="s">
        <v>474</v>
      </c>
      <c r="L46" s="287">
        <f>IF(AND($I$13=TRUE,'Pos. 2'!$E$28=""),0,1)</f>
        <v>1</v>
      </c>
      <c r="M46" s="488"/>
      <c r="N46" s="193" t="str">
        <f>CONCATENATE("Pos. ",'Pos. 2'!$B$2,".6")</f>
        <v>Pos. 2.6</v>
      </c>
      <c r="O46" s="194" t="b">
        <f>IF(AND('Pos. 2'!AW37&lt;&gt;"",'Pos. 2'!AX37&lt;&gt;""),TRUE,FALSE)</f>
        <v>0</v>
      </c>
      <c r="P46" s="197"/>
      <c r="Q46" s="363">
        <v>5</v>
      </c>
      <c r="U46" s="311" t="b">
        <f t="shared" si="7"/>
        <v>1</v>
      </c>
      <c r="V46" s="491">
        <f t="shared" si="8"/>
        <v>0</v>
      </c>
    </row>
    <row r="47" spans="1:32" x14ac:dyDescent="0.2">
      <c r="A47" s="444" t="b">
        <f>IF(C47=FALSE,TRUE,(IF(AND(C47=TRUE,'Pos. 2'!V85=""),FALSE,TRUE)))</f>
        <v>1</v>
      </c>
      <c r="B47" s="281" t="str">
        <f>IF('Pos. 2'!AB73="","322301/322301","400419/400419")</f>
        <v>322301/322301</v>
      </c>
      <c r="C47" s="317" t="b">
        <v>0</v>
      </c>
      <c r="D47" s="281" t="s">
        <v>67</v>
      </c>
      <c r="E47" s="316" t="s">
        <v>68</v>
      </c>
      <c r="F47" s="316" t="s">
        <v>69</v>
      </c>
      <c r="G47" s="317" t="s">
        <v>359</v>
      </c>
      <c r="H47" s="444" t="str">
        <f t="shared" si="1"/>
        <v>Windlast:</v>
      </c>
      <c r="I47" s="451"/>
      <c r="K47" s="311" t="s">
        <v>475</v>
      </c>
      <c r="L47" s="289">
        <f>IF(AND($I$13=FALSE,$I$14=FALSE),0,1)</f>
        <v>0</v>
      </c>
      <c r="M47" s="488"/>
      <c r="N47" s="193" t="str">
        <f>CONCATENATE("Pos. ",'Pos. 2'!$B$2,".7")</f>
        <v>Pos. 2.7</v>
      </c>
      <c r="O47" s="194" t="b">
        <f>IF(AND('Pos. 2'!AW38&lt;&gt;"",'Pos. 2'!AX38&lt;&gt;""),TRUE,FALSE)</f>
        <v>0</v>
      </c>
      <c r="P47" s="197"/>
      <c r="Q47" s="363">
        <v>6</v>
      </c>
      <c r="U47" s="311" t="b">
        <f t="shared" si="7"/>
        <v>0</v>
      </c>
      <c r="V47" s="491">
        <f t="shared" si="8"/>
        <v>1</v>
      </c>
    </row>
    <row r="48" spans="1:32" x14ac:dyDescent="0.2">
      <c r="A48" s="444" t="b">
        <f>IF(C48=FALSE,TRUE,(IF(AND(C48=TRUE,'Pos. 2'!H96=""),FALSE,TRUE)))</f>
        <v>1</v>
      </c>
      <c r="B48" s="281" t="s">
        <v>419</v>
      </c>
      <c r="C48" s="317" t="b">
        <v>0</v>
      </c>
      <c r="D48" s="281" t="s">
        <v>70</v>
      </c>
      <c r="E48" s="316" t="s">
        <v>71</v>
      </c>
      <c r="F48" s="316" t="s">
        <v>72</v>
      </c>
      <c r="G48" s="317" t="s">
        <v>360</v>
      </c>
      <c r="H48" s="444" t="str">
        <f t="shared" si="1"/>
        <v>Bemerkung:</v>
      </c>
      <c r="I48" s="451"/>
      <c r="K48" s="311" t="s">
        <v>477</v>
      </c>
      <c r="L48" s="492">
        <f>IF(OR(AND($C$37=FALSE,$C$39=FALSE),(AND($C$38=FALSE,$C$40=FALSE))),0,1)</f>
        <v>1</v>
      </c>
      <c r="M48" s="493">
        <f>IF($L$49=0,0,L48)</f>
        <v>0</v>
      </c>
      <c r="N48" s="193" t="str">
        <f>CONCATENATE("Pos. ",'Pos. 2'!$B$2,".8")</f>
        <v>Pos. 2.8</v>
      </c>
      <c r="O48" s="194" t="b">
        <f>IF(AND('Pos. 2'!AW39&lt;&gt;"",'Pos. 2'!AX39&lt;&gt;""),TRUE,FALSE)</f>
        <v>0</v>
      </c>
      <c r="P48" s="197"/>
      <c r="Q48" s="363">
        <v>7</v>
      </c>
      <c r="U48" s="311" t="b">
        <f>IF(M49=0,FALSE,TRUE)</f>
        <v>0</v>
      </c>
      <c r="V48" s="491">
        <f t="shared" si="8"/>
        <v>1</v>
      </c>
    </row>
    <row r="49" spans="1:22" ht="13.5" thickBot="1" x14ac:dyDescent="0.25">
      <c r="A49" s="494" t="b">
        <f>IF(C49=FALSE,TRUE,(IF(AND(C49=TRUE,'Pos. 2'!O96=""),FALSE,TRUE)))</f>
        <v>1</v>
      </c>
      <c r="B49" s="281" t="s">
        <v>420</v>
      </c>
      <c r="C49" s="317" t="b">
        <v>0</v>
      </c>
      <c r="D49" s="281" t="s">
        <v>73</v>
      </c>
      <c r="E49" s="316" t="s">
        <v>74</v>
      </c>
      <c r="F49" s="316" t="s">
        <v>343</v>
      </c>
      <c r="G49" s="317" t="s">
        <v>361</v>
      </c>
      <c r="H49" s="444" t="str">
        <f t="shared" si="1"/>
        <v>Zubehör:</v>
      </c>
      <c r="I49" s="451"/>
      <c r="K49" s="311" t="s">
        <v>476</v>
      </c>
      <c r="L49" s="495">
        <f>IF(L48=0,0,IF('Pos. 2'!$I$49&gt;0,1,0))</f>
        <v>0</v>
      </c>
      <c r="M49" s="293">
        <f>SUM(L49,M48)</f>
        <v>0</v>
      </c>
      <c r="N49" s="193" t="str">
        <f>CONCATENATE("Pos. ",'Pos. 2'!$B$2,".9")</f>
        <v>Pos. 2.9</v>
      </c>
      <c r="O49" s="194" t="b">
        <f>IF(AND('Pos. 2'!AW40&lt;&gt;"",'Pos. 2'!AX40&lt;&gt;""),TRUE,FALSE)</f>
        <v>0</v>
      </c>
      <c r="P49" s="197"/>
      <c r="Q49" s="363">
        <v>8</v>
      </c>
      <c r="T49" s="315" t="s">
        <v>851</v>
      </c>
      <c r="U49" s="311" t="b">
        <f>IF(AND(L44=1,AND('Pos. 2'!E22="",'Pos. 2'!E23="",'Pos. 2'!E24="",'Pos. 2'!E25="",'Pos. 2'!E26="")),FALSE,TRUE)</f>
        <v>1</v>
      </c>
      <c r="V49" s="491">
        <f t="shared" si="8"/>
        <v>0</v>
      </c>
    </row>
    <row r="50" spans="1:22" x14ac:dyDescent="0.2">
      <c r="A50" s="280">
        <f>COUNTIF(A41:A49,FALSE)</f>
        <v>0</v>
      </c>
      <c r="B50" s="281" t="s">
        <v>408</v>
      </c>
      <c r="C50" s="317" t="b">
        <v>0</v>
      </c>
      <c r="D50" s="281" t="s">
        <v>748</v>
      </c>
      <c r="E50" s="316" t="s">
        <v>749</v>
      </c>
      <c r="F50" s="316" t="s">
        <v>751</v>
      </c>
      <c r="G50" s="317" t="s">
        <v>750</v>
      </c>
      <c r="H50" s="444" t="str">
        <f t="shared" si="1"/>
        <v>Rinne (siehe unten)</v>
      </c>
      <c r="I50" s="451" t="b">
        <v>0</v>
      </c>
      <c r="K50" s="311" t="s">
        <v>478</v>
      </c>
      <c r="L50" s="294">
        <f>IF(AND(OR($C$53=TRUE,$C$54=TRUE),'Pos. 2'!$Z$42&lt;&gt;"",'Pos. 2'!$T$45&lt;&gt;""),1,0)</f>
        <v>0</v>
      </c>
      <c r="M50" s="488"/>
      <c r="N50" s="193" t="str">
        <f>CONCATENATE("Pos. ",'Pos. 2'!$B$2,".10")</f>
        <v>Pos. 2.10</v>
      </c>
      <c r="O50" s="194" t="b">
        <f>IF(AND('Pos. 2'!AW41&lt;&gt;"",'Pos. 2'!AX41&lt;&gt;""),TRUE,FALSE)</f>
        <v>0</v>
      </c>
      <c r="P50" s="197"/>
      <c r="Q50" s="363">
        <v>9</v>
      </c>
      <c r="U50" s="311" t="b">
        <f>IF(L50=0,FALSE,TRUE)</f>
        <v>0</v>
      </c>
      <c r="V50" s="491">
        <f t="shared" si="8"/>
        <v>1</v>
      </c>
    </row>
    <row r="51" spans="1:22" ht="13.5" thickBot="1" x14ac:dyDescent="0.25">
      <c r="B51" s="281" t="s">
        <v>429</v>
      </c>
      <c r="C51" s="317" t="b">
        <v>0</v>
      </c>
      <c r="D51" s="281" t="s">
        <v>339</v>
      </c>
      <c r="E51" s="316" t="s">
        <v>340</v>
      </c>
      <c r="F51" s="316" t="s">
        <v>341</v>
      </c>
      <c r="G51" s="317" t="s">
        <v>362</v>
      </c>
      <c r="H51" s="444" t="str">
        <f t="shared" si="1"/>
        <v>Wetterschenkel</v>
      </c>
      <c r="I51" s="451" t="b">
        <v>0</v>
      </c>
      <c r="K51" s="311" t="s">
        <v>479</v>
      </c>
      <c r="L51" s="287">
        <f>IF(OR($I$15=TRUE,$I$16=TRUE,$I$17=TRUE,$I$18=TRUE,$I$19=TRUE,$I$20=TRUE,$I$22=TRUE,$I$25=TRUE,$I$125=TRUE),1,0)</f>
        <v>0</v>
      </c>
      <c r="M51" s="488"/>
      <c r="N51" s="196" t="s">
        <v>622</v>
      </c>
      <c r="O51" s="198">
        <f>IF(P51=O52,1,0)</f>
        <v>0</v>
      </c>
      <c r="P51" s="199" t="str">
        <f>CONCATENATE("(",COUNTBLANK('Pos. 2'!AW32:AW41),")")</f>
        <v>(10)</v>
      </c>
      <c r="Q51" s="471">
        <v>10</v>
      </c>
      <c r="U51" s="311" t="b">
        <f t="shared" ref="U51:U55" si="9">IF(L51=0,FALSE,TRUE)</f>
        <v>0</v>
      </c>
      <c r="V51" s="491">
        <f t="shared" si="8"/>
        <v>1</v>
      </c>
    </row>
    <row r="52" spans="1:22" ht="13.5" thickBot="1" x14ac:dyDescent="0.25">
      <c r="B52" s="281"/>
      <c r="C52" s="317"/>
      <c r="D52" s="281" t="s">
        <v>331</v>
      </c>
      <c r="E52" s="316" t="s">
        <v>332</v>
      </c>
      <c r="F52" s="316" t="s">
        <v>333</v>
      </c>
      <c r="G52" s="317" t="s">
        <v>363</v>
      </c>
      <c r="H52" s="444" t="str">
        <f t="shared" si="1"/>
        <v>Standardgrundplatten:</v>
      </c>
      <c r="I52" s="451" t="b">
        <v>0</v>
      </c>
      <c r="K52" s="311" t="s">
        <v>480</v>
      </c>
      <c r="L52" s="287">
        <f>IF(OR(AND($I$36=TRUE,'Pos. 2'!$AM$43&lt;&gt;0,'Pos. 2'!$AR$43&lt;&gt;0,'Pos. 2'!$AM$49&lt;&gt;""),AND($I$39=TRUE,'Pos. 2'!$AM$45&lt;&gt;"",'Pos. 2'!$AM$49&lt;&gt;"",'Pos. 2'!$AM$46&lt;&gt;"",'Pos. 2'!$AM$47&lt;&gt;"")),1,0)</f>
        <v>0</v>
      </c>
      <c r="M52" s="488"/>
      <c r="N52" s="200"/>
      <c r="O52" s="201" t="str">
        <f>CONCATENATE("(",IF(I19=TRUE,COUNTIF(O41:O50,FALSE),""),")")</f>
        <v>()</v>
      </c>
      <c r="P52" s="202"/>
      <c r="U52" s="311" t="b">
        <f t="shared" si="9"/>
        <v>0</v>
      </c>
      <c r="V52" s="491">
        <f t="shared" si="8"/>
        <v>1</v>
      </c>
    </row>
    <row r="53" spans="1:22" x14ac:dyDescent="0.2">
      <c r="B53" s="281" t="s">
        <v>440</v>
      </c>
      <c r="C53" s="317" t="b">
        <v>1</v>
      </c>
      <c r="D53" s="281" t="s">
        <v>75</v>
      </c>
      <c r="E53" s="316" t="s">
        <v>75</v>
      </c>
      <c r="F53" s="316" t="s">
        <v>75</v>
      </c>
      <c r="G53" s="317" t="s">
        <v>75</v>
      </c>
      <c r="H53" s="444" t="str">
        <f t="shared" si="1"/>
        <v>Sun-Box</v>
      </c>
      <c r="I53" s="451"/>
      <c r="K53" s="311" t="s">
        <v>484</v>
      </c>
      <c r="L53" s="287">
        <f>IF('Pos. 2'!AT52=1,1,IF(AND(OR($I$43=TRUE,$I$44=TRUE),'Pos. 2'!$AE$53&lt;&gt;0,'Pos. 2'!$AO$55&lt;&gt;""),1,0))</f>
        <v>0</v>
      </c>
      <c r="M53" s="488"/>
      <c r="U53" s="311" t="b">
        <f t="shared" si="9"/>
        <v>0</v>
      </c>
      <c r="V53" s="491">
        <f t="shared" si="8"/>
        <v>1</v>
      </c>
    </row>
    <row r="54" spans="1:22" x14ac:dyDescent="0.2">
      <c r="B54" s="281" t="s">
        <v>441</v>
      </c>
      <c r="C54" s="317" t="b">
        <v>0</v>
      </c>
      <c r="D54" s="281" t="s">
        <v>76</v>
      </c>
      <c r="E54" s="316" t="s">
        <v>77</v>
      </c>
      <c r="F54" s="316" t="s">
        <v>78</v>
      </c>
      <c r="G54" s="317" t="s">
        <v>364</v>
      </c>
      <c r="H54" s="444" t="str">
        <f t="shared" si="1"/>
        <v>Glastyp wählen</v>
      </c>
      <c r="I54" s="451"/>
      <c r="K54" s="311" t="s">
        <v>485</v>
      </c>
      <c r="L54" s="287">
        <f>SUM(IF(AND('Pos. 2'!$AE$70&lt;&gt;"",'Pos. 2'!$AN$70&lt;&gt;"",OR($C$60=TRUE,$C$61=TRUE,$C$62=TRUE,$C$63=TRUE)),1,0),M54)</f>
        <v>1</v>
      </c>
      <c r="M54" s="488">
        <f>IF(AND(OR('Pos. 2'!F10="F",'Pos. 2'!F10=""),OR('Pos. 2'!N10="F",'Pos. 2'!N10=""),OR('Pos. 2'!R10="F",'Pos. 2'!R10=""),OR('Pos. 2'!V10="F",'Pos. 2'!V10=""),OR('Pos. 2'!Z10="F",'Pos. 2'!Z10=""),OR('Pos. 2'!AD10="F",'Pos. 2'!AD10=""),OR('Pos. 2'!AH10="F",'Pos. 2'!AH10=""),OR('Pos. 2'!AL10="F",'Pos. 2'!AL10=""),OR('Pos. 2'!AP10="F",'Pos. 2'!AP10="")),1,0)</f>
        <v>1</v>
      </c>
      <c r="U54" s="311" t="b">
        <f t="shared" si="9"/>
        <v>1</v>
      </c>
      <c r="V54" s="491">
        <f t="shared" si="8"/>
        <v>0</v>
      </c>
    </row>
    <row r="55" spans="1:22" x14ac:dyDescent="0.2">
      <c r="B55" s="281" t="s">
        <v>493</v>
      </c>
      <c r="C55" s="317" t="b">
        <v>0</v>
      </c>
      <c r="D55" s="281" t="s">
        <v>79</v>
      </c>
      <c r="E55" s="316" t="s">
        <v>80</v>
      </c>
      <c r="F55" s="316" t="s">
        <v>79</v>
      </c>
      <c r="G55" s="317" t="s">
        <v>79</v>
      </c>
      <c r="H55" s="444" t="str">
        <f t="shared" si="1"/>
        <v>Pos:</v>
      </c>
      <c r="I55" s="451"/>
      <c r="K55" s="311" t="s">
        <v>486</v>
      </c>
      <c r="L55" s="289">
        <f>IF(AND('Pos. 2'!$AM$88&lt;&gt;"",'Pos. 2'!$AE$84&lt;&gt;"",'Pos. 2'!$AM$87&lt;&gt;""),1,0)</f>
        <v>0</v>
      </c>
      <c r="M55" s="488"/>
      <c r="U55" s="311" t="b">
        <f t="shared" si="9"/>
        <v>0</v>
      </c>
      <c r="V55" s="491">
        <f t="shared" si="8"/>
        <v>1</v>
      </c>
    </row>
    <row r="56" spans="1:22" ht="15" customHeight="1" thickBot="1" x14ac:dyDescent="0.25">
      <c r="B56" s="281" t="s">
        <v>494</v>
      </c>
      <c r="C56" s="317" t="b">
        <v>0</v>
      </c>
      <c r="D56" s="281" t="s">
        <v>81</v>
      </c>
      <c r="E56" s="316" t="s">
        <v>82</v>
      </c>
      <c r="F56" s="316" t="s">
        <v>83</v>
      </c>
      <c r="G56" s="317" t="s">
        <v>150</v>
      </c>
      <c r="H56" s="444" t="str">
        <f t="shared" si="1"/>
        <v>Stück:</v>
      </c>
      <c r="I56" s="451"/>
      <c r="K56" s="311" t="s">
        <v>491</v>
      </c>
      <c r="L56" s="492">
        <f>IF(OR($C$41=TRUE,$C$43=TRUE,$C$44=TRUE,AND('Pos. 2'!F10="F",'Pos. 2'!J10="")),1,0)</f>
        <v>0</v>
      </c>
      <c r="M56" s="295">
        <f>SUM(L56:L57)</f>
        <v>0</v>
      </c>
      <c r="U56" s="311" t="b">
        <f>IF(M56=0,FALSE,TRUE)</f>
        <v>0</v>
      </c>
      <c r="V56" s="491">
        <f t="shared" si="8"/>
        <v>1</v>
      </c>
    </row>
    <row r="57" spans="1:22" x14ac:dyDescent="0.2">
      <c r="B57" s="281" t="s">
        <v>495</v>
      </c>
      <c r="C57" s="317" t="b">
        <v>0</v>
      </c>
      <c r="D57" s="281" t="s">
        <v>84</v>
      </c>
      <c r="E57" s="316" t="s">
        <v>85</v>
      </c>
      <c r="F57" s="316" t="s">
        <v>85</v>
      </c>
      <c r="G57" s="317" t="s">
        <v>196</v>
      </c>
      <c r="H57" s="444" t="str">
        <f t="shared" si="1"/>
        <v>Seite:</v>
      </c>
      <c r="I57" s="451"/>
      <c r="K57" s="311" t="s">
        <v>492</v>
      </c>
      <c r="L57" s="495">
        <f>IF(AND($C$42=TRUE,OR($C$55=TRUE,$C$56=TRUE)),1,0)</f>
        <v>0</v>
      </c>
      <c r="M57" s="296"/>
      <c r="O57" s="34" t="s">
        <v>868</v>
      </c>
      <c r="P57" s="365"/>
      <c r="Q57" s="365"/>
      <c r="R57" s="366"/>
      <c r="T57" s="315"/>
      <c r="U57" s="311"/>
      <c r="V57" s="491"/>
    </row>
    <row r="58" spans="1:22" x14ac:dyDescent="0.2">
      <c r="B58" s="281" t="s">
        <v>496</v>
      </c>
      <c r="C58" s="317" t="b">
        <v>0</v>
      </c>
      <c r="D58" s="281" t="s">
        <v>463</v>
      </c>
      <c r="E58" s="316" t="s">
        <v>464</v>
      </c>
      <c r="F58" s="316" t="s">
        <v>465</v>
      </c>
      <c r="G58" s="317" t="s">
        <v>466</v>
      </c>
      <c r="H58" s="444" t="str">
        <f t="shared" si="1"/>
        <v>Achsmass →</v>
      </c>
      <c r="I58" s="451"/>
      <c r="K58" s="311" t="s">
        <v>497</v>
      </c>
      <c r="L58" s="294">
        <f>IF(AND('Pos. 2'!$G$20=0,'Pos. 2'!$K$20=0,'Pos. 2'!$O$20=0,'Pos. 2'!$S$20=0,'Pos. 2'!$W$20=0,'Pos. 2'!$AA$20=0,'Pos. 2'!$AE$20=0,'Pos. 2'!$AI$20=0,'Pos. 2'!$AM$20=0),1,0)</f>
        <v>1</v>
      </c>
      <c r="M58" s="488"/>
      <c r="O58" s="367" t="s">
        <v>869</v>
      </c>
      <c r="P58" s="368" t="s">
        <v>870</v>
      </c>
      <c r="Q58" s="368" t="s">
        <v>871</v>
      </c>
      <c r="R58" s="369" t="s">
        <v>872</v>
      </c>
      <c r="T58" s="315" t="s">
        <v>768</v>
      </c>
      <c r="U58" s="311" t="b">
        <f>IF(AND(L62=1,'Pos. 2'!C11&gt;35),FALSE,TRUE)</f>
        <v>1</v>
      </c>
      <c r="V58" s="491">
        <f t="shared" si="8"/>
        <v>0</v>
      </c>
    </row>
    <row r="59" spans="1:22" x14ac:dyDescent="0.2">
      <c r="B59" s="281"/>
      <c r="C59" s="317"/>
      <c r="D59" s="281" t="s">
        <v>86</v>
      </c>
      <c r="E59" s="316" t="s">
        <v>87</v>
      </c>
      <c r="F59" s="316" t="s">
        <v>88</v>
      </c>
      <c r="G59" s="317" t="s">
        <v>149</v>
      </c>
      <c r="H59" s="444" t="str">
        <f t="shared" si="1"/>
        <v>VSG mit P4A</v>
      </c>
      <c r="I59" s="451"/>
      <c r="K59" s="311" t="s">
        <v>498</v>
      </c>
      <c r="L59" s="496">
        <f>IF(AND($C$49=FALSE,$C$50=FALSE,$C$51=FALSE),0,1)</f>
        <v>0</v>
      </c>
      <c r="M59" s="298">
        <f>SUM(L58:L59)</f>
        <v>1</v>
      </c>
      <c r="O59" s="357" t="s">
        <v>198</v>
      </c>
      <c r="P59" s="370">
        <f>IF(OR('Pos. 2'!$F$10='Sprachen &amp; Rückgabewerte(2)'!$B$10,'Pos. 2'!$F$10='Sprachen &amp; Rückgabewerte(2)'!$B$11),1,0)</f>
        <v>0</v>
      </c>
      <c r="Q59" s="371">
        <f>IF(P59=1,0,1)</f>
        <v>1</v>
      </c>
      <c r="R59" s="372">
        <f>IF(AND(P59=1,'Pos. 2'!$F$16=""),1,0)</f>
        <v>0</v>
      </c>
      <c r="U59" s="311" t="b">
        <f>IF(M59=0,FALSE,TRUE)</f>
        <v>1</v>
      </c>
      <c r="V59" s="491">
        <f t="shared" si="8"/>
        <v>0</v>
      </c>
    </row>
    <row r="60" spans="1:22" ht="15" customHeight="1" x14ac:dyDescent="0.2">
      <c r="B60" s="281" t="s">
        <v>262</v>
      </c>
      <c r="C60" s="317" t="b">
        <v>0</v>
      </c>
      <c r="D60" s="281" t="s">
        <v>89</v>
      </c>
      <c r="E60" s="316" t="s">
        <v>90</v>
      </c>
      <c r="F60" s="316" t="s">
        <v>322</v>
      </c>
      <c r="G60" s="317" t="s">
        <v>365</v>
      </c>
      <c r="H60" s="444" t="str">
        <f t="shared" si="1"/>
        <v>Insektenschutz</v>
      </c>
      <c r="I60" s="451"/>
      <c r="K60" s="311" t="s">
        <v>499</v>
      </c>
      <c r="L60" s="492">
        <f>IF(AND($C$46=TRUE,OR($C$57=TRUE,$C$58=TRUE)),1,0)</f>
        <v>0</v>
      </c>
      <c r="M60" s="540">
        <f>SUM(L60:L61)</f>
        <v>1</v>
      </c>
      <c r="O60" s="281" t="s">
        <v>199</v>
      </c>
      <c r="P60" s="373">
        <f>IF(OR('Pos. 2'!$J$10='Sprachen &amp; Rückgabewerte(2)'!$B$10,'Pos. 2'!$J$10='Sprachen &amp; Rückgabewerte(2)'!$B$11),1,0)</f>
        <v>0</v>
      </c>
      <c r="Q60" s="316">
        <f t="shared" ref="Q60:Q68" si="10">IF(P60=1,0,1)</f>
        <v>1</v>
      </c>
      <c r="R60" s="317">
        <f>IF(AND(P60=1,'Pos. 2'!$J$16=""),1,0)</f>
        <v>0</v>
      </c>
      <c r="U60" s="311" t="b">
        <f>IF(M60=0,FALSE,TRUE)</f>
        <v>1</v>
      </c>
      <c r="V60" s="491">
        <f t="shared" si="8"/>
        <v>0</v>
      </c>
    </row>
    <row r="61" spans="1:22" ht="12.75" customHeight="1" x14ac:dyDescent="0.2">
      <c r="B61" s="281" t="s">
        <v>263</v>
      </c>
      <c r="C61" s="317" t="b">
        <v>0</v>
      </c>
      <c r="D61" s="330" t="s">
        <v>148</v>
      </c>
      <c r="E61" s="424" t="s">
        <v>148</v>
      </c>
      <c r="F61" s="424" t="s">
        <v>148</v>
      </c>
      <c r="G61" s="423" t="s">
        <v>148</v>
      </c>
      <c r="H61" s="444" t="str">
        <f t="shared" si="1"/>
        <v>Standard = 1050mm</v>
      </c>
      <c r="I61" s="451"/>
      <c r="K61" s="311"/>
      <c r="L61" s="495">
        <f>IF(C46=FALSE,1,0)</f>
        <v>1</v>
      </c>
      <c r="M61" s="541"/>
      <c r="O61" s="281" t="s">
        <v>200</v>
      </c>
      <c r="P61" s="373">
        <f>IF(OR('Pos. 2'!$N$10='Sprachen &amp; Rückgabewerte(2)'!$B$10,'Pos. 2'!$N$10='Sprachen &amp; Rückgabewerte(2)'!$B$11),1,0)</f>
        <v>0</v>
      </c>
      <c r="Q61" s="316">
        <f t="shared" si="10"/>
        <v>1</v>
      </c>
      <c r="R61" s="317">
        <f>IF(AND(P61=1,'Pos. 2'!$N$16=""),1,0)</f>
        <v>0</v>
      </c>
      <c r="U61" s="311"/>
      <c r="V61" s="491"/>
    </row>
    <row r="62" spans="1:22" x14ac:dyDescent="0.2">
      <c r="B62" s="281" t="s">
        <v>264</v>
      </c>
      <c r="C62" s="317" t="b">
        <v>0</v>
      </c>
      <c r="D62" s="281" t="s">
        <v>143</v>
      </c>
      <c r="E62" s="316" t="s">
        <v>144</v>
      </c>
      <c r="F62" s="316" t="s">
        <v>145</v>
      </c>
      <c r="G62" s="317" t="s">
        <v>146</v>
      </c>
      <c r="H62" s="444" t="str">
        <f t="shared" si="1"/>
        <v>RC2: zwingend 1050mm</v>
      </c>
      <c r="I62" s="451"/>
      <c r="K62" s="311" t="s">
        <v>524</v>
      </c>
      <c r="L62" s="492">
        <f>IF(OR(AND('Pos. 2'!$F$10="L",'Pos. 2'!$J$10="R"),AND('Pos. 2'!$J$10="L",'Pos. 2'!$N$10="R"),AND('Pos. 2'!$N$10="L",'Pos. 2'!$R$10="R"),AND('Pos. 2'!$R$10="L",'Pos. 2'!$V$10="R"),AND('Pos. 2'!$V$10="L",'Pos. 2'!$Z$10="R"),AND('Pos. 2'!$Z$10="L",'Pos. 2'!$AD$10="R"),AND('Pos. 2'!$AD$10="L",'Pos. 2'!$AH$10="R"),AND('Pos. 2'!$AH$10="L",'Pos. 2'!$AL$10="R"),AND('Pos. 2'!$AL$10="L",'Pos. 2'!$AP$10="R"),AND('Pos. 2'!F10="F",'Pos. 2'!J10="R"),AND('Pos. 2'!J10="F",'Pos. 2'!N10="R"),AND('Pos. 2'!N10="F",'Pos. 2'!R10="R"),AND('Pos. 2'!R10="F",'Pos. 2'!V10="R"),AND('Pos. 2'!V10="F",'Pos. 2'!Z10="R"),AND('Pos. 2'!Z10="F",'Pos. 2'!AD10="R"),AND('Pos. 2'!AD10="F",'Pos. 2'!AH10="R"),AND('Pos. 2'!AH10="F",'Pos. 2'!AL10="R"),AND('Pos. 2'!AL10="F",'Pos. 2'!AP10="R"),AND('Pos. 2'!F10="L",'Pos. 2'!J10="F"),AND('Pos. 2'!J10="L",'Pos. 2'!N10="F"),AND('Pos. 2'!N10="L",'Pos. 2'!R10="F"),AND('Pos. 2'!R10="L",'Pos. 2'!V10="F"),AND('Pos. 2'!V10="L",'Pos. 2'!Z10="F"),AND('Pos. 2'!Z10="L",'Pos. 2'!AD10="F"),AND('Pos. 2'!AD10="L",'Pos. 2'!AH10="F"),AND('Pos. 2'!AH10="L",'Pos. 2'!AL10="F"),AND('Pos. 2'!AL10="L",'Pos. 2'!AP10="F")),1,0)</f>
        <v>0</v>
      </c>
      <c r="M62" s="295">
        <f>IF(AND(L58=0,SUM(L62:L65)=2),0,SUM(L62:L65))</f>
        <v>1</v>
      </c>
      <c r="O62" s="281" t="s">
        <v>201</v>
      </c>
      <c r="P62" s="373">
        <f>IF(OR('Pos. 2'!$R$10='Sprachen &amp; Rückgabewerte(2)'!$B$10,'Pos. 2'!$R$10='Sprachen &amp; Rückgabewerte(2)'!$B$11),1,0)</f>
        <v>0</v>
      </c>
      <c r="Q62" s="316">
        <f t="shared" si="10"/>
        <v>1</v>
      </c>
      <c r="R62" s="317">
        <f>IF(AND(P62=1,'Pos. 2'!$R$16=""),1,0)</f>
        <v>0</v>
      </c>
      <c r="U62" s="311" t="b">
        <f>IF(OR(M62=2,M62=3),FALSE,TRUE)</f>
        <v>1</v>
      </c>
      <c r="V62" s="491">
        <f t="shared" si="8"/>
        <v>0</v>
      </c>
    </row>
    <row r="63" spans="1:22" ht="15.75" customHeight="1" thickBot="1" x14ac:dyDescent="0.25">
      <c r="B63" s="472" t="s">
        <v>265</v>
      </c>
      <c r="C63" s="377" t="b">
        <v>0</v>
      </c>
      <c r="D63" s="281" t="s">
        <v>147</v>
      </c>
      <c r="E63" s="316" t="s">
        <v>147</v>
      </c>
      <c r="F63" s="316" t="s">
        <v>147</v>
      </c>
      <c r="G63" s="317" t="s">
        <v>147</v>
      </c>
      <c r="H63" s="444" t="str">
        <f t="shared" si="1"/>
        <v>min: RV=200 MVv=750</v>
      </c>
      <c r="I63" s="451"/>
      <c r="K63" s="311"/>
      <c r="L63" s="497">
        <f>IF(AND('Pos. 2'!G20="",'Pos. 2'!K20="",'Pos. 2'!O20="",'Pos. 2'!S20="",'Pos. 2'!W20="",'Pos. 2'!AA20="",'Pos. 2'!AE20="",'Pos. 2'!AI20="",'Pos. 2'!AM20=""),1,2)</f>
        <v>1</v>
      </c>
      <c r="M63" s="300"/>
      <c r="O63" s="281" t="s">
        <v>202</v>
      </c>
      <c r="P63" s="373">
        <f>IF(OR('Pos. 2'!$V$10='Sprachen &amp; Rückgabewerte(2)'!$B$10,'Pos. 2'!$V$10='Sprachen &amp; Rückgabewerte(2)'!$B$11),1,0)</f>
        <v>0</v>
      </c>
      <c r="Q63" s="316">
        <f t="shared" si="10"/>
        <v>1</v>
      </c>
      <c r="R63" s="317">
        <f>IF(AND(P63=1,'Pos. 2'!$V$16=""),1,0)</f>
        <v>0</v>
      </c>
      <c r="T63" s="315" t="s">
        <v>776</v>
      </c>
      <c r="U63" s="311" t="b">
        <f>IF('Pos. 2'!AX25="",FALSE,TRUE)</f>
        <v>0</v>
      </c>
      <c r="V63" s="491">
        <f>IF(U63=FALSE,1,0)</f>
        <v>1</v>
      </c>
    </row>
    <row r="64" spans="1:22" ht="15" customHeight="1" x14ac:dyDescent="0.2">
      <c r="B64" s="498" t="s">
        <v>589</v>
      </c>
      <c r="C64" s="499">
        <f>IF(OR($C$60=TRUE,$C$61=TRUE,$C$62=TRUE,$C$63=TRUE),1,0)</f>
        <v>0</v>
      </c>
      <c r="D64" s="281" t="s">
        <v>151</v>
      </c>
      <c r="E64" s="316" t="s">
        <v>267</v>
      </c>
      <c r="F64" s="316" t="s">
        <v>291</v>
      </c>
      <c r="G64" s="317" t="s">
        <v>305</v>
      </c>
      <c r="H64" s="444" t="str">
        <f t="shared" si="1"/>
        <v>Verschlussgriffe:</v>
      </c>
      <c r="I64" s="451"/>
      <c r="K64" s="311"/>
      <c r="L64" s="497">
        <f>IF(AND($C$45=FALSE,$C$46=FALSE,$C$47=FALSE,$C$48=FALSE),0,1)</f>
        <v>0</v>
      </c>
      <c r="M64" s="300"/>
      <c r="O64" s="281" t="s">
        <v>203</v>
      </c>
      <c r="P64" s="373">
        <f>IF(OR('Pos. 2'!$Z$10='Sprachen &amp; Rückgabewerte(2)'!$B$10,'Pos. 2'!$Z$10='Sprachen &amp; Rückgabewerte(2)'!$B$11),1,0)</f>
        <v>0</v>
      </c>
      <c r="Q64" s="316">
        <f t="shared" si="10"/>
        <v>1</v>
      </c>
      <c r="R64" s="317">
        <f>IF(AND(P64=1,'Pos. 2'!$Z$16=""),1,0)</f>
        <v>0</v>
      </c>
      <c r="T64" s="315" t="s">
        <v>783</v>
      </c>
      <c r="U64" s="311" t="b">
        <f>IF('Pos. 2'!AM87="",FALSE,TRUE)</f>
        <v>0</v>
      </c>
      <c r="V64" s="491">
        <f>IF(U64=FALSE,1,0)</f>
        <v>1</v>
      </c>
    </row>
    <row r="65" spans="2:23" ht="15.75" customHeight="1" thickBot="1" x14ac:dyDescent="0.25">
      <c r="B65" s="90"/>
      <c r="C65" s="500"/>
      <c r="D65" s="281" t="s">
        <v>155</v>
      </c>
      <c r="E65" s="316" t="s">
        <v>268</v>
      </c>
      <c r="F65" s="316" t="s">
        <v>323</v>
      </c>
      <c r="G65" s="317" t="s">
        <v>794</v>
      </c>
      <c r="H65" s="444" t="str">
        <f t="shared" si="1"/>
        <v>mit Verschlussraster (Druckknopf)</v>
      </c>
      <c r="I65" s="451"/>
      <c r="K65" s="311"/>
      <c r="L65" s="495">
        <f>IF(AND('Pos. 2'!H11="",'Pos. 2'!I11="",'Pos. 2'!L11="",'Pos. 2'!M11="",'Pos. 2'!P11="",'Pos. 2'!Q11="",'Pos. 2'!T11="",'Pos. 2'!U11="",'Pos. 2'!X11="",'Pos. 2'!Y11="",'Pos. 2'!AB11="",'Pos. 2'!AC11="",'Pos. 2'!AF11="",'Pos. 2'!AG11="",'Pos. 2'!AJ11="",'Pos. 2'!AK11="",'Pos. 2'!AN11="",'Pos. 2'!AO11=""),0,1)</f>
        <v>0</v>
      </c>
      <c r="M65" s="296"/>
      <c r="O65" s="281" t="s">
        <v>204</v>
      </c>
      <c r="P65" s="373">
        <f>IF(OR('Pos. 2'!$AD$10='Sprachen &amp; Rückgabewerte(2)'!$B$10,'Pos. 2'!$AD$10='Sprachen &amp; Rückgabewerte(2)'!$B$11),1,0)</f>
        <v>0</v>
      </c>
      <c r="Q65" s="316">
        <f t="shared" si="10"/>
        <v>1</v>
      </c>
      <c r="R65" s="317">
        <f>IF(AND(P65=1,'Pos. 2'!$AD$16=""),1,0)</f>
        <v>0</v>
      </c>
      <c r="T65" s="280" t="s">
        <v>912</v>
      </c>
      <c r="U65" s="311" t="b">
        <f>IF(AND(C51=TRUE,'Pos. 2'!V96=""),FALSE,TRUE)</f>
        <v>1</v>
      </c>
      <c r="V65" s="491">
        <f>IF(U65=FALSE,1,0)</f>
        <v>0</v>
      </c>
    </row>
    <row r="66" spans="2:23" ht="25.5" x14ac:dyDescent="0.2">
      <c r="B66" s="187" t="s">
        <v>590</v>
      </c>
      <c r="C66" s="500"/>
      <c r="D66" s="281" t="s">
        <v>443</v>
      </c>
      <c r="E66" s="316" t="s">
        <v>444</v>
      </c>
      <c r="F66" s="316" t="s">
        <v>446</v>
      </c>
      <c r="G66" s="317" t="s">
        <v>445</v>
      </c>
      <c r="H66" s="444" t="str">
        <f t="shared" si="1"/>
        <v>mit Verschlussraster (Zylinder)</v>
      </c>
      <c r="I66" s="451"/>
      <c r="K66" s="305" t="s">
        <v>593</v>
      </c>
      <c r="L66" s="492" t="b">
        <f>IF(AND($I$71=TRUE,'Pos. 2'!$AP$74="",'Pos. 2'!$AP$75="",'Pos. 2'!$AP$76=""),FALSE,TRUE)</f>
        <v>1</v>
      </c>
      <c r="M66" s="295" t="b">
        <f>IF(OR($L$66=FALSE,$L$67=FALSE,$L$68=FALSE,L69=FALSE),FALSE,TRUE)</f>
        <v>0</v>
      </c>
      <c r="O66" s="281" t="s">
        <v>205</v>
      </c>
      <c r="P66" s="373">
        <f>IF(OR('Pos. 2'!$AH$10='Sprachen &amp; Rückgabewerte(2)'!$B$10,'Pos. 2'!$AH$10='Sprachen &amp; Rückgabewerte(2)'!$B$11),1,0)</f>
        <v>0</v>
      </c>
      <c r="Q66" s="316">
        <f t="shared" si="10"/>
        <v>1</v>
      </c>
      <c r="R66" s="317">
        <f>IF(AND(P66=1,'Pos. 2'!$AH$16=""),1,0)</f>
        <v>0</v>
      </c>
      <c r="U66" s="311" t="b">
        <f>M66</f>
        <v>0</v>
      </c>
      <c r="V66" s="491">
        <f t="shared" si="8"/>
        <v>1</v>
      </c>
    </row>
    <row r="67" spans="2:23" ht="15" customHeight="1" x14ac:dyDescent="0.2">
      <c r="B67" s="501"/>
      <c r="C67" s="500"/>
      <c r="D67" s="281" t="s">
        <v>152</v>
      </c>
      <c r="E67" s="316" t="s">
        <v>269</v>
      </c>
      <c r="F67" s="316" t="s">
        <v>324</v>
      </c>
      <c r="G67" s="317" t="s">
        <v>366</v>
      </c>
      <c r="H67" s="444" t="str">
        <f t="shared" si="1"/>
        <v>ohne Verschlussraster</v>
      </c>
      <c r="I67" s="451"/>
      <c r="K67" s="305" t="s">
        <v>594</v>
      </c>
      <c r="L67" s="502" t="b">
        <f>IF('Pos. 2'!AN78="",FALSE,TRUE)</f>
        <v>0</v>
      </c>
      <c r="M67" s="300"/>
      <c r="O67" s="281" t="s">
        <v>206</v>
      </c>
      <c r="P67" s="373">
        <f>IF(OR('Pos. 2'!$AL$10='Sprachen &amp; Rückgabewerte(2)'!$B$10,'Pos. 2'!$AL$10='Sprachen &amp; Rückgabewerte(2)'!$B$11),1,0)</f>
        <v>0</v>
      </c>
      <c r="Q67" s="316">
        <f t="shared" si="10"/>
        <v>1</v>
      </c>
      <c r="R67" s="317">
        <f>IF(AND(P67=1,'Pos. 2'!$AL$16=""),1,0)</f>
        <v>0</v>
      </c>
      <c r="T67" s="315" t="s">
        <v>874</v>
      </c>
      <c r="U67" s="311" t="b">
        <f>IF(R69&gt;0,FALSE,TRUE)</f>
        <v>1</v>
      </c>
      <c r="V67" s="491">
        <f>IF(U67=FALSE,1,0)</f>
        <v>0</v>
      </c>
    </row>
    <row r="68" spans="2:23" ht="15" customHeight="1" x14ac:dyDescent="0.2">
      <c r="B68" s="444" t="str">
        <f>$H$112</f>
        <v>mit CFK</v>
      </c>
      <c r="C68" s="500"/>
      <c r="D68" s="281" t="s">
        <v>153</v>
      </c>
      <c r="E68" s="316" t="s">
        <v>270</v>
      </c>
      <c r="F68" s="316" t="s">
        <v>293</v>
      </c>
      <c r="G68" s="317" t="s">
        <v>367</v>
      </c>
      <c r="H68" s="444" t="str">
        <f t="shared" si="1"/>
        <v>2-Punkt Verriegelung</v>
      </c>
      <c r="I68" s="451"/>
      <c r="J68" s="280" t="str">
        <f>H68</f>
        <v>2-Punkt Verriegelung</v>
      </c>
      <c r="K68" s="305" t="s">
        <v>595</v>
      </c>
      <c r="L68" s="502" t="b">
        <f>IF('Pos. 2'!AN79="",FALSE,TRUE)</f>
        <v>0</v>
      </c>
      <c r="M68" s="300"/>
      <c r="O68" s="281" t="s">
        <v>207</v>
      </c>
      <c r="P68" s="373">
        <f>IF(OR('Pos. 2'!$AP$10='Sprachen &amp; Rückgabewerte(2)'!$B$10,'Pos. 2'!$AP$10='Sprachen &amp; Rückgabewerte(2)'!$B$11),1,0)</f>
        <v>0</v>
      </c>
      <c r="Q68" s="316">
        <f t="shared" si="10"/>
        <v>1</v>
      </c>
      <c r="R68" s="317">
        <f>IF(AND(P68=1,'Pos. 2'!$AP$16=""),1,0)</f>
        <v>0</v>
      </c>
      <c r="T68" s="315" t="s">
        <v>892</v>
      </c>
      <c r="U68" s="311" t="b">
        <f>IF('Pos. 2'!AQ96="",FALSE,TRUE)</f>
        <v>0</v>
      </c>
      <c r="V68" s="491">
        <f>IF(U68=FALSE,1,0)</f>
        <v>1</v>
      </c>
      <c r="W68" s="503">
        <f>SUM(V68:V69)</f>
        <v>1</v>
      </c>
    </row>
    <row r="69" spans="2:23" ht="15" customHeight="1" thickBot="1" x14ac:dyDescent="0.25">
      <c r="B69" s="444" t="str">
        <f>$H$113</f>
        <v>ohne CFK</v>
      </c>
      <c r="C69" s="500"/>
      <c r="D69" s="281" t="s">
        <v>154</v>
      </c>
      <c r="E69" s="316" t="s">
        <v>271</v>
      </c>
      <c r="F69" s="316" t="s">
        <v>292</v>
      </c>
      <c r="G69" s="317" t="s">
        <v>368</v>
      </c>
      <c r="H69" s="444" t="str">
        <f t="shared" si="1"/>
        <v>3-Punkt Verriegelung</v>
      </c>
      <c r="I69" s="451"/>
      <c r="J69" s="280" t="str">
        <f>H69</f>
        <v>3-Punkt Verriegelung</v>
      </c>
      <c r="K69" s="305" t="s">
        <v>596</v>
      </c>
      <c r="L69" s="504" t="b">
        <f>IF('Pos. 2'!$AN$80&lt;&gt;"",TRUE,FALSE)</f>
        <v>0</v>
      </c>
      <c r="M69" s="296"/>
      <c r="O69" s="374"/>
      <c r="P69" s="375"/>
      <c r="Q69" s="376" t="s">
        <v>873</v>
      </c>
      <c r="R69" s="377">
        <f>IF(I20=TRUE,SUM(R59:R68),0)</f>
        <v>0</v>
      </c>
      <c r="T69" s="315" t="s">
        <v>894</v>
      </c>
      <c r="U69" s="311" t="b">
        <f>IF(AND('Pos. 2'!AQ96='Sprachen &amp; Rückgabewerte(2)'!H95,'Pos. 2'!AW96=""),FALSE,TRUE)</f>
        <v>1</v>
      </c>
      <c r="V69" s="491">
        <f>IF(U69=FALSE,1,0)</f>
        <v>0</v>
      </c>
    </row>
    <row r="70" spans="2:23" x14ac:dyDescent="0.2">
      <c r="B70" s="444"/>
      <c r="C70" s="500"/>
      <c r="D70" s="281" t="s">
        <v>266</v>
      </c>
      <c r="E70" s="316" t="s">
        <v>272</v>
      </c>
      <c r="F70" s="316" t="s">
        <v>294</v>
      </c>
      <c r="G70" s="317" t="s">
        <v>306</v>
      </c>
      <c r="H70" s="444" t="str">
        <f t="shared" si="1"/>
        <v>Befestigung:</v>
      </c>
      <c r="I70" s="451"/>
      <c r="K70" s="311" t="s">
        <v>620</v>
      </c>
      <c r="L70" s="505">
        <f>IF(AND(I19=TRUE,O51=1),1,0)</f>
        <v>0</v>
      </c>
      <c r="M70" s="298"/>
      <c r="U70" s="311" t="b">
        <f>IF(AND(I19=TRUE,O51&lt;&gt;1),FALSE,TRUE)</f>
        <v>1</v>
      </c>
      <c r="V70" s="491">
        <f t="shared" si="8"/>
        <v>0</v>
      </c>
    </row>
    <row r="71" spans="2:23" x14ac:dyDescent="0.2">
      <c r="B71" s="444" t="str">
        <f>$H$114</f>
        <v>mit Stahl</v>
      </c>
      <c r="C71" s="500"/>
      <c r="D71" s="281" t="s">
        <v>318</v>
      </c>
      <c r="E71" s="316" t="s">
        <v>319</v>
      </c>
      <c r="F71" s="316" t="s">
        <v>320</v>
      </c>
      <c r="G71" s="317" t="s">
        <v>307</v>
      </c>
      <c r="H71" s="444" t="str">
        <f t="shared" si="1"/>
        <v>Universalschrauben (A2):</v>
      </c>
      <c r="I71" s="451" t="b">
        <v>0</v>
      </c>
      <c r="K71" s="311" t="s">
        <v>698</v>
      </c>
      <c r="L71" s="505">
        <f>IF(OR('Pos. 2'!$F$10='Sprachen &amp; Rückgabewerte(2)'!$B$14,'Pos. 2'!$J$10='Sprachen &amp; Rückgabewerte(2)'!$B$14,'Pos. 2'!$N$10='Sprachen &amp; Rückgabewerte(2)'!B14,'Pos. 2'!$R$10='Sprachen &amp; Rückgabewerte(2)'!$B$14,'Pos. 2'!$V$10='Sprachen &amp; Rückgabewerte(2)'!$B$14,'Pos. 2'!$Z$10='Sprachen &amp; Rückgabewerte(2)'!$B$14,'Pos. 2'!$AD$10='Sprachen &amp; Rückgabewerte(2)'!$B$14,'Pos. 2'!$AH$10='Sprachen &amp; Rückgabewerte(2)'!$B$14,'Pos. 2'!$AL$10='Sprachen &amp; Rückgabewerte(2)'!$B$14,'Pos. 2'!$AP$10='Sprachen &amp; Rückgabewerte(2)'!$B$14),0,1)</f>
        <v>1</v>
      </c>
      <c r="M71" s="298">
        <f>IF(AND(L71=0,'Pos. 2'!AW48=""),0,1)</f>
        <v>1</v>
      </c>
      <c r="U71" s="311" t="b">
        <f>IF(M71=1,TRUE,FALSE)</f>
        <v>1</v>
      </c>
      <c r="V71" s="491">
        <f t="shared" si="8"/>
        <v>0</v>
      </c>
    </row>
    <row r="72" spans="2:23" x14ac:dyDescent="0.2">
      <c r="B72" s="444" t="str">
        <f>$H$115</f>
        <v>ohne Stahl</v>
      </c>
      <c r="C72" s="500"/>
      <c r="D72" s="281" t="s">
        <v>156</v>
      </c>
      <c r="E72" s="316" t="s">
        <v>156</v>
      </c>
      <c r="F72" s="316" t="s">
        <v>156</v>
      </c>
      <c r="G72" s="316" t="s">
        <v>156</v>
      </c>
      <c r="H72" s="444" t="str">
        <f t="shared" ref="H72:H88" si="11">IF($B$3=$A$3,D72,IF($B$3=$A$4,E72,IF($B$3=$A$5,F72,IF($B$3=$A$6,G72,""))))</f>
        <v>L=52mm</v>
      </c>
      <c r="I72" s="451"/>
      <c r="J72" s="280" t="str">
        <f>H72</f>
        <v>L=52mm</v>
      </c>
      <c r="K72" s="305" t="s">
        <v>761</v>
      </c>
      <c r="L72" s="306">
        <f>C95</f>
        <v>6</v>
      </c>
      <c r="M72" s="491"/>
      <c r="U72" s="311" t="b">
        <f>IF(AND(L72&gt;0,I50=TRUE),FALSE,TRUE)</f>
        <v>1</v>
      </c>
      <c r="V72" s="491">
        <f t="shared" si="8"/>
        <v>0</v>
      </c>
    </row>
    <row r="73" spans="2:23" x14ac:dyDescent="0.2">
      <c r="B73" s="444"/>
      <c r="C73" s="500"/>
      <c r="D73" s="281" t="s">
        <v>157</v>
      </c>
      <c r="E73" s="316" t="s">
        <v>157</v>
      </c>
      <c r="F73" s="316" t="s">
        <v>157</v>
      </c>
      <c r="G73" s="316" t="s">
        <v>157</v>
      </c>
      <c r="H73" s="444" t="str">
        <f t="shared" si="11"/>
        <v>L=82mm</v>
      </c>
      <c r="I73" s="451"/>
      <c r="J73" s="280" t="str">
        <f>H73</f>
        <v>L=82mm</v>
      </c>
      <c r="K73" s="305" t="s">
        <v>763</v>
      </c>
      <c r="L73" s="306">
        <f>A50</f>
        <v>0</v>
      </c>
      <c r="M73" s="491"/>
      <c r="U73" s="311" t="b">
        <f>IF(L73=0,TRUE,FALSE)</f>
        <v>1</v>
      </c>
      <c r="V73" s="491">
        <f t="shared" si="8"/>
        <v>0</v>
      </c>
    </row>
    <row r="74" spans="2:23" x14ac:dyDescent="0.2">
      <c r="B74" s="444" t="str">
        <f>$H$120</f>
        <v>mit AL.</v>
      </c>
      <c r="C74" s="500"/>
      <c r="D74" s="281" t="s">
        <v>158</v>
      </c>
      <c r="E74" s="316" t="s">
        <v>158</v>
      </c>
      <c r="F74" s="316" t="s">
        <v>158</v>
      </c>
      <c r="G74" s="316" t="s">
        <v>158</v>
      </c>
      <c r="H74" s="444" t="str">
        <f t="shared" si="11"/>
        <v>L=112mm</v>
      </c>
      <c r="I74" s="451"/>
      <c r="J74" s="280" t="str">
        <f>H74</f>
        <v>L=112mm</v>
      </c>
      <c r="K74" s="305" t="s">
        <v>339</v>
      </c>
      <c r="L74" s="306" t="b">
        <f>IF(AND(I51=TRUE,'Pos. 2'!AP86=""),FALSE,TRUE)</f>
        <v>1</v>
      </c>
      <c r="M74" s="491"/>
      <c r="U74" s="311" t="b">
        <f>L74</f>
        <v>1</v>
      </c>
      <c r="V74" s="491">
        <f t="shared" si="8"/>
        <v>0</v>
      </c>
    </row>
    <row r="75" spans="2:23" x14ac:dyDescent="0.2">
      <c r="B75" s="444" t="str">
        <f>$H$121</f>
        <v>ohne AL.</v>
      </c>
      <c r="C75" s="500"/>
      <c r="D75" s="281" t="s">
        <v>879</v>
      </c>
      <c r="E75" s="316" t="s">
        <v>880</v>
      </c>
      <c r="F75" s="316" t="s">
        <v>881</v>
      </c>
      <c r="G75" s="317" t="s">
        <v>882</v>
      </c>
      <c r="H75" s="444" t="str">
        <f t="shared" si="11"/>
        <v>(VE à 100 Stk.)</v>
      </c>
      <c r="I75" s="451"/>
      <c r="K75" s="305" t="s">
        <v>764</v>
      </c>
      <c r="L75" s="306" t="b">
        <f>IF(AND(I22=TRUE,'Pos. 2'!AL39=""),FALSE,TRUE)</f>
        <v>1</v>
      </c>
      <c r="M75" s="491"/>
      <c r="U75" s="311" t="b">
        <f>L75</f>
        <v>1</v>
      </c>
      <c r="V75" s="491">
        <f t="shared" si="8"/>
        <v>0</v>
      </c>
    </row>
    <row r="76" spans="2:23" x14ac:dyDescent="0.2">
      <c r="B76" s="444"/>
      <c r="D76" s="281" t="s">
        <v>159</v>
      </c>
      <c r="E76" s="316" t="s">
        <v>273</v>
      </c>
      <c r="F76" s="316" t="s">
        <v>295</v>
      </c>
      <c r="G76" s="317" t="s">
        <v>308</v>
      </c>
      <c r="H76" s="444" t="str">
        <f t="shared" si="11"/>
        <v>Sockelbefestigung:</v>
      </c>
      <c r="I76" s="451"/>
      <c r="K76" s="305" t="s">
        <v>765</v>
      </c>
      <c r="L76" s="306" t="b">
        <f>IF(AND(I45=TRUE,'Pos. 2'!AI57=""),FALSE,TRUE)</f>
        <v>1</v>
      </c>
      <c r="M76" s="491"/>
      <c r="U76" s="311" t="b">
        <f t="shared" ref="U76:U77" si="12">L76</f>
        <v>1</v>
      </c>
      <c r="V76" s="491">
        <f t="shared" si="8"/>
        <v>0</v>
      </c>
    </row>
    <row r="77" spans="2:23" ht="13.5" thickBot="1" x14ac:dyDescent="0.25">
      <c r="B77" s="444" t="str">
        <f>$H$122</f>
        <v>mit Stahl (&gt;2.5m)</v>
      </c>
      <c r="D77" s="281" t="s">
        <v>160</v>
      </c>
      <c r="E77" s="316" t="s">
        <v>274</v>
      </c>
      <c r="F77" s="316" t="s">
        <v>296</v>
      </c>
      <c r="G77" s="317" t="s">
        <v>309</v>
      </c>
      <c r="H77" s="444" t="str">
        <f t="shared" si="11"/>
        <v>Verstellschrauben M10 x</v>
      </c>
      <c r="I77" s="451"/>
      <c r="J77" s="280" t="str">
        <f>H80</f>
        <v>ohne</v>
      </c>
      <c r="K77" s="308" t="s">
        <v>766</v>
      </c>
      <c r="L77" s="309" t="b">
        <f>IF(OR('Pos. 2'!AE84='Sprachen &amp; Rückgabewerte(2)'!H88,AND('Pos. 2'!AE84='Sprachen &amp; Rückgabewerte(2)'!H89,'Pos. 2'!AE85&lt;&gt;"")),TRUE,FALSE)</f>
        <v>0</v>
      </c>
      <c r="M77" s="506"/>
      <c r="U77" s="311" t="b">
        <f t="shared" si="12"/>
        <v>0</v>
      </c>
      <c r="V77" s="491">
        <f t="shared" si="8"/>
        <v>1</v>
      </c>
    </row>
    <row r="78" spans="2:23" ht="13.5" thickBot="1" x14ac:dyDescent="0.25">
      <c r="B78" s="494" t="str">
        <f>$H$123</f>
        <v>ohne Stahl (&lt;2.5m)</v>
      </c>
      <c r="D78" s="281" t="s">
        <v>161</v>
      </c>
      <c r="E78" s="316" t="s">
        <v>161</v>
      </c>
      <c r="F78" s="316" t="s">
        <v>161</v>
      </c>
      <c r="G78" s="316" t="s">
        <v>161</v>
      </c>
      <c r="H78" s="444" t="str">
        <f t="shared" si="11"/>
        <v>L=70mm</v>
      </c>
      <c r="I78" s="451"/>
      <c r="J78" s="280" t="str">
        <f>H78</f>
        <v>L=70mm</v>
      </c>
      <c r="K78" s="34" t="s">
        <v>442</v>
      </c>
      <c r="L78" s="365"/>
      <c r="M78" s="365"/>
      <c r="N78" s="365"/>
      <c r="O78" s="366"/>
      <c r="T78" s="315" t="s">
        <v>943</v>
      </c>
      <c r="U78" s="311" t="b">
        <f>IF('Pos. 2'!AZ9="",FALSE,TRUE)</f>
        <v>0</v>
      </c>
      <c r="V78" s="491">
        <f t="shared" si="8"/>
        <v>1</v>
      </c>
      <c r="W78" s="280">
        <f>SUM(V78:V79)</f>
        <v>2</v>
      </c>
    </row>
    <row r="79" spans="2:23" ht="13.5" thickBot="1" x14ac:dyDescent="0.25">
      <c r="D79" s="281" t="s">
        <v>162</v>
      </c>
      <c r="E79" s="316" t="s">
        <v>162</v>
      </c>
      <c r="F79" s="316" t="s">
        <v>162</v>
      </c>
      <c r="G79" s="316" t="s">
        <v>162</v>
      </c>
      <c r="H79" s="444" t="str">
        <f t="shared" si="11"/>
        <v>L=100mm</v>
      </c>
      <c r="I79" s="451"/>
      <c r="J79" s="280" t="str">
        <f>H79</f>
        <v>L=100mm</v>
      </c>
      <c r="K79" s="507" t="str">
        <f>H65</f>
        <v>mit Verschlussraster (Druckknopf)</v>
      </c>
      <c r="L79" s="508"/>
      <c r="M79" s="509"/>
      <c r="N79" s="510" t="str">
        <f>IF(OR(C62=TRUE,C63=TRUE),K81,K79)</f>
        <v>mit Verschlussraster (Druckknopf)</v>
      </c>
      <c r="O79" s="511"/>
      <c r="T79" s="315" t="s">
        <v>944</v>
      </c>
      <c r="U79" s="311" t="b">
        <f>IF('Pos. 2'!AZ10="",FALSE,TRUE)</f>
        <v>0</v>
      </c>
      <c r="V79" s="491">
        <f t="shared" si="8"/>
        <v>1</v>
      </c>
    </row>
    <row r="80" spans="2:23" ht="13.5" thickBot="1" x14ac:dyDescent="0.25">
      <c r="B80" s="57" t="s">
        <v>619</v>
      </c>
      <c r="D80" s="281" t="s">
        <v>163</v>
      </c>
      <c r="E80" s="316" t="s">
        <v>275</v>
      </c>
      <c r="F80" s="316" t="s">
        <v>297</v>
      </c>
      <c r="G80" s="317" t="s">
        <v>310</v>
      </c>
      <c r="H80" s="444" t="str">
        <f t="shared" si="11"/>
        <v>ohne</v>
      </c>
      <c r="I80" s="451"/>
      <c r="J80" s="280" t="str">
        <f>H80</f>
        <v>ohne</v>
      </c>
      <c r="K80" s="512" t="str">
        <f>H67</f>
        <v>ohne Verschlussraster</v>
      </c>
      <c r="L80" s="513"/>
      <c r="M80" s="465"/>
      <c r="N80" s="514" t="str">
        <f>IF(OR(C62=TRUE,C63=TRUE),K82,K80)</f>
        <v>ohne Verschlussraster</v>
      </c>
      <c r="O80" s="455"/>
      <c r="U80" s="311"/>
      <c r="V80" s="491"/>
    </row>
    <row r="81" spans="1:22" x14ac:dyDescent="0.2">
      <c r="A81" s="515">
        <v>280</v>
      </c>
      <c r="B81" s="516" t="str">
        <f>""</f>
        <v/>
      </c>
      <c r="C81" s="517">
        <v>214</v>
      </c>
      <c r="D81" s="281" t="s">
        <v>164</v>
      </c>
      <c r="E81" s="316" t="s">
        <v>276</v>
      </c>
      <c r="F81" s="316" t="s">
        <v>298</v>
      </c>
      <c r="G81" s="317" t="s">
        <v>311</v>
      </c>
      <c r="H81" s="444" t="str">
        <f t="shared" si="11"/>
        <v>inklusive</v>
      </c>
      <c r="I81" s="451"/>
      <c r="J81" s="280" t="str">
        <f>H81</f>
        <v>inklusive</v>
      </c>
      <c r="K81" s="512" t="str">
        <f>H66</f>
        <v>mit Verschlussraster (Zylinder)</v>
      </c>
      <c r="L81" s="513"/>
      <c r="M81" s="465"/>
      <c r="N81" s="518"/>
      <c r="O81" s="455"/>
      <c r="U81" s="311"/>
      <c r="V81" s="491"/>
    </row>
    <row r="82" spans="1:22" ht="13.5" thickBot="1" x14ac:dyDescent="0.25">
      <c r="A82" s="519">
        <v>254</v>
      </c>
      <c r="B82" s="520">
        <v>85</v>
      </c>
      <c r="C82" s="521">
        <f>IF('Pos. 2'!$T$114='Sprachen &amp; Rückgabewerte(2)'!$J$146,130,144)</f>
        <v>144</v>
      </c>
      <c r="D82" s="281" t="s">
        <v>277</v>
      </c>
      <c r="E82" s="316" t="s">
        <v>278</v>
      </c>
      <c r="F82" s="316" t="s">
        <v>299</v>
      </c>
      <c r="G82" s="317" t="s">
        <v>278</v>
      </c>
      <c r="H82" s="444" t="str">
        <f t="shared" si="11"/>
        <v>Sockel 75</v>
      </c>
      <c r="I82" s="451"/>
      <c r="J82" s="280" t="str">
        <f>H82</f>
        <v>Sockel 75</v>
      </c>
      <c r="K82" s="374" t="str">
        <f>H160</f>
        <v>ohne Verschlussraster (Zylinder)</v>
      </c>
      <c r="L82" s="375"/>
      <c r="M82" s="376"/>
      <c r="N82" s="375"/>
      <c r="O82" s="460"/>
      <c r="U82" s="522"/>
      <c r="V82" s="523"/>
    </row>
    <row r="83" spans="1:22" ht="13.5" thickBot="1" x14ac:dyDescent="0.25">
      <c r="A83" s="519">
        <v>254</v>
      </c>
      <c r="B83" s="520">
        <v>105</v>
      </c>
      <c r="C83" s="521">
        <f>IF('Pos. 2'!$T$114='Sprachen &amp; Rückgabewerte(2)'!$J$146,158,172)</f>
        <v>172</v>
      </c>
      <c r="D83" s="281" t="s">
        <v>163</v>
      </c>
      <c r="E83" s="316" t="s">
        <v>275</v>
      </c>
      <c r="F83" s="316" t="s">
        <v>297</v>
      </c>
      <c r="G83" s="317" t="s">
        <v>310</v>
      </c>
      <c r="H83" s="444" t="str">
        <f t="shared" si="11"/>
        <v>ohne</v>
      </c>
      <c r="I83" s="451"/>
      <c r="T83" s="314" t="s">
        <v>767</v>
      </c>
      <c r="U83" s="438" t="b">
        <f>IF(V83&gt;0,FALSE,TRUE)</f>
        <v>0</v>
      </c>
      <c r="V83" s="524">
        <f>SUM(V41:V82)</f>
        <v>20</v>
      </c>
    </row>
    <row r="84" spans="1:22" ht="13.5" thickBot="1" x14ac:dyDescent="0.25">
      <c r="A84" s="525">
        <v>228</v>
      </c>
      <c r="B84" s="526">
        <v>110</v>
      </c>
      <c r="C84" s="527">
        <f>IF('Pos. 2'!$T$114='Sprachen &amp; Rückgabewerte(2)'!$J$146,186,200)</f>
        <v>200</v>
      </c>
      <c r="D84" s="281" t="s">
        <v>165</v>
      </c>
      <c r="E84" s="316" t="s">
        <v>279</v>
      </c>
      <c r="F84" s="316" t="s">
        <v>300</v>
      </c>
      <c r="G84" s="317" t="s">
        <v>312</v>
      </c>
      <c r="H84" s="444" t="str">
        <f t="shared" si="11"/>
        <v>Rahmenzusammenbau:</v>
      </c>
      <c r="I84" s="451"/>
    </row>
    <row r="85" spans="1:22" x14ac:dyDescent="0.2">
      <c r="D85" s="281" t="s">
        <v>166</v>
      </c>
      <c r="E85" s="316" t="s">
        <v>280</v>
      </c>
      <c r="F85" s="316" t="s">
        <v>301</v>
      </c>
      <c r="G85" s="317" t="s">
        <v>313</v>
      </c>
      <c r="H85" s="444" t="str">
        <f t="shared" si="11"/>
        <v>Gehrungsstoss (A)</v>
      </c>
      <c r="I85" s="451"/>
      <c r="J85" s="280" t="str">
        <f>H85</f>
        <v>Gehrungsstoss (A)</v>
      </c>
      <c r="L85" s="544" t="s">
        <v>711</v>
      </c>
      <c r="M85" s="545"/>
    </row>
    <row r="86" spans="1:22" ht="13.5" thickBot="1" x14ac:dyDescent="0.25">
      <c r="D86" s="281" t="s">
        <v>334</v>
      </c>
      <c r="E86" s="316" t="s">
        <v>281</v>
      </c>
      <c r="F86" s="316" t="s">
        <v>302</v>
      </c>
      <c r="G86" s="317" t="s">
        <v>507</v>
      </c>
      <c r="H86" s="444" t="str">
        <f t="shared" si="11"/>
        <v>Montagestoss (B)</v>
      </c>
      <c r="I86" s="451"/>
      <c r="J86" s="280" t="str">
        <f>H86</f>
        <v>Montagestoss (B)</v>
      </c>
      <c r="L86" s="528"/>
      <c r="M86" s="372"/>
    </row>
    <row r="87" spans="1:22" x14ac:dyDescent="0.2">
      <c r="B87" s="542" t="s">
        <v>649</v>
      </c>
      <c r="C87" s="543"/>
      <c r="D87" s="281" t="s">
        <v>167</v>
      </c>
      <c r="E87" s="316" t="s">
        <v>282</v>
      </c>
      <c r="F87" s="316" t="s">
        <v>342</v>
      </c>
      <c r="G87" s="317" t="s">
        <v>314</v>
      </c>
      <c r="H87" s="444" t="str">
        <f t="shared" si="11"/>
        <v>Logistik:</v>
      </c>
      <c r="I87" s="451"/>
      <c r="L87" s="529">
        <v>1</v>
      </c>
      <c r="M87" s="317" t="str">
        <f>CONCATENATE($H$154," ",L87)</f>
        <v>Kalenderwoche 1</v>
      </c>
    </row>
    <row r="88" spans="1:22" x14ac:dyDescent="0.2">
      <c r="B88" s="357" t="s">
        <v>650</v>
      </c>
      <c r="C88" s="358">
        <f>IF(AND(I50=TRUE,'Pos. 2'!T104&lt;&gt;""),0,1)</f>
        <v>1</v>
      </c>
      <c r="D88" s="281" t="s">
        <v>335</v>
      </c>
      <c r="E88" s="316" t="s">
        <v>771</v>
      </c>
      <c r="F88" s="316" t="s">
        <v>336</v>
      </c>
      <c r="G88" s="317" t="s">
        <v>522</v>
      </c>
      <c r="H88" s="444" t="str">
        <f t="shared" si="11"/>
        <v>ohne Glas-Sortierung</v>
      </c>
      <c r="I88" s="451"/>
      <c r="J88" s="280" t="str">
        <f>H88</f>
        <v>ohne Glas-Sortierung</v>
      </c>
      <c r="L88" s="529">
        <v>2</v>
      </c>
      <c r="M88" s="317" t="str">
        <f t="shared" ref="M88:M138" si="13">CONCATENATE($H$154," ",L88)</f>
        <v>Kalenderwoche 2</v>
      </c>
    </row>
    <row r="89" spans="1:22" x14ac:dyDescent="0.2">
      <c r="B89" s="281" t="s">
        <v>651</v>
      </c>
      <c r="C89" s="466">
        <f>IF(AND(I50=TRUE,'Pos. 2'!T106&lt;&gt;""),0,1)</f>
        <v>1</v>
      </c>
      <c r="D89" s="281" t="s">
        <v>168</v>
      </c>
      <c r="E89" s="316" t="s">
        <v>337</v>
      </c>
      <c r="F89" s="316" t="s">
        <v>338</v>
      </c>
      <c r="G89" s="317" t="s">
        <v>523</v>
      </c>
      <c r="H89" s="444" t="str">
        <f>IF($B$3=$A$3,D89,IF($B$3=$A$4,E89,IF($B$3=$A$5,F89,IF($B$3=$A$6,$G$89,""))))</f>
        <v>nach Stockwerk:</v>
      </c>
      <c r="I89" s="451"/>
      <c r="J89" s="280" t="str">
        <f>H89</f>
        <v>nach Stockwerk:</v>
      </c>
      <c r="L89" s="529">
        <v>3</v>
      </c>
      <c r="M89" s="317" t="str">
        <f t="shared" si="13"/>
        <v>Kalenderwoche 3</v>
      </c>
    </row>
    <row r="90" spans="1:22" x14ac:dyDescent="0.2">
      <c r="B90" s="281" t="s">
        <v>652</v>
      </c>
      <c r="C90" s="466">
        <f>IF(AND(I50=TRUE,'Pos. 2'!T108&lt;&gt;""),0,1)</f>
        <v>1</v>
      </c>
      <c r="D90" s="281" t="s">
        <v>284</v>
      </c>
      <c r="E90" s="316" t="s">
        <v>283</v>
      </c>
      <c r="F90" s="316" t="s">
        <v>303</v>
      </c>
      <c r="G90" s="317" t="s">
        <v>369</v>
      </c>
      <c r="H90" s="444" t="str">
        <f>IF($B$3=$A$3,D90,IF($B$3=$A$4,E90,IF($B$3=$A$5,F90,IF($B$3=$A$6,G90,""))))</f>
        <v>Wunschtermin:</v>
      </c>
      <c r="I90" s="451"/>
      <c r="L90" s="529">
        <v>4</v>
      </c>
      <c r="M90" s="317" t="str">
        <f t="shared" si="13"/>
        <v>Kalenderwoche 4</v>
      </c>
    </row>
    <row r="91" spans="1:22" x14ac:dyDescent="0.2">
      <c r="B91" s="281" t="s">
        <v>653</v>
      </c>
      <c r="C91" s="466">
        <f>IF(AND(I50=TRUE,'Pos. 2'!T110&lt;&gt;""),0,1)</f>
        <v>1</v>
      </c>
      <c r="D91" s="281" t="s">
        <v>386</v>
      </c>
      <c r="E91" s="316" t="s">
        <v>285</v>
      </c>
      <c r="F91" s="316" t="s">
        <v>387</v>
      </c>
      <c r="G91" s="317" t="s">
        <v>388</v>
      </c>
      <c r="H91" s="444" t="str">
        <f t="shared" ref="H91:H111" si="14">IF($B$3=$A$3,D91,IF($B$3=$A$4,E91,IF($B$3=$A$5,F91,IF($B$3=$A$6,G91,""))))</f>
        <v>Farbe Laufschiene + Schraubenarretierungen:</v>
      </c>
      <c r="I91" s="451"/>
      <c r="L91" s="529">
        <v>5</v>
      </c>
      <c r="M91" s="317" t="str">
        <f t="shared" si="13"/>
        <v>Kalenderwoche 5</v>
      </c>
    </row>
    <row r="92" spans="1:22" x14ac:dyDescent="0.2">
      <c r="B92" s="281" t="s">
        <v>654</v>
      </c>
      <c r="C92" s="466">
        <f>IF(AND(I50=TRUE,'Pos. 2'!T112&lt;&gt;""),0,1)</f>
        <v>1</v>
      </c>
      <c r="D92" s="281" t="s">
        <v>434</v>
      </c>
      <c r="E92" s="316" t="s">
        <v>435</v>
      </c>
      <c r="F92" s="316" t="s">
        <v>436</v>
      </c>
      <c r="G92" s="317" t="s">
        <v>437</v>
      </c>
      <c r="H92" s="444" t="str">
        <f t="shared" si="14"/>
        <v>Silber</v>
      </c>
      <c r="I92" s="451"/>
      <c r="J92" s="280" t="str">
        <f>H92</f>
        <v>Silber</v>
      </c>
      <c r="L92" s="529">
        <v>6</v>
      </c>
      <c r="M92" s="317" t="str">
        <f t="shared" si="13"/>
        <v>Kalenderwoche 6</v>
      </c>
    </row>
    <row r="93" spans="1:22" x14ac:dyDescent="0.2">
      <c r="B93" s="281" t="s">
        <v>655</v>
      </c>
      <c r="C93" s="466">
        <f>IF(AND(I50=TRUE,'Pos. 2'!T114&lt;&gt;""),0,1)</f>
        <v>1</v>
      </c>
      <c r="D93" s="281" t="s">
        <v>169</v>
      </c>
      <c r="E93" s="316" t="s">
        <v>286</v>
      </c>
      <c r="F93" s="316" t="s">
        <v>304</v>
      </c>
      <c r="G93" s="317" t="s">
        <v>315</v>
      </c>
      <c r="H93" s="444" t="str">
        <f t="shared" si="14"/>
        <v>Schwarz</v>
      </c>
      <c r="I93" s="451"/>
      <c r="J93" s="280" t="str">
        <f>H93</f>
        <v>Schwarz</v>
      </c>
      <c r="L93" s="529">
        <v>7</v>
      </c>
      <c r="M93" s="317" t="str">
        <f t="shared" si="13"/>
        <v>Kalenderwoche 7</v>
      </c>
      <c r="N93" s="530"/>
    </row>
    <row r="94" spans="1:22" x14ac:dyDescent="0.2">
      <c r="B94" s="281"/>
      <c r="C94" s="317"/>
      <c r="D94" s="281" t="s">
        <v>380</v>
      </c>
      <c r="E94" s="316" t="s">
        <v>592</v>
      </c>
      <c r="F94" s="316" t="s">
        <v>378</v>
      </c>
      <c r="G94" s="317" t="s">
        <v>381</v>
      </c>
      <c r="H94" s="444" t="str">
        <f t="shared" si="14"/>
        <v>Druckausgleichsventile :</v>
      </c>
      <c r="I94" s="451"/>
      <c r="L94" s="529">
        <v>8</v>
      </c>
      <c r="M94" s="317" t="str">
        <f t="shared" si="13"/>
        <v>Kalenderwoche 8</v>
      </c>
    </row>
    <row r="95" spans="1:22" ht="13.5" thickBot="1" x14ac:dyDescent="0.25">
      <c r="B95" s="226" t="s">
        <v>656</v>
      </c>
      <c r="C95" s="227">
        <f>SUM(C88:C93)</f>
        <v>6</v>
      </c>
      <c r="D95" s="281" t="s">
        <v>170</v>
      </c>
      <c r="E95" s="316" t="s">
        <v>175</v>
      </c>
      <c r="F95" s="316" t="s">
        <v>325</v>
      </c>
      <c r="G95" s="317" t="s">
        <v>316</v>
      </c>
      <c r="H95" s="444" t="str">
        <f t="shared" si="14"/>
        <v>Ja</v>
      </c>
      <c r="I95" s="451"/>
      <c r="J95" s="280" t="str">
        <f>H95</f>
        <v>Ja</v>
      </c>
      <c r="L95" s="529">
        <v>9</v>
      </c>
      <c r="M95" s="317" t="str">
        <f t="shared" si="13"/>
        <v>Kalenderwoche 9</v>
      </c>
    </row>
    <row r="96" spans="1:22" x14ac:dyDescent="0.2">
      <c r="D96" s="281" t="s">
        <v>171</v>
      </c>
      <c r="E96" s="316" t="s">
        <v>176</v>
      </c>
      <c r="F96" s="316" t="s">
        <v>799</v>
      </c>
      <c r="G96" s="317" t="s">
        <v>176</v>
      </c>
      <c r="H96" s="444" t="str">
        <f t="shared" si="14"/>
        <v>Nein</v>
      </c>
      <c r="I96" s="451"/>
      <c r="J96" s="280" t="str">
        <f>H96</f>
        <v>Nein</v>
      </c>
      <c r="L96" s="529">
        <v>10</v>
      </c>
      <c r="M96" s="317" t="str">
        <f t="shared" si="13"/>
        <v>Kalenderwoche 10</v>
      </c>
    </row>
    <row r="97" spans="4:14" x14ac:dyDescent="0.2">
      <c r="D97" s="281" t="s">
        <v>172</v>
      </c>
      <c r="E97" s="316" t="s">
        <v>177</v>
      </c>
      <c r="F97" s="316" t="s">
        <v>326</v>
      </c>
      <c r="G97" s="317" t="s">
        <v>317</v>
      </c>
      <c r="H97" s="444" t="str">
        <f t="shared" si="14"/>
        <v>Digitale Unterschrift:</v>
      </c>
      <c r="I97" s="451"/>
      <c r="L97" s="529">
        <v>11</v>
      </c>
      <c r="M97" s="317" t="str">
        <f t="shared" si="13"/>
        <v>Kalenderwoche 11</v>
      </c>
    </row>
    <row r="98" spans="4:14" x14ac:dyDescent="0.2">
      <c r="D98" s="281" t="s">
        <v>174</v>
      </c>
      <c r="E98" s="316" t="s">
        <v>287</v>
      </c>
      <c r="F98" s="316" t="s">
        <v>327</v>
      </c>
      <c r="G98" s="317" t="s">
        <v>370</v>
      </c>
      <c r="H98" s="444" t="str">
        <f t="shared" si="14"/>
        <v>Bestellung an:</v>
      </c>
      <c r="I98" s="451"/>
      <c r="L98" s="529">
        <v>12</v>
      </c>
      <c r="M98" s="317" t="str">
        <f t="shared" si="13"/>
        <v>Kalenderwoche 12</v>
      </c>
    </row>
    <row r="99" spans="4:14" x14ac:dyDescent="0.2">
      <c r="D99" s="281" t="s">
        <v>173</v>
      </c>
      <c r="E99" s="316" t="s">
        <v>173</v>
      </c>
      <c r="F99" s="316" t="s">
        <v>173</v>
      </c>
      <c r="G99" s="317" t="s">
        <v>173</v>
      </c>
      <c r="H99" s="444" t="str">
        <f t="shared" si="14"/>
        <v>orders@sky-frame.ch</v>
      </c>
      <c r="I99" s="451"/>
      <c r="L99" s="529">
        <v>13</v>
      </c>
      <c r="M99" s="317" t="str">
        <f t="shared" si="13"/>
        <v>Kalenderwoche 13</v>
      </c>
    </row>
    <row r="100" spans="4:14" x14ac:dyDescent="0.2">
      <c r="D100" s="281"/>
      <c r="E100" s="316"/>
      <c r="F100" s="316"/>
      <c r="G100" s="317"/>
      <c r="H100" s="444">
        <f t="shared" si="14"/>
        <v>0</v>
      </c>
      <c r="I100" s="451"/>
      <c r="L100" s="529">
        <v>14</v>
      </c>
      <c r="M100" s="317" t="str">
        <f t="shared" si="13"/>
        <v>Kalenderwoche 14</v>
      </c>
    </row>
    <row r="101" spans="4:14" x14ac:dyDescent="0.2">
      <c r="D101" s="281"/>
      <c r="E101" s="316"/>
      <c r="F101" s="316"/>
      <c r="G101" s="317"/>
      <c r="H101" s="444">
        <f t="shared" si="14"/>
        <v>0</v>
      </c>
      <c r="I101" s="451"/>
      <c r="L101" s="529">
        <v>15</v>
      </c>
      <c r="M101" s="317" t="str">
        <f t="shared" si="13"/>
        <v>Kalenderwoche 15</v>
      </c>
    </row>
    <row r="102" spans="4:14" ht="51" x14ac:dyDescent="0.2">
      <c r="D102" s="330" t="s">
        <v>510</v>
      </c>
      <c r="E102" s="424" t="s">
        <v>288</v>
      </c>
      <c r="F102" s="424" t="s">
        <v>752</v>
      </c>
      <c r="G102" s="423" t="s">
        <v>430</v>
      </c>
      <c r="H102" s="531" t="str">
        <f t="shared" si="14"/>
        <v>Diese Bestellung ist verbindlich und muss komplett ausgefüllt werden. Änderungen werden als Mehraufwand verrechnet.</v>
      </c>
      <c r="I102" s="451"/>
      <c r="L102" s="529">
        <v>16</v>
      </c>
      <c r="M102" s="317" t="str">
        <f t="shared" si="13"/>
        <v>Kalenderwoche 16</v>
      </c>
    </row>
    <row r="103" spans="4:14" ht="12.75" customHeight="1" x14ac:dyDescent="0.2">
      <c r="D103" s="330"/>
      <c r="E103" s="316"/>
      <c r="F103" s="316"/>
      <c r="G103" s="317"/>
      <c r="H103" s="444"/>
      <c r="I103" s="451"/>
      <c r="L103" s="529">
        <v>17</v>
      </c>
      <c r="M103" s="317" t="str">
        <f t="shared" si="13"/>
        <v>Kalenderwoche 17</v>
      </c>
      <c r="N103" s="530"/>
    </row>
    <row r="104" spans="4:14" ht="12.75" customHeight="1" x14ac:dyDescent="0.2">
      <c r="D104" s="281" t="s">
        <v>212</v>
      </c>
      <c r="E104" s="316" t="s">
        <v>759</v>
      </c>
      <c r="F104" s="316" t="s">
        <v>328</v>
      </c>
      <c r="G104" s="317" t="s">
        <v>371</v>
      </c>
      <c r="H104" s="444" t="str">
        <f t="shared" si="14"/>
        <v>A-Ecke 90°</v>
      </c>
      <c r="I104" s="451"/>
      <c r="L104" s="529">
        <v>18</v>
      </c>
      <c r="M104" s="317" t="str">
        <f t="shared" si="13"/>
        <v>Kalenderwoche 18</v>
      </c>
    </row>
    <row r="105" spans="4:14" ht="12.75" customHeight="1" x14ac:dyDescent="0.2">
      <c r="D105" s="281" t="s">
        <v>213</v>
      </c>
      <c r="E105" s="316" t="s">
        <v>758</v>
      </c>
      <c r="F105" s="316" t="s">
        <v>461</v>
      </c>
      <c r="G105" s="317" t="s">
        <v>372</v>
      </c>
      <c r="H105" s="444" t="str">
        <f t="shared" si="14"/>
        <v>I-Ecke 90°</v>
      </c>
      <c r="I105" s="451"/>
      <c r="L105" s="529">
        <v>19</v>
      </c>
      <c r="M105" s="317" t="str">
        <f t="shared" si="13"/>
        <v>Kalenderwoche 19</v>
      </c>
    </row>
    <row r="106" spans="4:14" ht="12.75" customHeight="1" x14ac:dyDescent="0.2">
      <c r="D106" s="281" t="s">
        <v>215</v>
      </c>
      <c r="E106" s="316" t="s">
        <v>757</v>
      </c>
      <c r="F106" s="316" t="s">
        <v>329</v>
      </c>
      <c r="G106" s="317" t="s">
        <v>373</v>
      </c>
      <c r="H106" s="444" t="str">
        <f t="shared" si="14"/>
        <v>A-Ecke≠90°</v>
      </c>
      <c r="I106" s="451"/>
      <c r="L106" s="529">
        <v>20</v>
      </c>
      <c r="M106" s="317" t="str">
        <f t="shared" si="13"/>
        <v>Kalenderwoche 20</v>
      </c>
    </row>
    <row r="107" spans="4:14" ht="12.75" customHeight="1" x14ac:dyDescent="0.2">
      <c r="D107" s="281" t="s">
        <v>216</v>
      </c>
      <c r="E107" s="316" t="s">
        <v>756</v>
      </c>
      <c r="F107" s="316" t="s">
        <v>462</v>
      </c>
      <c r="G107" s="317" t="s">
        <v>374</v>
      </c>
      <c r="H107" s="444" t="str">
        <f t="shared" si="14"/>
        <v>I-Ecke≠90°</v>
      </c>
      <c r="I107" s="451"/>
      <c r="L107" s="529">
        <v>21</v>
      </c>
      <c r="M107" s="317" t="str">
        <f t="shared" si="13"/>
        <v>Kalenderwoche 21</v>
      </c>
    </row>
    <row r="108" spans="4:14" ht="12.75" customHeight="1" x14ac:dyDescent="0.2">
      <c r="D108" s="281" t="s">
        <v>447</v>
      </c>
      <c r="E108" s="316" t="s">
        <v>448</v>
      </c>
      <c r="F108" s="316" t="s">
        <v>449</v>
      </c>
      <c r="G108" s="317" t="s">
        <v>450</v>
      </c>
      <c r="H108" s="444" t="str">
        <f t="shared" si="14"/>
        <v>Wert:</v>
      </c>
      <c r="I108" s="451"/>
      <c r="L108" s="529">
        <v>22</v>
      </c>
      <c r="M108" s="317" t="str">
        <f t="shared" si="13"/>
        <v>Kalenderwoche 22</v>
      </c>
    </row>
    <row r="109" spans="4:14" ht="12.75" customHeight="1" x14ac:dyDescent="0.2">
      <c r="D109" s="281" t="s">
        <v>290</v>
      </c>
      <c r="E109" s="316" t="s">
        <v>289</v>
      </c>
      <c r="F109" s="316" t="s">
        <v>330</v>
      </c>
      <c r="G109" s="316" t="s">
        <v>375</v>
      </c>
      <c r="H109" s="444" t="str">
        <f t="shared" si="14"/>
        <v>Bitte auswählen:</v>
      </c>
      <c r="I109" s="451"/>
      <c r="L109" s="529">
        <v>23</v>
      </c>
      <c r="M109" s="317" t="str">
        <f t="shared" si="13"/>
        <v>Kalenderwoche 23</v>
      </c>
    </row>
    <row r="110" spans="4:14" ht="12.75" customHeight="1" x14ac:dyDescent="0.2">
      <c r="D110" s="281" t="s">
        <v>350</v>
      </c>
      <c r="E110" s="316" t="s">
        <v>350</v>
      </c>
      <c r="F110" s="316" t="s">
        <v>350</v>
      </c>
      <c r="G110" s="316" t="s">
        <v>350</v>
      </c>
      <c r="H110" s="444" t="str">
        <f t="shared" si="14"/>
        <v>KABA (22)</v>
      </c>
      <c r="I110" s="451" t="b">
        <v>0</v>
      </c>
      <c r="L110" s="529">
        <v>24</v>
      </c>
      <c r="M110" s="317" t="str">
        <f t="shared" si="13"/>
        <v>Kalenderwoche 24</v>
      </c>
    </row>
    <row r="111" spans="4:14" ht="12.75" customHeight="1" x14ac:dyDescent="0.2">
      <c r="D111" s="281" t="s">
        <v>351</v>
      </c>
      <c r="E111" s="316" t="s">
        <v>351</v>
      </c>
      <c r="F111" s="316" t="s">
        <v>351</v>
      </c>
      <c r="G111" s="317" t="s">
        <v>351</v>
      </c>
      <c r="H111" s="444" t="str">
        <f t="shared" si="14"/>
        <v>PZ / Euro (17)</v>
      </c>
      <c r="I111" s="451" t="b">
        <v>0</v>
      </c>
      <c r="L111" s="529">
        <v>25</v>
      </c>
      <c r="M111" s="317" t="str">
        <f t="shared" si="13"/>
        <v>Kalenderwoche 25</v>
      </c>
    </row>
    <row r="112" spans="4:14" x14ac:dyDescent="0.2">
      <c r="D112" s="281" t="s">
        <v>392</v>
      </c>
      <c r="E112" s="316" t="s">
        <v>393</v>
      </c>
      <c r="F112" s="316" t="s">
        <v>394</v>
      </c>
      <c r="G112" s="317" t="s">
        <v>395</v>
      </c>
      <c r="H112" s="444" t="str">
        <f>IF($B$3=$A$3,D112,IF($B$3=$A$4,E112,IF($B$3=$A$5,F112,IF($B$3=$A$6,G112,""))))</f>
        <v>mit CFK</v>
      </c>
      <c r="I112" s="451"/>
      <c r="L112" s="529">
        <v>26</v>
      </c>
      <c r="M112" s="317" t="str">
        <f t="shared" si="13"/>
        <v>Kalenderwoche 26</v>
      </c>
    </row>
    <row r="113" spans="4:14" x14ac:dyDescent="0.2">
      <c r="D113" s="281" t="s">
        <v>396</v>
      </c>
      <c r="E113" s="316" t="s">
        <v>397</v>
      </c>
      <c r="F113" s="316" t="s">
        <v>398</v>
      </c>
      <c r="G113" s="317" t="s">
        <v>399</v>
      </c>
      <c r="H113" s="444" t="str">
        <f>IF($B$3=$A$3,D113,IF($B$3=$A$4,E113,IF($B$3=$A$5,F113,IF($B$3=$A$6,G113,""))))</f>
        <v>ohne CFK</v>
      </c>
      <c r="I113" s="451"/>
      <c r="L113" s="529">
        <v>27</v>
      </c>
      <c r="M113" s="317" t="str">
        <f t="shared" si="13"/>
        <v>Kalenderwoche 27</v>
      </c>
      <c r="N113" s="530"/>
    </row>
    <row r="114" spans="4:14" x14ac:dyDescent="0.2">
      <c r="D114" s="281" t="s">
        <v>400</v>
      </c>
      <c r="E114" s="316" t="s">
        <v>402</v>
      </c>
      <c r="F114" s="316" t="s">
        <v>404</v>
      </c>
      <c r="G114" s="317" t="s">
        <v>438</v>
      </c>
      <c r="H114" s="444" t="str">
        <f>IF($B$3=$A$3,D114,IF($B$3=$A$4,E114,IF($B$3=$A$5,F114,IF($B$3=$A$6,G114,""))))</f>
        <v>mit Stahl</v>
      </c>
      <c r="I114" s="451"/>
      <c r="L114" s="529">
        <v>28</v>
      </c>
      <c r="M114" s="317" t="str">
        <f t="shared" si="13"/>
        <v>Kalenderwoche 28</v>
      </c>
    </row>
    <row r="115" spans="4:14" x14ac:dyDescent="0.2">
      <c r="D115" s="281" t="s">
        <v>401</v>
      </c>
      <c r="E115" s="316" t="s">
        <v>403</v>
      </c>
      <c r="F115" s="316" t="s">
        <v>405</v>
      </c>
      <c r="G115" s="317" t="s">
        <v>439</v>
      </c>
      <c r="H115" s="444" t="str">
        <f>IF($B$3=$A$3,D115,IF($B$3=$A$4,E115,IF($B$3=$A$5,F115,IF($B$3=$A$6,G115,""))))</f>
        <v>ohne Stahl</v>
      </c>
      <c r="I115" s="451"/>
      <c r="L115" s="529">
        <v>29</v>
      </c>
      <c r="M115" s="317" t="str">
        <f t="shared" si="13"/>
        <v>Kalenderwoche 29</v>
      </c>
    </row>
    <row r="116" spans="4:14" x14ac:dyDescent="0.2">
      <c r="D116" s="281" t="s">
        <v>408</v>
      </c>
      <c r="E116" s="316" t="s">
        <v>411</v>
      </c>
      <c r="F116" s="316" t="s">
        <v>413</v>
      </c>
      <c r="G116" s="317" t="s">
        <v>416</v>
      </c>
      <c r="H116" s="444" t="str">
        <f>IF($B$3=$A$3,D116,IF($B$3=$A$4,E116,IF($B$3=$A$5,F116,IF($B$3=$A$6,G116,""))))</f>
        <v>Ganzglas-Ecke</v>
      </c>
      <c r="I116" s="451"/>
      <c r="L116" s="529">
        <v>30</v>
      </c>
      <c r="M116" s="317" t="str">
        <f t="shared" si="13"/>
        <v>Kalenderwoche 30</v>
      </c>
    </row>
    <row r="117" spans="4:14" x14ac:dyDescent="0.2">
      <c r="D117" s="281" t="s">
        <v>409</v>
      </c>
      <c r="E117" s="316" t="s">
        <v>755</v>
      </c>
      <c r="F117" s="316" t="s">
        <v>414</v>
      </c>
      <c r="G117" s="317" t="s">
        <v>417</v>
      </c>
      <c r="H117" s="444" t="str">
        <f t="shared" ref="H117:H180" si="15">IF($B$3=$A$3,D117,IF($B$3=$A$4,E117,IF($B$3=$A$5,F117,IF($B$3=$A$6,G117,""))))</f>
        <v>Ecke RC2 (WK2)</v>
      </c>
      <c r="I117" s="451"/>
      <c r="L117" s="529">
        <v>31</v>
      </c>
      <c r="M117" s="317" t="str">
        <f t="shared" si="13"/>
        <v>Kalenderwoche 31</v>
      </c>
    </row>
    <row r="118" spans="4:14" x14ac:dyDescent="0.2">
      <c r="D118" s="281" t="s">
        <v>410</v>
      </c>
      <c r="E118" s="316" t="s">
        <v>412</v>
      </c>
      <c r="F118" s="316" t="s">
        <v>415</v>
      </c>
      <c r="G118" s="317" t="s">
        <v>418</v>
      </c>
      <c r="H118" s="444" t="str">
        <f t="shared" si="15"/>
        <v>Standard (RC2 in Anlehnung)</v>
      </c>
      <c r="I118" s="451"/>
      <c r="L118" s="529">
        <v>32</v>
      </c>
      <c r="M118" s="317" t="str">
        <f t="shared" si="13"/>
        <v>Kalenderwoche 32</v>
      </c>
    </row>
    <row r="119" spans="4:14" x14ac:dyDescent="0.2">
      <c r="D119" s="281" t="s">
        <v>923</v>
      </c>
      <c r="E119" s="316" t="s">
        <v>924</v>
      </c>
      <c r="F119" s="316" t="s">
        <v>925</v>
      </c>
      <c r="G119" s="317" t="s">
        <v>926</v>
      </c>
      <c r="H119" s="444" t="str">
        <f t="shared" si="15"/>
        <v>RC2 mit Blech</v>
      </c>
      <c r="I119" s="451"/>
      <c r="L119" s="529">
        <v>33</v>
      </c>
      <c r="M119" s="317" t="str">
        <f t="shared" si="13"/>
        <v>Kalenderwoche 33</v>
      </c>
    </row>
    <row r="120" spans="4:14" x14ac:dyDescent="0.2">
      <c r="D120" s="281" t="s">
        <v>421</v>
      </c>
      <c r="E120" s="316" t="s">
        <v>424</v>
      </c>
      <c r="F120" s="316" t="s">
        <v>425</v>
      </c>
      <c r="G120" s="317" t="s">
        <v>427</v>
      </c>
      <c r="H120" s="444" t="str">
        <f t="shared" si="15"/>
        <v>mit AL.</v>
      </c>
      <c r="I120" s="451"/>
      <c r="L120" s="529">
        <v>34</v>
      </c>
      <c r="M120" s="317" t="str">
        <f t="shared" si="13"/>
        <v>Kalenderwoche 34</v>
      </c>
    </row>
    <row r="121" spans="4:14" x14ac:dyDescent="0.2">
      <c r="D121" s="281" t="s">
        <v>422</v>
      </c>
      <c r="E121" s="316" t="s">
        <v>423</v>
      </c>
      <c r="F121" s="316" t="s">
        <v>426</v>
      </c>
      <c r="G121" s="317" t="s">
        <v>428</v>
      </c>
      <c r="H121" s="444" t="str">
        <f t="shared" si="15"/>
        <v>ohne AL.</v>
      </c>
      <c r="I121" s="451"/>
      <c r="L121" s="529">
        <v>35</v>
      </c>
      <c r="M121" s="317" t="str">
        <f t="shared" si="13"/>
        <v>Kalenderwoche 35</v>
      </c>
    </row>
    <row r="122" spans="4:14" x14ac:dyDescent="0.2">
      <c r="D122" s="281" t="s">
        <v>843</v>
      </c>
      <c r="E122" s="316" t="s">
        <v>845</v>
      </c>
      <c r="F122" s="316" t="s">
        <v>847</v>
      </c>
      <c r="G122" s="317" t="s">
        <v>849</v>
      </c>
      <c r="H122" s="444" t="str">
        <f t="shared" si="15"/>
        <v>mit Stahl (&gt;2.5m)</v>
      </c>
      <c r="I122" s="451"/>
      <c r="L122" s="529">
        <v>36</v>
      </c>
      <c r="M122" s="317" t="str">
        <f t="shared" si="13"/>
        <v>Kalenderwoche 36</v>
      </c>
    </row>
    <row r="123" spans="4:14" x14ac:dyDescent="0.2">
      <c r="D123" s="281" t="s">
        <v>844</v>
      </c>
      <c r="E123" s="316" t="s">
        <v>846</v>
      </c>
      <c r="F123" s="316" t="s">
        <v>848</v>
      </c>
      <c r="G123" s="317" t="s">
        <v>850</v>
      </c>
      <c r="H123" s="444" t="str">
        <f t="shared" si="15"/>
        <v>ohne Stahl (&lt;2.5m)</v>
      </c>
      <c r="I123" s="451"/>
      <c r="L123" s="529">
        <v>37</v>
      </c>
      <c r="M123" s="317" t="str">
        <f t="shared" si="13"/>
        <v>Kalenderwoche 37</v>
      </c>
    </row>
    <row r="124" spans="4:14" x14ac:dyDescent="0.2">
      <c r="D124" s="281" t="s">
        <v>431</v>
      </c>
      <c r="E124" s="316" t="s">
        <v>754</v>
      </c>
      <c r="F124" s="316" t="s">
        <v>432</v>
      </c>
      <c r="G124" s="317" t="s">
        <v>433</v>
      </c>
      <c r="H124" s="444" t="str">
        <f t="shared" si="15"/>
        <v>Ecke:</v>
      </c>
      <c r="I124" s="451"/>
      <c r="L124" s="529">
        <v>38</v>
      </c>
      <c r="M124" s="317" t="str">
        <f t="shared" si="13"/>
        <v>Kalenderwoche 38</v>
      </c>
    </row>
    <row r="125" spans="4:14" x14ac:dyDescent="0.2">
      <c r="D125" s="281" t="s">
        <v>455</v>
      </c>
      <c r="E125" s="316" t="s">
        <v>455</v>
      </c>
      <c r="F125" s="316" t="s">
        <v>455</v>
      </c>
      <c r="G125" s="317" t="s">
        <v>455</v>
      </c>
      <c r="H125" s="444" t="str">
        <f t="shared" si="15"/>
        <v>NFRC (USA)</v>
      </c>
      <c r="I125" s="451" t="b">
        <v>0</v>
      </c>
      <c r="L125" s="529">
        <v>39</v>
      </c>
      <c r="M125" s="317" t="str">
        <f t="shared" si="13"/>
        <v>Kalenderwoche 39</v>
      </c>
    </row>
    <row r="126" spans="4:14" x14ac:dyDescent="0.2">
      <c r="D126" s="281" t="s">
        <v>467</v>
      </c>
      <c r="E126" s="316" t="s">
        <v>501</v>
      </c>
      <c r="F126" s="316" t="s">
        <v>504</v>
      </c>
      <c r="G126" s="317" t="s">
        <v>488</v>
      </c>
      <c r="H126" s="444" t="str">
        <f t="shared" si="15"/>
        <v>Bestellung vollständig ausfüllen.</v>
      </c>
      <c r="I126" s="451"/>
      <c r="L126" s="529">
        <v>40</v>
      </c>
      <c r="M126" s="317" t="str">
        <f t="shared" si="13"/>
        <v>Kalenderwoche 40</v>
      </c>
    </row>
    <row r="127" spans="4:14" x14ac:dyDescent="0.2">
      <c r="D127" s="281" t="s">
        <v>482</v>
      </c>
      <c r="E127" s="316" t="s">
        <v>502</v>
      </c>
      <c r="F127" s="316" t="s">
        <v>506</v>
      </c>
      <c r="G127" s="317" t="s">
        <v>489</v>
      </c>
      <c r="H127" s="444" t="str">
        <f t="shared" si="15"/>
        <v>Überprüfen ob keine roten Rahmen aufleuchten.</v>
      </c>
      <c r="I127" s="451"/>
      <c r="L127" s="529">
        <v>41</v>
      </c>
      <c r="M127" s="317" t="str">
        <f t="shared" si="13"/>
        <v>Kalenderwoche 41</v>
      </c>
    </row>
    <row r="128" spans="4:14" x14ac:dyDescent="0.2">
      <c r="D128" s="281" t="s">
        <v>483</v>
      </c>
      <c r="E128" s="316" t="s">
        <v>503</v>
      </c>
      <c r="F128" s="316" t="s">
        <v>505</v>
      </c>
      <c r="G128" s="317" t="s">
        <v>490</v>
      </c>
      <c r="H128" s="444" t="str">
        <f t="shared" si="15"/>
        <v>Bestellung senden an:</v>
      </c>
      <c r="I128" s="451"/>
      <c r="L128" s="529">
        <v>42</v>
      </c>
      <c r="M128" s="317" t="str">
        <f t="shared" si="13"/>
        <v>Kalenderwoche 42</v>
      </c>
    </row>
    <row r="129" spans="4:13" x14ac:dyDescent="0.2">
      <c r="D129" s="281" t="s">
        <v>481</v>
      </c>
      <c r="E129" s="316" t="s">
        <v>500</v>
      </c>
      <c r="F129" s="316" t="s">
        <v>500</v>
      </c>
      <c r="G129" s="317" t="s">
        <v>487</v>
      </c>
      <c r="H129" s="444" t="str">
        <f t="shared" si="15"/>
        <v>Anleitung:</v>
      </c>
      <c r="I129" s="451"/>
      <c r="L129" s="529">
        <v>43</v>
      </c>
      <c r="M129" s="317" t="str">
        <f t="shared" si="13"/>
        <v>Kalenderwoche 43</v>
      </c>
    </row>
    <row r="130" spans="4:13" x14ac:dyDescent="0.2">
      <c r="D130" s="281" t="s">
        <v>512</v>
      </c>
      <c r="E130" s="316" t="s">
        <v>511</v>
      </c>
      <c r="F130" s="316" t="s">
        <v>517</v>
      </c>
      <c r="G130" s="317" t="s">
        <v>700</v>
      </c>
      <c r="H130" s="444" t="str">
        <f t="shared" si="15"/>
        <v>Vertriebspartner:</v>
      </c>
      <c r="I130" s="451"/>
      <c r="L130" s="529">
        <v>44</v>
      </c>
      <c r="M130" s="317" t="str">
        <f t="shared" si="13"/>
        <v>Kalenderwoche 44</v>
      </c>
    </row>
    <row r="131" spans="4:13" x14ac:dyDescent="0.2">
      <c r="D131" s="281" t="s">
        <v>509</v>
      </c>
      <c r="E131" s="316" t="s">
        <v>519</v>
      </c>
      <c r="F131" s="316" t="s">
        <v>518</v>
      </c>
      <c r="G131" s="317" t="s">
        <v>521</v>
      </c>
      <c r="H131" s="444" t="str">
        <f t="shared" si="15"/>
        <v>Bemerkungen:</v>
      </c>
      <c r="I131" s="451"/>
      <c r="L131" s="529">
        <v>45</v>
      </c>
      <c r="M131" s="317" t="str">
        <f t="shared" si="13"/>
        <v>Kalenderwoche 45</v>
      </c>
    </row>
    <row r="132" spans="4:13" x14ac:dyDescent="0.2">
      <c r="D132" s="281" t="s">
        <v>525</v>
      </c>
      <c r="E132" s="316" t="s">
        <v>529</v>
      </c>
      <c r="F132" s="316" t="s">
        <v>530</v>
      </c>
      <c r="G132" s="317" t="s">
        <v>531</v>
      </c>
      <c r="H132" s="444" t="str">
        <f>IF($B$3=$A$3,D132,IF($B$3=$A$4,E132,IF($B$3=$A$5,F132,IF($B$3=$A$6,G132,""))))</f>
        <v>Öffnung angeben →</v>
      </c>
      <c r="I132" s="451"/>
      <c r="L132" s="529">
        <v>46</v>
      </c>
      <c r="M132" s="317" t="str">
        <f t="shared" si="13"/>
        <v>Kalenderwoche 46</v>
      </c>
    </row>
    <row r="133" spans="4:13" x14ac:dyDescent="0.2">
      <c r="D133" s="281" t="s">
        <v>581</v>
      </c>
      <c r="E133" s="316" t="s">
        <v>582</v>
      </c>
      <c r="F133" s="316" t="s">
        <v>584</v>
      </c>
      <c r="G133" s="317" t="s">
        <v>583</v>
      </c>
      <c r="H133" s="444" t="str">
        <f t="shared" si="15"/>
        <v>5-gleisig</v>
      </c>
      <c r="I133" s="451" t="b">
        <f>IF(AND(I12=TRUE,'Pos. 2'!AT5=1),TRUE,FALSE)</f>
        <v>0</v>
      </c>
      <c r="L133" s="529">
        <v>47</v>
      </c>
      <c r="M133" s="317" t="str">
        <f t="shared" si="13"/>
        <v>Kalenderwoche 47</v>
      </c>
    </row>
    <row r="134" spans="4:13" x14ac:dyDescent="0.2">
      <c r="D134" s="512" t="s">
        <v>586</v>
      </c>
      <c r="E134" s="316" t="s">
        <v>586</v>
      </c>
      <c r="F134" s="316" t="s">
        <v>586</v>
      </c>
      <c r="G134" s="317" t="s">
        <v>586</v>
      </c>
      <c r="H134" s="444" t="str">
        <f t="shared" si="15"/>
        <v>Features</v>
      </c>
      <c r="I134" s="451"/>
      <c r="J134" s="280" t="str">
        <f>H159</f>
        <v>Keine</v>
      </c>
      <c r="L134" s="529">
        <v>48</v>
      </c>
      <c r="M134" s="317" t="str">
        <f t="shared" si="13"/>
        <v>Kalenderwoche 48</v>
      </c>
    </row>
    <row r="135" spans="4:13" x14ac:dyDescent="0.2">
      <c r="D135" s="281" t="s">
        <v>600</v>
      </c>
      <c r="E135" s="316" t="s">
        <v>602</v>
      </c>
      <c r="F135" s="316" t="s">
        <v>603</v>
      </c>
      <c r="G135" s="317" t="s">
        <v>604</v>
      </c>
      <c r="H135" s="444" t="str">
        <f t="shared" si="15"/>
        <v>Oben Links</v>
      </c>
      <c r="I135" s="451"/>
      <c r="J135" s="280" t="str">
        <f>H135</f>
        <v>Oben Links</v>
      </c>
      <c r="L135" s="529">
        <v>49</v>
      </c>
      <c r="M135" s="317" t="str">
        <f t="shared" si="13"/>
        <v>Kalenderwoche 49</v>
      </c>
    </row>
    <row r="136" spans="4:13" x14ac:dyDescent="0.2">
      <c r="D136" s="281" t="s">
        <v>601</v>
      </c>
      <c r="E136" s="316" t="s">
        <v>605</v>
      </c>
      <c r="F136" s="316" t="s">
        <v>606</v>
      </c>
      <c r="G136" s="317" t="s">
        <v>607</v>
      </c>
      <c r="H136" s="444" t="str">
        <f t="shared" si="15"/>
        <v>Oben Rechts</v>
      </c>
      <c r="I136" s="451"/>
      <c r="J136" s="280" t="str">
        <f>H136</f>
        <v>Oben Rechts</v>
      </c>
      <c r="L136" s="529">
        <v>50</v>
      </c>
      <c r="M136" s="317" t="str">
        <f t="shared" si="13"/>
        <v>Kalenderwoche 50</v>
      </c>
    </row>
    <row r="137" spans="4:13" x14ac:dyDescent="0.2">
      <c r="D137" s="281" t="s">
        <v>608</v>
      </c>
      <c r="E137" s="316" t="s">
        <v>609</v>
      </c>
      <c r="F137" s="316" t="s">
        <v>610</v>
      </c>
      <c r="G137" s="317" t="s">
        <v>611</v>
      </c>
      <c r="H137" s="444" t="str">
        <f t="shared" si="15"/>
        <v>Lage Glasspinne (Ansicht von Aussen)</v>
      </c>
      <c r="I137" s="451"/>
      <c r="L137" s="529">
        <v>51</v>
      </c>
      <c r="M137" s="317" t="str">
        <f t="shared" si="13"/>
        <v>Kalenderwoche 51</v>
      </c>
    </row>
    <row r="138" spans="4:13" ht="13.5" thickBot="1" x14ac:dyDescent="0.25">
      <c r="D138" s="281" t="s">
        <v>612</v>
      </c>
      <c r="E138" s="316" t="s">
        <v>732</v>
      </c>
      <c r="F138" s="316" t="s">
        <v>703</v>
      </c>
      <c r="G138" s="317" t="s">
        <v>712</v>
      </c>
      <c r="H138" s="444" t="str">
        <f t="shared" si="15"/>
        <v>Rinnenbestellung</v>
      </c>
      <c r="I138" s="451"/>
      <c r="L138" s="532">
        <v>52</v>
      </c>
      <c r="M138" s="377" t="str">
        <f t="shared" si="13"/>
        <v>Kalenderwoche 52</v>
      </c>
    </row>
    <row r="139" spans="4:13" x14ac:dyDescent="0.2">
      <c r="D139" s="281" t="s">
        <v>647</v>
      </c>
      <c r="E139" s="316" t="s">
        <v>733</v>
      </c>
      <c r="F139" s="316" t="s">
        <v>725</v>
      </c>
      <c r="G139" s="317" t="s">
        <v>713</v>
      </c>
      <c r="H139" s="444" t="str">
        <f t="shared" si="15"/>
        <v>Wahl des Rinnensystems:</v>
      </c>
      <c r="I139" s="451"/>
    </row>
    <row r="140" spans="4:13" x14ac:dyDescent="0.2">
      <c r="D140" s="281" t="s">
        <v>646</v>
      </c>
      <c r="E140" s="316" t="s">
        <v>734</v>
      </c>
      <c r="F140" s="316" t="s">
        <v>726</v>
      </c>
      <c r="G140" s="317" t="s">
        <v>838</v>
      </c>
      <c r="H140" s="444" t="str">
        <f t="shared" si="15"/>
        <v>Einzug an der linken Anlagenseite:</v>
      </c>
      <c r="I140" s="451"/>
    </row>
    <row r="141" spans="4:13" x14ac:dyDescent="0.2">
      <c r="D141" s="281" t="s">
        <v>645</v>
      </c>
      <c r="E141" s="316" t="s">
        <v>735</v>
      </c>
      <c r="F141" s="316" t="s">
        <v>727</v>
      </c>
      <c r="G141" s="317" t="s">
        <v>839</v>
      </c>
      <c r="H141" s="444" t="str">
        <f t="shared" si="15"/>
        <v>Einzug an der rechten Anlagenseite:</v>
      </c>
      <c r="I141" s="451"/>
    </row>
    <row r="142" spans="4:13" x14ac:dyDescent="0.2">
      <c r="D142" s="281" t="s">
        <v>644</v>
      </c>
      <c r="E142" s="316" t="s">
        <v>736</v>
      </c>
      <c r="F142" s="316" t="s">
        <v>728</v>
      </c>
      <c r="G142" s="317" t="s">
        <v>714</v>
      </c>
      <c r="H142" s="444" t="str">
        <f t="shared" si="15"/>
        <v>Anschlussstutzen:</v>
      </c>
      <c r="I142" s="451"/>
    </row>
    <row r="143" spans="4:13" x14ac:dyDescent="0.2">
      <c r="D143" s="281" t="s">
        <v>613</v>
      </c>
      <c r="E143" s="316" t="s">
        <v>737</v>
      </c>
      <c r="F143" s="316" t="s">
        <v>704</v>
      </c>
      <c r="G143" s="317" t="s">
        <v>715</v>
      </c>
      <c r="H143" s="444" t="str">
        <f t="shared" si="15"/>
        <v>lose mitliefern</v>
      </c>
      <c r="I143" s="451"/>
      <c r="J143" s="280" t="str">
        <f>H143</f>
        <v>lose mitliefern</v>
      </c>
    </row>
    <row r="144" spans="4:13" x14ac:dyDescent="0.2">
      <c r="D144" s="281" t="s">
        <v>614</v>
      </c>
      <c r="E144" s="316" t="s">
        <v>738</v>
      </c>
      <c r="F144" s="316" t="s">
        <v>705</v>
      </c>
      <c r="G144" s="317" t="s">
        <v>716</v>
      </c>
      <c r="H144" s="444" t="str">
        <f t="shared" si="15"/>
        <v>vordefiniert</v>
      </c>
      <c r="I144" s="451"/>
      <c r="J144" s="280" t="str">
        <f>H144</f>
        <v>vordefiniert</v>
      </c>
    </row>
    <row r="145" spans="4:10" x14ac:dyDescent="0.2">
      <c r="D145" s="281" t="s">
        <v>648</v>
      </c>
      <c r="E145" s="316" t="s">
        <v>739</v>
      </c>
      <c r="F145" s="316" t="s">
        <v>729</v>
      </c>
      <c r="G145" s="317" t="s">
        <v>717</v>
      </c>
      <c r="H145" s="444" t="str">
        <f t="shared" si="15"/>
        <v>Anzahl Anschlussstutzen:</v>
      </c>
      <c r="I145" s="451"/>
    </row>
    <row r="146" spans="4:10" x14ac:dyDescent="0.2">
      <c r="D146" s="281" t="s">
        <v>615</v>
      </c>
      <c r="E146" s="316" t="s">
        <v>706</v>
      </c>
      <c r="F146" s="316" t="s">
        <v>706</v>
      </c>
      <c r="G146" s="317" t="s">
        <v>718</v>
      </c>
      <c r="H146" s="444" t="str">
        <f t="shared" si="15"/>
        <v>Typ A</v>
      </c>
      <c r="I146" s="451"/>
      <c r="J146" s="280" t="str">
        <f>H146</f>
        <v>Typ A</v>
      </c>
    </row>
    <row r="147" spans="4:10" x14ac:dyDescent="0.2">
      <c r="D147" s="281" t="s">
        <v>616</v>
      </c>
      <c r="E147" s="316" t="s">
        <v>707</v>
      </c>
      <c r="F147" s="316" t="s">
        <v>707</v>
      </c>
      <c r="G147" s="317" t="s">
        <v>719</v>
      </c>
      <c r="H147" s="444" t="str">
        <f t="shared" si="15"/>
        <v>Typ B</v>
      </c>
      <c r="I147" s="451"/>
      <c r="J147" s="280" t="str">
        <f>H147</f>
        <v>Typ B</v>
      </c>
    </row>
    <row r="148" spans="4:10" x14ac:dyDescent="0.2">
      <c r="D148" s="281" t="s">
        <v>617</v>
      </c>
      <c r="E148" s="316" t="s">
        <v>740</v>
      </c>
      <c r="F148" s="316" t="s">
        <v>730</v>
      </c>
      <c r="G148" s="317" t="s">
        <v>720</v>
      </c>
      <c r="H148" s="444" t="str">
        <f t="shared" si="15"/>
        <v>Abstände Ablaufstutzen:</v>
      </c>
      <c r="I148" s="451"/>
    </row>
    <row r="149" spans="4:10" x14ac:dyDescent="0.2">
      <c r="D149" s="281" t="s">
        <v>618</v>
      </c>
      <c r="E149" s="316" t="s">
        <v>741</v>
      </c>
      <c r="F149" s="316" t="s">
        <v>753</v>
      </c>
      <c r="G149" s="317" t="s">
        <v>721</v>
      </c>
      <c r="H149" s="444" t="str">
        <f t="shared" si="15"/>
        <v>Rinnenanschluss:</v>
      </c>
      <c r="I149" s="451"/>
    </row>
    <row r="150" spans="4:10" x14ac:dyDescent="0.2">
      <c r="D150" s="281" t="s">
        <v>695</v>
      </c>
      <c r="E150" s="316" t="s">
        <v>742</v>
      </c>
      <c r="F150" s="316" t="s">
        <v>731</v>
      </c>
      <c r="G150" s="317" t="s">
        <v>722</v>
      </c>
      <c r="H150" s="444" t="str">
        <f t="shared" si="15"/>
        <v>Farbe Panele:</v>
      </c>
      <c r="I150" s="451"/>
    </row>
    <row r="151" spans="4:10" x14ac:dyDescent="0.2">
      <c r="D151" s="281" t="s">
        <v>16</v>
      </c>
      <c r="E151" s="316" t="s">
        <v>16</v>
      </c>
      <c r="F151" s="316" t="s">
        <v>16</v>
      </c>
      <c r="G151" s="317" t="s">
        <v>16</v>
      </c>
      <c r="H151" s="444" t="str">
        <f t="shared" si="15"/>
        <v>Standard</v>
      </c>
      <c r="I151" s="451"/>
      <c r="J151" s="280" t="str">
        <f>H151</f>
        <v>Standard</v>
      </c>
    </row>
    <row r="152" spans="4:10" x14ac:dyDescent="0.2">
      <c r="D152" s="281" t="s">
        <v>696</v>
      </c>
      <c r="E152" s="316" t="s">
        <v>743</v>
      </c>
      <c r="F152" s="316" t="s">
        <v>708</v>
      </c>
      <c r="G152" s="317" t="s">
        <v>723</v>
      </c>
      <c r="H152" s="444" t="str">
        <f t="shared" si="15"/>
        <v>Rahmenfarbe</v>
      </c>
      <c r="I152" s="451"/>
      <c r="J152" s="280" t="str">
        <f>H152</f>
        <v>Rahmenfarbe</v>
      </c>
    </row>
    <row r="153" spans="4:10" x14ac:dyDescent="0.2">
      <c r="D153" s="281" t="s">
        <v>697</v>
      </c>
      <c r="E153" s="316" t="s">
        <v>744</v>
      </c>
      <c r="F153" s="316" t="s">
        <v>709</v>
      </c>
      <c r="G153" s="317" t="s">
        <v>724</v>
      </c>
      <c r="H153" s="444" t="str">
        <f t="shared" si="15"/>
        <v>Glas Satinato</v>
      </c>
      <c r="I153" s="451"/>
      <c r="J153" s="280" t="str">
        <f>H153</f>
        <v>Glas Satinato</v>
      </c>
    </row>
    <row r="154" spans="4:10" x14ac:dyDescent="0.2">
      <c r="D154" s="281" t="s">
        <v>710</v>
      </c>
      <c r="E154" s="316" t="s">
        <v>745</v>
      </c>
      <c r="F154" s="316" t="s">
        <v>746</v>
      </c>
      <c r="G154" s="317" t="s">
        <v>747</v>
      </c>
      <c r="H154" s="444" t="str">
        <f t="shared" si="15"/>
        <v>Kalenderwoche</v>
      </c>
      <c r="I154" s="451"/>
    </row>
    <row r="155" spans="4:10" x14ac:dyDescent="0.2">
      <c r="D155" s="281" t="s">
        <v>769</v>
      </c>
      <c r="E155" s="316" t="s">
        <v>777</v>
      </c>
      <c r="F155" s="316" t="s">
        <v>780</v>
      </c>
      <c r="G155" s="317" t="s">
        <v>792</v>
      </c>
      <c r="H155" s="444" t="str">
        <f>IF($B$3=$A$3,D155,IF($B$3=$A$4,E155,IF($B$3=$A$5,F155,IF($B$3=$A$6,G155,""))))</f>
        <v>Bestellformular unvollständig!</v>
      </c>
      <c r="I155" s="451"/>
    </row>
    <row r="156" spans="4:10" x14ac:dyDescent="0.2">
      <c r="D156" s="281" t="s">
        <v>779</v>
      </c>
      <c r="E156" s="316" t="s">
        <v>778</v>
      </c>
      <c r="F156" s="316" t="s">
        <v>781</v>
      </c>
      <c r="G156" s="317" t="s">
        <v>793</v>
      </c>
      <c r="H156" s="444" t="str">
        <f t="shared" si="15"/>
        <v>Bestellformular vollständig.</v>
      </c>
      <c r="I156" s="451"/>
    </row>
    <row r="157" spans="4:10" x14ac:dyDescent="0.2">
      <c r="D157" s="281" t="s">
        <v>774</v>
      </c>
      <c r="E157" s="316" t="s">
        <v>773</v>
      </c>
      <c r="F157" s="316" t="s">
        <v>772</v>
      </c>
      <c r="G157" s="317" t="s">
        <v>775</v>
      </c>
      <c r="H157" s="444" t="str">
        <f t="shared" si="15"/>
        <v>B2B-Login Projektnr:</v>
      </c>
      <c r="I157" s="451"/>
    </row>
    <row r="158" spans="4:10" ht="12.75" customHeight="1" x14ac:dyDescent="0.2">
      <c r="D158" s="323" t="s">
        <v>784</v>
      </c>
      <c r="E158" s="316" t="s">
        <v>785</v>
      </c>
      <c r="F158" s="316" t="s">
        <v>786</v>
      </c>
      <c r="G158" s="317" t="s">
        <v>787</v>
      </c>
      <c r="H158" s="444" t="str">
        <f t="shared" si="15"/>
        <v>OHNE Glas</v>
      </c>
      <c r="I158" s="451"/>
    </row>
    <row r="159" spans="4:10" ht="12.75" customHeight="1" x14ac:dyDescent="0.2">
      <c r="D159" s="281" t="s">
        <v>788</v>
      </c>
      <c r="E159" s="316" t="s">
        <v>789</v>
      </c>
      <c r="F159" s="316" t="s">
        <v>297</v>
      </c>
      <c r="G159" s="317" t="s">
        <v>310</v>
      </c>
      <c r="H159" s="444" t="str">
        <f t="shared" si="15"/>
        <v>Keine</v>
      </c>
      <c r="I159" s="451"/>
    </row>
    <row r="160" spans="4:10" ht="12.75" customHeight="1" x14ac:dyDescent="0.2">
      <c r="D160" s="281" t="s">
        <v>795</v>
      </c>
      <c r="E160" s="316" t="s">
        <v>796</v>
      </c>
      <c r="F160" s="316" t="s">
        <v>797</v>
      </c>
      <c r="G160" s="317" t="s">
        <v>798</v>
      </c>
      <c r="H160" s="444" t="str">
        <f t="shared" si="15"/>
        <v>ohne Verschlussraster (Zylinder)</v>
      </c>
      <c r="I160" s="451"/>
    </row>
    <row r="161" spans="4:10" x14ac:dyDescent="0.2">
      <c r="D161" s="281"/>
      <c r="E161" s="316"/>
      <c r="F161" s="316"/>
      <c r="G161" s="317"/>
      <c r="H161" s="444">
        <f t="shared" si="15"/>
        <v>0</v>
      </c>
      <c r="I161" s="451"/>
    </row>
    <row r="162" spans="4:10" x14ac:dyDescent="0.2">
      <c r="D162" s="281"/>
      <c r="E162" s="316"/>
      <c r="F162" s="316"/>
      <c r="G162" s="317"/>
      <c r="H162" s="444">
        <f t="shared" si="15"/>
        <v>0</v>
      </c>
      <c r="I162" s="451"/>
    </row>
    <row r="163" spans="4:10" x14ac:dyDescent="0.2">
      <c r="D163" s="281"/>
      <c r="E163" s="316"/>
      <c r="F163" s="316"/>
      <c r="G163" s="317"/>
      <c r="H163" s="444">
        <f t="shared" si="15"/>
        <v>0</v>
      </c>
      <c r="I163" s="451"/>
    </row>
    <row r="164" spans="4:10" x14ac:dyDescent="0.2">
      <c r="D164" s="281"/>
      <c r="E164" s="316"/>
      <c r="F164" s="316"/>
      <c r="G164" s="317"/>
      <c r="H164" s="444">
        <f t="shared" si="15"/>
        <v>0</v>
      </c>
      <c r="I164" s="451"/>
    </row>
    <row r="165" spans="4:10" x14ac:dyDescent="0.2">
      <c r="D165" s="281" t="s">
        <v>927</v>
      </c>
      <c r="E165" s="331" t="s">
        <v>928</v>
      </c>
      <c r="F165" s="331" t="s">
        <v>518</v>
      </c>
      <c r="G165" s="331" t="s">
        <v>929</v>
      </c>
      <c r="H165" s="531" t="str">
        <f t="shared" si="15"/>
        <v>Hinweise:</v>
      </c>
      <c r="I165" s="451"/>
    </row>
    <row r="166" spans="4:10" x14ac:dyDescent="0.2">
      <c r="D166" s="281" t="s">
        <v>804</v>
      </c>
      <c r="E166" s="332" t="s">
        <v>812</v>
      </c>
      <c r="F166" s="331" t="s">
        <v>820</v>
      </c>
      <c r="G166" s="332" t="s">
        <v>828</v>
      </c>
      <c r="H166" s="531" t="str">
        <f t="shared" si="15"/>
        <v>Angabe erstöffnender Flügel</v>
      </c>
      <c r="I166" s="451"/>
    </row>
    <row r="167" spans="4:10" ht="102" x14ac:dyDescent="0.2">
      <c r="D167" s="330" t="s">
        <v>805</v>
      </c>
      <c r="E167" s="333" t="s">
        <v>813</v>
      </c>
      <c r="F167" s="333" t="s">
        <v>821</v>
      </c>
      <c r="G167" s="333" t="s">
        <v>829</v>
      </c>
      <c r="H167" s="531" t="str">
        <f t="shared" si="15"/>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1"/>
    </row>
    <row r="168" spans="4:10" x14ac:dyDescent="0.2">
      <c r="D168" s="330" t="s">
        <v>806</v>
      </c>
      <c r="E168" s="332" t="s">
        <v>814</v>
      </c>
      <c r="F168" s="332" t="s">
        <v>822</v>
      </c>
      <c r="G168" s="333" t="s">
        <v>830</v>
      </c>
      <c r="H168" s="531" t="str">
        <f t="shared" si="15"/>
        <v>Eingabe Ecke ≠ 90° (von 60° - 160°)</v>
      </c>
      <c r="I168" s="451"/>
    </row>
    <row r="169" spans="4:10" ht="63.75" x14ac:dyDescent="0.2">
      <c r="D169" s="330" t="s">
        <v>807</v>
      </c>
      <c r="E169" s="333" t="s">
        <v>815</v>
      </c>
      <c r="F169" s="333" t="s">
        <v>823</v>
      </c>
      <c r="G169" s="333" t="s">
        <v>831</v>
      </c>
      <c r="H169" s="531" t="str">
        <f t="shared" si="15"/>
        <v xml:space="preserve">Um eine Ecke auszuwählen, welche grösser oder kleiner wie 90° ist, muss das dementsprechende Feld ausgewählt werden. Danach muss der gewünschte Wert angegeben werden. </v>
      </c>
      <c r="I169" s="451"/>
    </row>
    <row r="170" spans="4:10" ht="25.5" x14ac:dyDescent="0.2">
      <c r="D170" s="330" t="s">
        <v>808</v>
      </c>
      <c r="E170" s="332" t="s">
        <v>816</v>
      </c>
      <c r="F170" s="332" t="s">
        <v>824</v>
      </c>
      <c r="G170" s="333" t="s">
        <v>832</v>
      </c>
      <c r="H170" s="531" t="str">
        <f t="shared" si="15"/>
        <v>Breitenangabe bei Eckanlagen</v>
      </c>
      <c r="I170" s="451"/>
    </row>
    <row r="171" spans="4:10" ht="102" x14ac:dyDescent="0.2">
      <c r="D171" s="330" t="s">
        <v>809</v>
      </c>
      <c r="E171" s="333" t="s">
        <v>817</v>
      </c>
      <c r="F171" s="333" t="s">
        <v>825</v>
      </c>
      <c r="G171" s="333" t="s">
        <v>833</v>
      </c>
      <c r="H171" s="531" t="str">
        <f t="shared" si="15"/>
        <v>Wird eine Eckanlage eingegeben, erscheint bei der Angabe "Breite" automatisch ein neues Eingabefeld. Die Länge der einzelnen Fronten muss hier separat angegeben werden (Rahmenaussenmass). Die verschiedenen Fronten sind von links nach rechts anzugeben:</v>
      </c>
      <c r="I171" s="451"/>
    </row>
    <row r="172" spans="4:10" x14ac:dyDescent="0.2">
      <c r="D172" s="330" t="s">
        <v>810</v>
      </c>
      <c r="E172" s="332" t="s">
        <v>818</v>
      </c>
      <c r="F172" s="332" t="s">
        <v>826</v>
      </c>
      <c r="G172" s="333" t="s">
        <v>834</v>
      </c>
      <c r="H172" s="531" t="str">
        <f t="shared" si="15"/>
        <v>Rinnenlänge angeben</v>
      </c>
      <c r="I172" s="451"/>
    </row>
    <row r="173" spans="4:10" ht="140.25" x14ac:dyDescent="0.2">
      <c r="D173" s="442" t="s">
        <v>811</v>
      </c>
      <c r="E173" s="334" t="s">
        <v>819</v>
      </c>
      <c r="F173" s="333" t="s">
        <v>827</v>
      </c>
      <c r="G173" s="333" t="s">
        <v>835</v>
      </c>
      <c r="H173" s="531" t="str">
        <f t="shared" si="1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1"/>
    </row>
    <row r="174" spans="4:10" x14ac:dyDescent="0.2">
      <c r="D174" s="281" t="s">
        <v>16</v>
      </c>
      <c r="E174" s="316" t="s">
        <v>16</v>
      </c>
      <c r="F174" s="316" t="s">
        <v>16</v>
      </c>
      <c r="G174" s="317" t="s">
        <v>16</v>
      </c>
      <c r="H174" s="531" t="str">
        <f t="shared" si="15"/>
        <v>Standard</v>
      </c>
      <c r="I174" s="451"/>
      <c r="J174" s="280" t="str">
        <f>H174</f>
        <v>Standard</v>
      </c>
    </row>
    <row r="175" spans="4:10" x14ac:dyDescent="0.2">
      <c r="D175" s="281" t="s">
        <v>852</v>
      </c>
      <c r="E175" s="316" t="s">
        <v>853</v>
      </c>
      <c r="F175" s="316" t="s">
        <v>854</v>
      </c>
      <c r="G175" s="317" t="s">
        <v>855</v>
      </c>
      <c r="H175" s="531" t="str">
        <f t="shared" si="15"/>
        <v>Seaside (Pool/Meer)</v>
      </c>
      <c r="I175" s="451"/>
      <c r="J175" s="280" t="str">
        <f>H175</f>
        <v>Seaside (Pool/Meer)</v>
      </c>
    </row>
    <row r="176" spans="4:10" x14ac:dyDescent="0.2">
      <c r="D176" s="281" t="s">
        <v>862</v>
      </c>
      <c r="E176" s="316" t="s">
        <v>896</v>
      </c>
      <c r="F176" s="316" t="s">
        <v>863</v>
      </c>
      <c r="G176" s="317" t="s">
        <v>864</v>
      </c>
      <c r="H176" s="531" t="str">
        <f t="shared" si="15"/>
        <v>Pulverlack Klasse:</v>
      </c>
      <c r="I176" s="451"/>
    </row>
    <row r="177" spans="4:10" x14ac:dyDescent="0.2">
      <c r="D177" s="281" t="s">
        <v>860</v>
      </c>
      <c r="E177" s="316" t="s">
        <v>860</v>
      </c>
      <c r="F177" s="316" t="s">
        <v>860</v>
      </c>
      <c r="G177" s="317" t="s">
        <v>860</v>
      </c>
      <c r="H177" s="531" t="str">
        <f t="shared" si="15"/>
        <v>Qualicoat 1</v>
      </c>
      <c r="I177" s="451"/>
      <c r="J177" s="280" t="str">
        <f t="shared" ref="J177:J178" si="16">H177</f>
        <v>Qualicoat 1</v>
      </c>
    </row>
    <row r="178" spans="4:10" x14ac:dyDescent="0.2">
      <c r="D178" s="281" t="s">
        <v>861</v>
      </c>
      <c r="E178" s="316" t="s">
        <v>861</v>
      </c>
      <c r="F178" s="316" t="s">
        <v>861</v>
      </c>
      <c r="G178" s="317" t="s">
        <v>861</v>
      </c>
      <c r="H178" s="531" t="str">
        <f t="shared" si="15"/>
        <v>Qualicoat 2</v>
      </c>
      <c r="I178" s="451"/>
      <c r="J178" s="280" t="str">
        <f t="shared" si="16"/>
        <v>Qualicoat 2</v>
      </c>
    </row>
    <row r="179" spans="4:10" x14ac:dyDescent="0.2">
      <c r="D179" s="281" t="s">
        <v>888</v>
      </c>
      <c r="E179" s="316" t="s">
        <v>889</v>
      </c>
      <c r="F179" s="316" t="s">
        <v>890</v>
      </c>
      <c r="G179" s="317" t="s">
        <v>891</v>
      </c>
      <c r="H179" s="531" t="str">
        <f t="shared" si="15"/>
        <v>Übersicht:</v>
      </c>
      <c r="I179" s="451"/>
    </row>
    <row r="180" spans="4:10" x14ac:dyDescent="0.2">
      <c r="D180" s="281" t="s">
        <v>875</v>
      </c>
      <c r="E180" s="316" t="s">
        <v>876</v>
      </c>
      <c r="F180" s="316" t="s">
        <v>877</v>
      </c>
      <c r="G180" s="317" t="s">
        <v>878</v>
      </c>
      <c r="H180" s="531" t="str">
        <f t="shared" si="15"/>
        <v>VE</v>
      </c>
      <c r="I180" s="451"/>
    </row>
    <row r="181" spans="4:10" x14ac:dyDescent="0.2">
      <c r="D181" s="281" t="s">
        <v>893</v>
      </c>
      <c r="E181" s="316" t="s">
        <v>947</v>
      </c>
      <c r="F181" s="316" t="s">
        <v>954</v>
      </c>
      <c r="G181" s="317" t="s">
        <v>922</v>
      </c>
      <c r="H181" s="531" t="str">
        <f t="shared" ref="H181:H205" si="17">IF($B$3=$A$3,D181,IF($B$3=$A$4,E181,IF($B$3=$A$5,F181,IF($B$3=$A$6,G181,""))))</f>
        <v>Sky-Frame Beratung vorhanden:</v>
      </c>
      <c r="I181" s="451"/>
    </row>
    <row r="182" spans="4:10" x14ac:dyDescent="0.2">
      <c r="D182" s="281" t="s">
        <v>895</v>
      </c>
      <c r="E182" s="316" t="s">
        <v>948</v>
      </c>
      <c r="F182" s="316" t="s">
        <v>955</v>
      </c>
      <c r="G182" s="317" t="s">
        <v>921</v>
      </c>
      <c r="H182" s="531" t="str">
        <f t="shared" si="17"/>
        <v>Beratungsnummer: (z.B. P123456)</v>
      </c>
      <c r="I182" s="451"/>
    </row>
    <row r="183" spans="4:10" x14ac:dyDescent="0.2">
      <c r="D183" s="281" t="s">
        <v>897</v>
      </c>
      <c r="E183" s="316" t="s">
        <v>900</v>
      </c>
      <c r="F183" s="316" t="s">
        <v>956</v>
      </c>
      <c r="G183" s="317" t="s">
        <v>920</v>
      </c>
      <c r="H183" s="531" t="str">
        <f t="shared" si="17"/>
        <v>Inch-Rechner</v>
      </c>
      <c r="I183" s="451"/>
    </row>
    <row r="184" spans="4:10" x14ac:dyDescent="0.2">
      <c r="D184" s="281" t="s">
        <v>899</v>
      </c>
      <c r="E184" s="316" t="s">
        <v>901</v>
      </c>
      <c r="F184" s="316" t="s">
        <v>957</v>
      </c>
      <c r="G184" s="317" t="s">
        <v>919</v>
      </c>
      <c r="H184" s="531" t="str">
        <f t="shared" si="17"/>
        <v>Fuss:</v>
      </c>
      <c r="I184" s="451"/>
    </row>
    <row r="185" spans="4:10" x14ac:dyDescent="0.2">
      <c r="D185" s="281" t="s">
        <v>898</v>
      </c>
      <c r="E185" s="316" t="s">
        <v>902</v>
      </c>
      <c r="F185" s="316" t="s">
        <v>958</v>
      </c>
      <c r="G185" s="317" t="s">
        <v>918</v>
      </c>
      <c r="H185" s="531" t="str">
        <f t="shared" si="17"/>
        <v>Zoll:</v>
      </c>
      <c r="I185" s="451"/>
    </row>
    <row r="186" spans="4:10" x14ac:dyDescent="0.2">
      <c r="D186" s="281" t="s">
        <v>903</v>
      </c>
      <c r="E186" s="316" t="s">
        <v>949</v>
      </c>
      <c r="F186" s="316" t="s">
        <v>959</v>
      </c>
      <c r="G186" s="317" t="s">
        <v>917</v>
      </c>
      <c r="H186" s="531" t="str">
        <f t="shared" si="17"/>
        <v>Bemassung Bahnhof</v>
      </c>
      <c r="I186" s="451"/>
    </row>
    <row r="187" spans="4:10" ht="102" x14ac:dyDescent="0.2">
      <c r="D187" s="442" t="s">
        <v>904</v>
      </c>
      <c r="E187" s="334" t="s">
        <v>952</v>
      </c>
      <c r="F187" s="334" t="s">
        <v>953</v>
      </c>
      <c r="G187" s="443" t="s">
        <v>914</v>
      </c>
      <c r="H187" s="531"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51"/>
    </row>
    <row r="188" spans="4:10" x14ac:dyDescent="0.2">
      <c r="D188" s="281" t="s">
        <v>905</v>
      </c>
      <c r="E188" s="316" t="s">
        <v>950</v>
      </c>
      <c r="F188" s="316" t="s">
        <v>960</v>
      </c>
      <c r="G188" s="317" t="s">
        <v>916</v>
      </c>
      <c r="H188" s="531" t="str">
        <f t="shared" si="17"/>
        <v>Bahnhof Typ 1:</v>
      </c>
      <c r="I188" s="451"/>
    </row>
    <row r="189" spans="4:10" x14ac:dyDescent="0.2">
      <c r="D189" s="281" t="s">
        <v>906</v>
      </c>
      <c r="E189" s="316" t="s">
        <v>951</v>
      </c>
      <c r="F189" s="316" t="s">
        <v>961</v>
      </c>
      <c r="G189" s="317" t="s">
        <v>915</v>
      </c>
      <c r="H189" s="531" t="str">
        <f t="shared" si="17"/>
        <v>Bahnhof Typ 2:</v>
      </c>
      <c r="I189" s="451"/>
    </row>
    <row r="190" spans="4:10" x14ac:dyDescent="0.2">
      <c r="D190" s="281" t="s">
        <v>908</v>
      </c>
      <c r="E190" s="316" t="s">
        <v>286</v>
      </c>
      <c r="F190" s="316" t="s">
        <v>304</v>
      </c>
      <c r="G190" s="317" t="s">
        <v>315</v>
      </c>
      <c r="H190" s="531" t="str">
        <f t="shared" si="17"/>
        <v>schwarz</v>
      </c>
      <c r="I190" s="451"/>
    </row>
    <row r="191" spans="4:10" x14ac:dyDescent="0.2">
      <c r="D191" s="281" t="s">
        <v>696</v>
      </c>
      <c r="E191" s="316" t="s">
        <v>911</v>
      </c>
      <c r="F191" s="316" t="s">
        <v>910</v>
      </c>
      <c r="G191" s="317" t="s">
        <v>909</v>
      </c>
      <c r="H191" s="531" t="str">
        <f t="shared" si="17"/>
        <v>Rahmenfarbe</v>
      </c>
      <c r="I191" s="451"/>
    </row>
    <row r="192" spans="4:10" x14ac:dyDescent="0.2">
      <c r="D192" s="281" t="s">
        <v>908</v>
      </c>
      <c r="E192" s="316" t="s">
        <v>286</v>
      </c>
      <c r="F192" s="316" t="s">
        <v>304</v>
      </c>
      <c r="G192" s="317" t="s">
        <v>315</v>
      </c>
      <c r="H192" s="531" t="str">
        <f t="shared" si="17"/>
        <v>schwarz</v>
      </c>
      <c r="I192" s="451"/>
    </row>
    <row r="193" spans="4:9" x14ac:dyDescent="0.2">
      <c r="D193" s="281" t="s">
        <v>930</v>
      </c>
      <c r="E193" s="316" t="s">
        <v>931</v>
      </c>
      <c r="F193" s="316" t="s">
        <v>962</v>
      </c>
      <c r="G193" s="317" t="s">
        <v>966</v>
      </c>
      <c r="H193" s="531" t="str">
        <f t="shared" si="17"/>
        <v>Sonstiges:</v>
      </c>
      <c r="I193" s="451"/>
    </row>
    <row r="194" spans="4:9" x14ac:dyDescent="0.2">
      <c r="D194" s="281" t="s">
        <v>946</v>
      </c>
      <c r="E194" s="316" t="s">
        <v>942</v>
      </c>
      <c r="F194" s="316" t="s">
        <v>968</v>
      </c>
      <c r="G194" s="317" t="s">
        <v>967</v>
      </c>
      <c r="H194" s="531" t="str">
        <f t="shared" si="17"/>
        <v>Sichtbare Rahmenprofile (aussen):</v>
      </c>
      <c r="I194" s="451"/>
    </row>
    <row r="195" spans="4:9" x14ac:dyDescent="0.2">
      <c r="D195" s="281" t="s">
        <v>941</v>
      </c>
      <c r="E195" s="316" t="s">
        <v>940</v>
      </c>
      <c r="F195" s="316" t="s">
        <v>969</v>
      </c>
      <c r="G195" s="317" t="s">
        <v>970</v>
      </c>
      <c r="H195" s="531" t="str">
        <f t="shared" si="17"/>
        <v>Lieferung Glas und Rahmen:</v>
      </c>
      <c r="I195" s="451"/>
    </row>
    <row r="196" spans="4:9" x14ac:dyDescent="0.2">
      <c r="D196" s="281" t="s">
        <v>932</v>
      </c>
      <c r="E196" s="316" t="s">
        <v>938</v>
      </c>
      <c r="F196" s="316" t="s">
        <v>963</v>
      </c>
      <c r="G196" s="317" t="s">
        <v>971</v>
      </c>
      <c r="H196" s="531" t="str">
        <f t="shared" si="17"/>
        <v>zusammen</v>
      </c>
      <c r="I196" s="451"/>
    </row>
    <row r="197" spans="4:9" x14ac:dyDescent="0.2">
      <c r="D197" s="281" t="s">
        <v>933</v>
      </c>
      <c r="E197" s="316" t="s">
        <v>939</v>
      </c>
      <c r="F197" s="316" t="s">
        <v>964</v>
      </c>
      <c r="G197" s="317" t="s">
        <v>972</v>
      </c>
      <c r="H197" s="531" t="str">
        <f t="shared" si="17"/>
        <v>getrennt</v>
      </c>
      <c r="I197" s="451"/>
    </row>
    <row r="198" spans="4:9" x14ac:dyDescent="0.2">
      <c r="D198" s="281" t="s">
        <v>934</v>
      </c>
      <c r="E198" s="316" t="s">
        <v>936</v>
      </c>
      <c r="F198" s="316" t="s">
        <v>936</v>
      </c>
      <c r="G198" s="317" t="s">
        <v>973</v>
      </c>
      <c r="H198" s="531" t="str">
        <f t="shared" si="17"/>
        <v>sichtbar</v>
      </c>
      <c r="I198" s="451"/>
    </row>
    <row r="199" spans="4:9" x14ac:dyDescent="0.2">
      <c r="D199" s="281" t="s">
        <v>935</v>
      </c>
      <c r="E199" s="316" t="s">
        <v>937</v>
      </c>
      <c r="F199" s="316" t="s">
        <v>965</v>
      </c>
      <c r="G199" s="317" t="s">
        <v>974</v>
      </c>
      <c r="H199" s="531" t="str">
        <f t="shared" si="17"/>
        <v>nicht sichtbar</v>
      </c>
      <c r="I199" s="451"/>
    </row>
    <row r="200" spans="4:9" x14ac:dyDescent="0.2">
      <c r="D200" s="281"/>
      <c r="E200" s="316"/>
      <c r="F200" s="316"/>
      <c r="G200" s="317"/>
      <c r="H200" s="531">
        <f t="shared" si="17"/>
        <v>0</v>
      </c>
      <c r="I200" s="451"/>
    </row>
    <row r="201" spans="4:9" x14ac:dyDescent="0.2">
      <c r="D201" s="281"/>
      <c r="E201" s="316"/>
      <c r="F201" s="316"/>
      <c r="G201" s="317"/>
      <c r="H201" s="531">
        <f t="shared" si="17"/>
        <v>0</v>
      </c>
      <c r="I201" s="451"/>
    </row>
    <row r="202" spans="4:9" x14ac:dyDescent="0.2">
      <c r="D202" s="281"/>
      <c r="E202" s="316"/>
      <c r="F202" s="316"/>
      <c r="G202" s="317"/>
      <c r="H202" s="531">
        <f t="shared" si="17"/>
        <v>0</v>
      </c>
      <c r="I202" s="451"/>
    </row>
    <row r="203" spans="4:9" x14ac:dyDescent="0.2">
      <c r="D203" s="281"/>
      <c r="E203" s="316"/>
      <c r="F203" s="316"/>
      <c r="G203" s="317"/>
      <c r="H203" s="531">
        <f t="shared" si="17"/>
        <v>0</v>
      </c>
      <c r="I203" s="451"/>
    </row>
    <row r="204" spans="4:9" x14ac:dyDescent="0.2">
      <c r="D204" s="281"/>
      <c r="E204" s="316"/>
      <c r="F204" s="316"/>
      <c r="G204" s="317"/>
      <c r="H204" s="531">
        <f t="shared" si="17"/>
        <v>0</v>
      </c>
      <c r="I204" s="451"/>
    </row>
    <row r="205" spans="4:9" x14ac:dyDescent="0.2">
      <c r="D205" s="281"/>
      <c r="E205" s="316"/>
      <c r="F205" s="316"/>
      <c r="G205" s="317"/>
      <c r="H205" s="531">
        <f t="shared" si="17"/>
        <v>0</v>
      </c>
      <c r="I205" s="451"/>
    </row>
  </sheetData>
  <mergeCells count="5">
    <mergeCell ref="AB4:AB18"/>
    <mergeCell ref="N40:P40"/>
    <mergeCell ref="M60:M61"/>
    <mergeCell ref="L85:M85"/>
    <mergeCell ref="B87:C87"/>
  </mergeCells>
  <dataValidations count="1">
    <dataValidation type="list" allowBlank="1" showInputMessage="1" showErrorMessage="1" sqref="P38" xr:uid="{64538F57-531B-45C3-8329-8A32389F8111}">
      <formula1>$O$45:$O$46</formula1>
    </dataValidation>
  </dataValidation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FA5C-9286-4958-A24D-EE6839EB1F4E}">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6" width="5.5703125" style="141" customWidth="1"/>
    <col min="57" max="57" width="5.140625" style="141" customWidth="1"/>
    <col min="58" max="58" width="1.85546875" style="141" customWidth="1"/>
    <col min="59" max="59" width="5.7109375" style="141" customWidth="1"/>
    <col min="60" max="60" width="6.28515625" style="141" customWidth="1"/>
    <col min="61" max="61" width="5.85546875" style="141" customWidth="1"/>
    <col min="62" max="64" width="11.42578125" style="141" hidden="1" customWidth="1"/>
    <col min="65" max="16384" width="11.42578125" style="141"/>
  </cols>
  <sheetData>
    <row r="1" spans="1:64" ht="13.5" thickBot="1" x14ac:dyDescent="0.25">
      <c r="A1" s="159" t="s">
        <v>533</v>
      </c>
      <c r="C1" s="61"/>
      <c r="AW1" s="160"/>
    </row>
    <row r="2" spans="1:64" ht="13.5" thickTop="1" x14ac:dyDescent="0.2">
      <c r="B2" s="204">
        <v>2</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13"/>
      <c r="AW2" s="422"/>
      <c r="AX2" s="241"/>
      <c r="AY2" s="241"/>
      <c r="AZ2" s="241"/>
      <c r="BA2" s="241"/>
      <c r="BB2" s="359" t="str">
        <f>CONCATENATE(ROUND(SUM(I46:K49)*Z42/1000000,2)*AJ6,"m²")</f>
        <v>0m²</v>
      </c>
      <c r="BD2" s="240"/>
      <c r="BE2" s="241"/>
      <c r="BF2" s="241"/>
      <c r="BG2" s="241"/>
      <c r="BH2" s="241"/>
      <c r="BI2" s="242"/>
    </row>
    <row r="3" spans="1:64" ht="36.75" customHeight="1" x14ac:dyDescent="0.3">
      <c r="B3" s="20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42"/>
      <c r="AR3" s="84"/>
      <c r="AS3" s="84"/>
      <c r="AT3" s="143" t="s">
        <v>456</v>
      </c>
      <c r="AU3" s="115"/>
      <c r="AW3" s="243"/>
      <c r="AX3" s="244" t="str">
        <f>'Sprachen &amp; Rückgabewerte(2)'!$H$2</f>
        <v>Sprache:</v>
      </c>
      <c r="AY3" s="61"/>
      <c r="AZ3" s="61"/>
      <c r="BA3" s="61"/>
      <c r="BB3" s="378" t="str">
        <f>IF(AND(AJ6&gt;1),CONCATENATE(AH6," ",AJ6),"")</f>
        <v/>
      </c>
      <c r="BD3" s="243"/>
      <c r="BE3" s="416" t="str">
        <f>'Sprachen &amp; Rückgabewerte(2)'!H183</f>
        <v>Inch-Rechner</v>
      </c>
      <c r="BF3" s="416"/>
      <c r="BG3" s="61"/>
      <c r="BH3" s="61"/>
      <c r="BI3" s="245"/>
    </row>
    <row r="4" spans="1:64" ht="19.5" customHeight="1" x14ac:dyDescent="0.2">
      <c r="B4" s="111"/>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13"/>
      <c r="AW4" s="243"/>
      <c r="AX4" s="61"/>
      <c r="AY4" s="61"/>
      <c r="AZ4" s="61"/>
      <c r="BA4" s="61"/>
      <c r="BB4" s="245"/>
      <c r="BD4" s="243"/>
      <c r="BE4" s="156" t="str">
        <f>'Sprachen &amp; Rückgabewerte(2)'!H184</f>
        <v>Fuss:</v>
      </c>
      <c r="BF4" s="156"/>
      <c r="BG4" s="156" t="str">
        <f>'Sprachen &amp; Rückgabewerte(2)'!H185</f>
        <v>Zoll:</v>
      </c>
      <c r="BH4" s="61"/>
      <c r="BI4" s="245"/>
    </row>
    <row r="5" spans="1:64" ht="15" customHeight="1" x14ac:dyDescent="0.2">
      <c r="B5" s="60"/>
      <c r="C5" s="126"/>
      <c r="D5" s="127"/>
      <c r="E5" s="128" t="str">
        <f>'Sprachen &amp; Rückgabewerte(2)'!H4</f>
        <v>BESTELLUNG</v>
      </c>
      <c r="F5" s="127"/>
      <c r="G5" s="127"/>
      <c r="H5" s="127"/>
      <c r="I5" s="127"/>
      <c r="J5" s="127"/>
      <c r="K5" s="127"/>
      <c r="L5" s="127"/>
      <c r="M5" s="127"/>
      <c r="N5" s="127"/>
      <c r="O5" s="127"/>
      <c r="P5" s="127"/>
      <c r="Q5" s="127"/>
      <c r="R5" s="129"/>
      <c r="S5" s="680" t="str">
        <f>'Sprachen &amp; Rückgabewerte(2)'!$H$130</f>
        <v>Vertriebspartner:</v>
      </c>
      <c r="T5" s="681"/>
      <c r="U5" s="681"/>
      <c r="V5" s="681"/>
      <c r="W5" s="681"/>
      <c r="X5" s="682"/>
      <c r="Y5" s="689"/>
      <c r="Z5" s="690"/>
      <c r="AA5" s="690"/>
      <c r="AB5" s="690"/>
      <c r="AC5" s="690"/>
      <c r="AD5" s="690"/>
      <c r="AE5" s="690"/>
      <c r="AF5" s="691"/>
      <c r="AG5" s="144"/>
      <c r="AH5" s="130" t="str">
        <f>'Sprachen &amp; Rückgabewerte(2)'!H55</f>
        <v>Pos:</v>
      </c>
      <c r="AI5" s="145"/>
      <c r="AJ5" s="683"/>
      <c r="AK5" s="684"/>
      <c r="AL5" s="685"/>
      <c r="AM5" s="144"/>
      <c r="AN5" s="130" t="str">
        <f>'Sprachen &amp; Rückgabewerte(2)'!$H$10</f>
        <v>2-gleisig</v>
      </c>
      <c r="AO5" s="145"/>
      <c r="AP5" s="145"/>
      <c r="AQ5" s="145"/>
      <c r="AR5" s="145"/>
      <c r="AS5" s="145"/>
      <c r="AT5" s="189"/>
      <c r="AU5" s="114"/>
      <c r="AW5" s="243"/>
      <c r="AY5" s="61"/>
      <c r="AZ5" s="61"/>
      <c r="BA5" s="61"/>
      <c r="BB5" s="245"/>
      <c r="BD5" s="243"/>
      <c r="BE5" s="582"/>
      <c r="BF5" s="586" t="str">
        <f>"'"</f>
        <v>'</v>
      </c>
      <c r="BG5" s="584"/>
      <c r="BH5" s="414"/>
      <c r="BI5" s="245"/>
      <c r="BJ5" s="141">
        <f>BE5*304.8</f>
        <v>0</v>
      </c>
      <c r="BK5" s="141">
        <f>BG5*25.4</f>
        <v>0</v>
      </c>
      <c r="BL5" s="141">
        <f>IF(AND(BH5="",BH6=""),0,25.4*BH5/BH6)</f>
        <v>0</v>
      </c>
    </row>
    <row r="6" spans="1:64" ht="12" customHeight="1" x14ac:dyDescent="0.2">
      <c r="B6" s="60"/>
      <c r="C6" s="131"/>
      <c r="D6" s="132"/>
      <c r="E6" s="67"/>
      <c r="F6" s="132" t="str">
        <f>'Sprachen &amp; Rückgabewerte(2)'!$H$5</f>
        <v>Gemäss Zeichnung Nr.:</v>
      </c>
      <c r="G6" s="132"/>
      <c r="H6" s="132"/>
      <c r="I6" s="132"/>
      <c r="J6" s="132"/>
      <c r="K6" s="132"/>
      <c r="L6" s="146"/>
      <c r="M6" s="546"/>
      <c r="N6" s="547"/>
      <c r="O6" s="547"/>
      <c r="P6" s="547"/>
      <c r="Q6" s="548"/>
      <c r="R6" s="133"/>
      <c r="S6" s="134" t="str">
        <f>'Sprachen &amp; Rückgabewerte(2)'!$H$7</f>
        <v xml:space="preserve">Objekt: </v>
      </c>
      <c r="T6" s="132"/>
      <c r="U6" s="132"/>
      <c r="V6" s="132"/>
      <c r="W6" s="132"/>
      <c r="X6" s="91"/>
      <c r="Y6" s="686"/>
      <c r="Z6" s="687"/>
      <c r="AA6" s="687"/>
      <c r="AB6" s="687"/>
      <c r="AC6" s="687"/>
      <c r="AD6" s="687"/>
      <c r="AE6" s="687"/>
      <c r="AF6" s="688"/>
      <c r="AG6" s="133"/>
      <c r="AH6" s="134" t="str">
        <f>'Sprachen &amp; Rückgabewerte(2)'!H56</f>
        <v>Stück:</v>
      </c>
      <c r="AI6" s="132"/>
      <c r="AJ6" s="692"/>
      <c r="AK6" s="693"/>
      <c r="AL6" s="694"/>
      <c r="AM6" s="116"/>
      <c r="AN6" s="134" t="str">
        <f>'Sprachen &amp; Rückgabewerte(2)'!$H$11</f>
        <v>3-gleisig</v>
      </c>
      <c r="AO6" s="132"/>
      <c r="AP6" s="132"/>
      <c r="AQ6" s="132"/>
      <c r="AR6" s="132"/>
      <c r="AS6" s="132"/>
      <c r="AT6" s="133"/>
      <c r="AU6" s="114"/>
      <c r="AW6" s="243"/>
      <c r="AY6" s="61"/>
      <c r="AZ6" s="61"/>
      <c r="BA6" s="61"/>
      <c r="BB6" s="245"/>
      <c r="BD6" s="243"/>
      <c r="BE6" s="583"/>
      <c r="BF6" s="586"/>
      <c r="BG6" s="585"/>
      <c r="BH6" s="415"/>
      <c r="BI6" s="245"/>
    </row>
    <row r="7" spans="1:64" ht="12" customHeight="1" x14ac:dyDescent="0.2">
      <c r="B7" s="60"/>
      <c r="C7" s="131"/>
      <c r="D7" s="132"/>
      <c r="E7" s="67"/>
      <c r="F7" s="132" t="str">
        <f>'Sprachen &amp; Rückgabewerte(2)'!$H$6</f>
        <v>Gemäss Skizze: (Ansicht von Aussen)</v>
      </c>
      <c r="G7" s="132"/>
      <c r="H7" s="132"/>
      <c r="I7" s="132"/>
      <c r="J7" s="132"/>
      <c r="K7" s="132"/>
      <c r="L7" s="132"/>
      <c r="M7" s="132"/>
      <c r="N7" s="132"/>
      <c r="O7" s="132"/>
      <c r="P7" s="132"/>
      <c r="Q7" s="132"/>
      <c r="R7" s="133"/>
      <c r="S7" s="134" t="str">
        <f>'Sprachen &amp; Rückgabewerte(2)'!$H$8</f>
        <v>Bestelldatum:</v>
      </c>
      <c r="T7" s="132"/>
      <c r="U7" s="132"/>
      <c r="V7" s="132"/>
      <c r="W7" s="132"/>
      <c r="X7" s="91"/>
      <c r="Y7" s="673"/>
      <c r="Z7" s="674"/>
      <c r="AA7" s="674"/>
      <c r="AB7" s="674"/>
      <c r="AC7" s="674"/>
      <c r="AD7" s="674"/>
      <c r="AE7" s="674"/>
      <c r="AF7" s="675"/>
      <c r="AG7" s="147"/>
      <c r="AH7" s="134" t="str">
        <f>'Sprachen &amp; Rückgabewerte(2)'!H57</f>
        <v>Seite:</v>
      </c>
      <c r="AI7" s="148"/>
      <c r="AJ7" s="683"/>
      <c r="AK7" s="684"/>
      <c r="AL7" s="685"/>
      <c r="AM7" s="116"/>
      <c r="AN7" s="134" t="str">
        <f>IF($AT$5="",'Sprachen &amp; Rückgabewerte(2)'!$H$12,'Sprachen &amp; Rückgabewerte(2)'!$H$133)</f>
        <v>4-gleisig</v>
      </c>
      <c r="AO7" s="91"/>
      <c r="AP7" s="146"/>
      <c r="AQ7" s="146"/>
      <c r="AR7" s="146"/>
      <c r="AS7" s="146"/>
      <c r="AT7" s="133"/>
      <c r="AU7" s="114"/>
      <c r="AW7" s="243"/>
      <c r="AX7" s="155" t="str">
        <f>'Sprachen &amp; Rückgabewerte(2)'!H193</f>
        <v>Sonstiges:</v>
      </c>
      <c r="AY7" s="61"/>
      <c r="AZ7" s="61"/>
      <c r="BA7" s="61"/>
      <c r="BB7" s="245"/>
      <c r="BD7" s="243"/>
      <c r="BE7" s="61"/>
      <c r="BF7" s="61"/>
      <c r="BG7" s="61"/>
      <c r="BH7" s="61"/>
      <c r="BI7" s="245"/>
    </row>
    <row r="8" spans="1:64" ht="7.5" customHeight="1" thickBot="1" x14ac:dyDescent="0.25">
      <c r="B8" s="60"/>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3"/>
      <c r="AX8" s="61"/>
      <c r="AY8" s="61"/>
      <c r="AZ8" s="61"/>
      <c r="BA8" s="61"/>
      <c r="BB8" s="245"/>
      <c r="BD8" s="243"/>
      <c r="BE8" s="61"/>
      <c r="BF8" s="61"/>
      <c r="BG8" s="61"/>
      <c r="BH8" s="61"/>
      <c r="BI8" s="245"/>
    </row>
    <row r="9" spans="1:64" ht="15" customHeight="1" thickTop="1" x14ac:dyDescent="0.2">
      <c r="A9" s="653" t="str">
        <f>IF('Sprachen &amp; Rückgabewerte(2)'!L62=1,'Sprachen &amp; Rückgabewerte(2)'!$H$132,"")</f>
        <v/>
      </c>
      <c r="B9" s="228"/>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4"/>
      <c r="AU9" s="114"/>
      <c r="AW9" s="243"/>
      <c r="AX9" s="426" t="str">
        <f>'Sprachen &amp; Rückgabewerte(2)'!H194</f>
        <v>Sichtbare Rahmenprofile (aussen):</v>
      </c>
      <c r="AY9" s="426"/>
      <c r="AZ9" s="617"/>
      <c r="BA9" s="619"/>
      <c r="BB9" s="245"/>
      <c r="BD9" s="243"/>
      <c r="BE9" s="587">
        <f>ROUND(SUM(BJ5,BK5,BL5),1)</f>
        <v>0</v>
      </c>
      <c r="BF9" s="588"/>
      <c r="BG9" s="589"/>
      <c r="BH9" s="156" t="s">
        <v>179</v>
      </c>
      <c r="BI9" s="245"/>
    </row>
    <row r="10" spans="1:64" ht="15" customHeight="1" thickBot="1" x14ac:dyDescent="0.25">
      <c r="A10" s="654"/>
      <c r="B10" s="228"/>
      <c r="C10" s="60"/>
      <c r="D10" s="61"/>
      <c r="E10" s="61"/>
      <c r="F10" s="676"/>
      <c r="G10" s="677"/>
      <c r="H10" s="61"/>
      <c r="I10" s="61"/>
      <c r="J10" s="676"/>
      <c r="K10" s="677"/>
      <c r="L10" s="61"/>
      <c r="M10" s="61"/>
      <c r="N10" s="676"/>
      <c r="O10" s="677"/>
      <c r="P10" s="61"/>
      <c r="Q10" s="61"/>
      <c r="R10" s="676"/>
      <c r="S10" s="677"/>
      <c r="T10" s="61"/>
      <c r="U10" s="61"/>
      <c r="V10" s="676"/>
      <c r="W10" s="677"/>
      <c r="X10" s="61"/>
      <c r="Y10" s="61"/>
      <c r="Z10" s="676"/>
      <c r="AA10" s="677"/>
      <c r="AB10" s="61"/>
      <c r="AC10" s="61"/>
      <c r="AD10" s="676"/>
      <c r="AE10" s="677"/>
      <c r="AF10" s="61"/>
      <c r="AG10" s="61"/>
      <c r="AH10" s="676"/>
      <c r="AI10" s="677"/>
      <c r="AJ10" s="61"/>
      <c r="AK10" s="61"/>
      <c r="AL10" s="676"/>
      <c r="AM10" s="677"/>
      <c r="AN10" s="61"/>
      <c r="AO10" s="61"/>
      <c r="AP10" s="676"/>
      <c r="AQ10" s="677"/>
      <c r="AR10" s="61"/>
      <c r="AS10" s="61"/>
      <c r="AT10" s="114"/>
      <c r="AU10" s="114"/>
      <c r="AW10" s="243"/>
      <c r="AX10" s="426" t="str">
        <f>'Sprachen &amp; Rückgabewerte(2)'!H195</f>
        <v>Lieferung Glas und Rahmen:</v>
      </c>
      <c r="AY10" s="426"/>
      <c r="AZ10" s="617"/>
      <c r="BA10" s="619"/>
      <c r="BB10" s="245"/>
      <c r="BD10" s="259"/>
      <c r="BE10" s="249"/>
      <c r="BF10" s="249"/>
      <c r="BG10" s="249"/>
      <c r="BH10" s="249"/>
      <c r="BI10" s="251"/>
    </row>
    <row r="11" spans="1:64" ht="15" customHeight="1" thickTop="1" thickBot="1" x14ac:dyDescent="0.25">
      <c r="A11" s="655"/>
      <c r="B11" s="228"/>
      <c r="C11" s="239">
        <f>COUNTBLANK(E11:AO11)</f>
        <v>37</v>
      </c>
      <c r="D11" s="61"/>
      <c r="E11" s="67"/>
      <c r="F11" s="67"/>
      <c r="G11" s="67"/>
      <c r="H11" s="162"/>
      <c r="I11" s="162"/>
      <c r="J11" s="67"/>
      <c r="K11" s="67"/>
      <c r="L11" s="162"/>
      <c r="M11" s="162"/>
      <c r="N11" s="67"/>
      <c r="O11" s="67"/>
      <c r="P11" s="162"/>
      <c r="Q11" s="162"/>
      <c r="R11" s="67"/>
      <c r="S11" s="67"/>
      <c r="T11" s="162"/>
      <c r="U11" s="162"/>
      <c r="V11" s="67"/>
      <c r="W11" s="67"/>
      <c r="X11" s="162"/>
      <c r="Y11" s="162"/>
      <c r="Z11" s="67"/>
      <c r="AA11" s="67"/>
      <c r="AB11" s="162"/>
      <c r="AC11" s="162"/>
      <c r="AD11" s="67"/>
      <c r="AE11" s="67"/>
      <c r="AF11" s="162"/>
      <c r="AG11" s="162"/>
      <c r="AH11" s="67"/>
      <c r="AI11" s="67"/>
      <c r="AJ11" s="162"/>
      <c r="AK11" s="162"/>
      <c r="AL11" s="67"/>
      <c r="AM11" s="67"/>
      <c r="AN11" s="162"/>
      <c r="AO11" s="162"/>
      <c r="AP11" s="67"/>
      <c r="AQ11" s="67"/>
      <c r="AR11" s="67"/>
      <c r="AS11" s="61"/>
      <c r="AT11" s="114"/>
      <c r="AU11" s="114"/>
      <c r="AW11" s="243"/>
      <c r="AY11" s="61"/>
      <c r="AZ11" s="61"/>
      <c r="BA11" s="61"/>
      <c r="BB11" s="245"/>
    </row>
    <row r="12" spans="1:64" ht="13.5" customHeight="1" thickTop="1" x14ac:dyDescent="0.2">
      <c r="B12" s="60"/>
      <c r="C12" s="60"/>
      <c r="D12" s="61"/>
      <c r="E12" s="95"/>
      <c r="F12" s="82"/>
      <c r="G12" s="82"/>
      <c r="H12" s="83" t="str">
        <f>IF(F10&lt;&gt;"",IF(AND(F10&gt;0,F10&lt;&gt;"F"),CONCATENATE('Sprachen &amp; Rückgabewerte(2)'!$C$28," ",'Sprachen &amp; Rückgabewerte(2)'!$C$29," ",'Sprachen &amp; Rückgabewerte(2)'!$C$30),'Sprachen &amp; Rückgabewerte(2)'!$C$30),"")</f>
        <v/>
      </c>
      <c r="I12" s="95"/>
      <c r="J12" s="82"/>
      <c r="K12" s="82"/>
      <c r="L12" s="83" t="str">
        <f>IF(J10&lt;&gt;"",IF(AND(J10&gt;0,J10&lt;&gt;"F"),CONCATENATE('Sprachen &amp; Rückgabewerte(2)'!$C$28," ",'Sprachen &amp; Rückgabewerte(2)'!$C$29," ",'Sprachen &amp; Rückgabewerte(2)'!$C$30),'Sprachen &amp; Rückgabewerte(2)'!$C$30),"")</f>
        <v/>
      </c>
      <c r="M12" s="95"/>
      <c r="N12" s="82"/>
      <c r="O12" s="82"/>
      <c r="P12" s="83" t="str">
        <f>IF(N10&lt;&gt;"",IF(AND(N10&gt;0,N10&lt;&gt;"F"),CONCATENATE('Sprachen &amp; Rückgabewerte(2)'!$C$28," ",'Sprachen &amp; Rückgabewerte(2)'!$C$29," ",'Sprachen &amp; Rückgabewerte(2)'!$C$30),'Sprachen &amp; Rückgabewerte(2)'!$C$30),"")</f>
        <v/>
      </c>
      <c r="Q12" s="95"/>
      <c r="R12" s="82"/>
      <c r="S12" s="82"/>
      <c r="T12" s="83" t="str">
        <f>IF(R10&lt;&gt;"",IF(AND(R10&gt;0,R10&lt;&gt;"F"),CONCATENATE('Sprachen &amp; Rückgabewerte(2)'!$C$28," ",'Sprachen &amp; Rückgabewerte(2)'!$C$29," ",'Sprachen &amp; Rückgabewerte(2)'!$C$30),'Sprachen &amp; Rückgabewerte(2)'!$C$30),"")</f>
        <v/>
      </c>
      <c r="U12" s="95"/>
      <c r="V12" s="82"/>
      <c r="W12" s="82"/>
      <c r="X12" s="83" t="str">
        <f>IF(V10&lt;&gt;"",IF(AND(V10&gt;0,V10&lt;&gt;"F"),CONCATENATE('Sprachen &amp; Rückgabewerte(2)'!$C$28," ",'Sprachen &amp; Rückgabewerte(2)'!$C$29," ",'Sprachen &amp; Rückgabewerte(2)'!$C$30),'Sprachen &amp; Rückgabewerte(2)'!$C$30),"")</f>
        <v/>
      </c>
      <c r="Y12" s="95"/>
      <c r="Z12" s="82"/>
      <c r="AA12" s="82"/>
      <c r="AB12" s="83" t="str">
        <f>IF(Z10&lt;&gt;"",IF(AND(Z10&gt;0,Z10&lt;&gt;"F"),CONCATENATE('Sprachen &amp; Rückgabewerte(2)'!$C$28," ",'Sprachen &amp; Rückgabewerte(2)'!$C$29," ",'Sprachen &amp; Rückgabewerte(2)'!$C$30),'Sprachen &amp; Rückgabewerte(2)'!$C$30),"")</f>
        <v/>
      </c>
      <c r="AC12" s="95"/>
      <c r="AD12" s="82"/>
      <c r="AE12" s="82"/>
      <c r="AF12" s="83" t="str">
        <f>IF(AD10&lt;&gt;"",IF(AND(AD10&gt;0,AD10&lt;&gt;"F"),CONCATENATE('Sprachen &amp; Rückgabewerte(2)'!$C$28," ",'Sprachen &amp; Rückgabewerte(2)'!$C$29," ",'Sprachen &amp; Rückgabewerte(2)'!$C$30),'Sprachen &amp; Rückgabewerte(2)'!$C$30),"")</f>
        <v/>
      </c>
      <c r="AG12" s="95"/>
      <c r="AH12" s="82"/>
      <c r="AI12" s="82"/>
      <c r="AJ12" s="83" t="str">
        <f>IF(AH10&lt;&gt;"",IF(AND(AH10&gt;0,AH10&lt;&gt;"F"),CONCATENATE('Sprachen &amp; Rückgabewerte(2)'!$C$28," ",'Sprachen &amp; Rückgabewerte(2)'!$C$29," ",'Sprachen &amp; Rückgabewerte(2)'!$C$30),'Sprachen &amp; Rückgabewerte(2)'!$C$30),"")</f>
        <v/>
      </c>
      <c r="AK12" s="95"/>
      <c r="AL12" s="82"/>
      <c r="AM12" s="82"/>
      <c r="AN12" s="83" t="str">
        <f>IF(AL10&lt;&gt;"",IF(AND(AL10&gt;0,AL10&lt;&gt;"F"),CONCATENATE('Sprachen &amp; Rückgabewerte(2)'!$C$28," ",'Sprachen &amp; Rückgabewerte(2)'!$C$29," ",'Sprachen &amp; Rückgabewerte(2)'!$C$30),'Sprachen &amp; Rückgabewerte(2)'!$C$30),"")</f>
        <v/>
      </c>
      <c r="AO12" s="95"/>
      <c r="AP12" s="82"/>
      <c r="AQ12" s="82"/>
      <c r="AR12" s="83" t="str">
        <f>IF(AP10&lt;&gt;"",IF(AND(AP10&gt;0,AP10&lt;&gt;"F"),CONCATENATE('Sprachen &amp; Rückgabewerte(2)'!$C$28," ",'Sprachen &amp; Rückgabewerte(2)'!$C$29," ",'Sprachen &amp; Rückgabewerte(2)'!$C$30),'Sprachen &amp; Rückgabewerte(2)'!$C$30),"")</f>
        <v/>
      </c>
      <c r="AS12" s="149"/>
      <c r="AT12" s="114"/>
      <c r="AU12" s="114"/>
      <c r="AW12" s="243"/>
      <c r="AX12" s="246"/>
      <c r="AY12" s="61"/>
      <c r="AZ12" s="61"/>
      <c r="BA12" s="61"/>
      <c r="BB12" s="245"/>
    </row>
    <row r="13" spans="1:64" ht="13.5" customHeight="1" x14ac:dyDescent="0.2">
      <c r="B13" s="60"/>
      <c r="C13" s="60"/>
      <c r="D13" s="61"/>
      <c r="E13" s="656" t="str">
        <f>IF(AND('Sprachen &amp; Rückgabewerte(2)'!$I$30=TRUE,$F$10="R"),'Sprachen &amp; Rückgabewerte(2)'!H60,"")</f>
        <v/>
      </c>
      <c r="F13" s="61"/>
      <c r="G13" s="61"/>
      <c r="H13" s="647" t="str">
        <f>IF(AND('Sprachen &amp; Rückgabewerte(2)'!$I$31=TRUE,$F$10="L",$J$10=""),'Sprachen &amp; Rückgabewerte(2)'!$H$60,"")</f>
        <v/>
      </c>
      <c r="I13" s="60"/>
      <c r="J13" s="61"/>
      <c r="K13" s="61"/>
      <c r="L13" s="647" t="str">
        <f>IF(AND('Sprachen &amp; Rückgabewerte(2)'!$I$31=TRUE,$J$10="L",$N$10=""),'Sprachen &amp; Rückgabewerte(2)'!$H$60,"")</f>
        <v/>
      </c>
      <c r="M13" s="60"/>
      <c r="N13" s="61"/>
      <c r="O13" s="61"/>
      <c r="P13" s="647" t="str">
        <f>IF(AND('Sprachen &amp; Rückgabewerte(2)'!$I$31=TRUE,$N$10="L",$R$10=""),'Sprachen &amp; Rückgabewerte(2)'!$H$60,"")</f>
        <v/>
      </c>
      <c r="Q13" s="60"/>
      <c r="R13" s="61"/>
      <c r="S13" s="61"/>
      <c r="T13" s="647" t="str">
        <f>IF(AND('Sprachen &amp; Rückgabewerte(2)'!$I$31=TRUE,$R$10="L",$V$10=""),'Sprachen &amp; Rückgabewerte(2)'!$H$60,"")</f>
        <v/>
      </c>
      <c r="U13" s="60"/>
      <c r="V13" s="61"/>
      <c r="W13" s="61"/>
      <c r="X13" s="647" t="str">
        <f>IF(AND('Sprachen &amp; Rückgabewerte(2)'!$I$31=TRUE,$V$10="L",$Z$10=""),'Sprachen &amp; Rückgabewerte(2)'!$H$60,"")</f>
        <v/>
      </c>
      <c r="Y13" s="60"/>
      <c r="Z13" s="61"/>
      <c r="AA13" s="61"/>
      <c r="AB13" s="647" t="str">
        <f>IF(AND('Sprachen &amp; Rückgabewerte(2)'!$I$31=TRUE,$Z$10="L",$AD$10=""),'Sprachen &amp; Rückgabewerte(2)'!$H$60,"")</f>
        <v/>
      </c>
      <c r="AC13" s="60"/>
      <c r="AD13" s="61"/>
      <c r="AE13" s="61"/>
      <c r="AF13" s="647" t="str">
        <f>IF(AND('Sprachen &amp; Rückgabewerte(2)'!$I$31=TRUE,$AD$10="L",$AH$10=""),'Sprachen &amp; Rückgabewerte(2)'!$H$60,"")</f>
        <v/>
      </c>
      <c r="AG13" s="60"/>
      <c r="AH13" s="61"/>
      <c r="AI13" s="61"/>
      <c r="AJ13" s="647" t="str">
        <f>IF(AND('Sprachen &amp; Rückgabewerte(2)'!$I$31=TRUE,$AH$10="L",$AL$10=""),'Sprachen &amp; Rückgabewerte(2)'!$H$60,"")</f>
        <v/>
      </c>
      <c r="AK13" s="60"/>
      <c r="AL13" s="61"/>
      <c r="AM13" s="61"/>
      <c r="AN13" s="647" t="str">
        <f>IF(AND('Sprachen &amp; Rückgabewerte(2)'!$I$31=TRUE,$AL$10="L",$AP$10=""),'Sprachen &amp; Rückgabewerte(2)'!$H$60,"")</f>
        <v/>
      </c>
      <c r="AO13" s="60"/>
      <c r="AP13" s="61"/>
      <c r="AQ13" s="61"/>
      <c r="AR13" s="647" t="str">
        <f>IF(AND('Sprachen &amp; Rückgabewerte(2)'!$I$31=TRUE,$AP$10="L"),'Sprachen &amp; Rückgabewerte(2)'!$H$60,"")</f>
        <v/>
      </c>
      <c r="AS13" s="150"/>
      <c r="AT13" s="114"/>
      <c r="AU13" s="114"/>
      <c r="AW13" s="243"/>
      <c r="AX13" s="61"/>
      <c r="AY13" s="61"/>
      <c r="AZ13" s="61"/>
      <c r="BA13" s="61"/>
      <c r="BB13" s="245"/>
    </row>
    <row r="14" spans="1:64" ht="13.5" customHeight="1" x14ac:dyDescent="0.2">
      <c r="B14" s="60"/>
      <c r="C14" s="60"/>
      <c r="D14" s="61"/>
      <c r="E14" s="656"/>
      <c r="F14" s="635" t="str">
        <f>IF(F10='Sprachen &amp; Rückgabewerte(2)'!$B$9,'Sprachen &amp; Rückgabewerte(2)'!$C$9,IF(F10='Sprachen &amp; Rückgabewerte(2)'!$B$10,'Sprachen &amp; Rückgabewerte(2)'!$C$10,IF(F10='Sprachen &amp; Rückgabewerte(2)'!$B$11,'Sprachen &amp; Rückgabewerte(2)'!$C$11,IF(F10='Sprachen &amp; Rückgabewerte(2)'!$B$12,'Sprachen &amp; Rückgabewerte(2)'!$C$12,IF(F10='Sprachen &amp; Rückgabewerte(2)'!$B$13,'Sprachen &amp; Rückgabewerte(2)'!$C$13,IF(F10='Sprachen &amp; Rückgabewerte(2)'!$B$14,'Sprachen &amp; Rückgabewerte(2)'!$C$14,""))))))</f>
        <v/>
      </c>
      <c r="G14" s="635"/>
      <c r="H14" s="647"/>
      <c r="I14" s="60"/>
      <c r="J14" s="635" t="str">
        <f>IF(J10='Sprachen &amp; Rückgabewerte(2)'!$B$9,'Sprachen &amp; Rückgabewerte(2)'!$C$9,IF(J10='Sprachen &amp; Rückgabewerte(2)'!$B$10,'Sprachen &amp; Rückgabewerte(2)'!$C$10,IF(J10='Sprachen &amp; Rückgabewerte(2)'!$B$11,'Sprachen &amp; Rückgabewerte(2)'!$C$11,IF(J10='Sprachen &amp; Rückgabewerte(2)'!$B$12,'Sprachen &amp; Rückgabewerte(2)'!$C$12,IF(J10='Sprachen &amp; Rückgabewerte(2)'!$B$13,'Sprachen &amp; Rückgabewerte(2)'!$C$13,IF(J10='Sprachen &amp; Rückgabewerte(2)'!$B$14,'Sprachen &amp; Rückgabewerte(2)'!$C$14,""))))))</f>
        <v/>
      </c>
      <c r="K14" s="635"/>
      <c r="L14" s="647"/>
      <c r="M14" s="60"/>
      <c r="N14" s="635" t="str">
        <f>IF(N10='Sprachen &amp; Rückgabewerte(2)'!$B$9,'Sprachen &amp; Rückgabewerte(2)'!$C$9,IF(N10='Sprachen &amp; Rückgabewerte(2)'!$B$10,'Sprachen &amp; Rückgabewerte(2)'!$C$10,IF(N10='Sprachen &amp; Rückgabewerte(2)'!$B$11,'Sprachen &amp; Rückgabewerte(2)'!$C$11,IF(N10='Sprachen &amp; Rückgabewerte(2)'!$B$12,'Sprachen &amp; Rückgabewerte(2)'!$C$12,IF(N10='Sprachen &amp; Rückgabewerte(2)'!$B$13,'Sprachen &amp; Rückgabewerte(2)'!$C$13,IF(N10='Sprachen &amp; Rückgabewerte(2)'!$B$14,'Sprachen &amp; Rückgabewerte(2)'!$C$14,""))))))</f>
        <v/>
      </c>
      <c r="O14" s="635"/>
      <c r="P14" s="647"/>
      <c r="Q14" s="60"/>
      <c r="R14" s="635" t="str">
        <f>IF(R10='Sprachen &amp; Rückgabewerte(2)'!$B$9,'Sprachen &amp; Rückgabewerte(2)'!$C$9,IF(R10='Sprachen &amp; Rückgabewerte(2)'!$B$10,'Sprachen &amp; Rückgabewerte(2)'!$C$10,IF(R10='Sprachen &amp; Rückgabewerte(2)'!$B$11,'Sprachen &amp; Rückgabewerte(2)'!$C$11,IF(R10='Sprachen &amp; Rückgabewerte(2)'!$B$12,'Sprachen &amp; Rückgabewerte(2)'!$C$12,IF(R10='Sprachen &amp; Rückgabewerte(2)'!$B$13,'Sprachen &amp; Rückgabewerte(2)'!$C$13,IF(R10='Sprachen &amp; Rückgabewerte(2)'!$B$14,'Sprachen &amp; Rückgabewerte(2)'!$C$14,""))))))</f>
        <v/>
      </c>
      <c r="S14" s="635"/>
      <c r="T14" s="647"/>
      <c r="U14" s="60"/>
      <c r="V14" s="635" t="str">
        <f>IF(V10='Sprachen &amp; Rückgabewerte(2)'!$B$9,'Sprachen &amp; Rückgabewerte(2)'!$C$9,IF(V10='Sprachen &amp; Rückgabewerte(2)'!$B$10,'Sprachen &amp; Rückgabewerte(2)'!$C$10,IF(V10='Sprachen &amp; Rückgabewerte(2)'!$B$11,'Sprachen &amp; Rückgabewerte(2)'!$C$11,IF(V10='Sprachen &amp; Rückgabewerte(2)'!$B$12,'Sprachen &amp; Rückgabewerte(2)'!$C$12,IF(V10='Sprachen &amp; Rückgabewerte(2)'!$B$13,'Sprachen &amp; Rückgabewerte(2)'!$C$13,IF(V10='Sprachen &amp; Rückgabewerte(2)'!$B$14,'Sprachen &amp; Rückgabewerte(2)'!$C$14,""))))))</f>
        <v/>
      </c>
      <c r="W14" s="635"/>
      <c r="X14" s="647"/>
      <c r="Y14" s="60"/>
      <c r="Z14" s="635" t="str">
        <f>IF(Z10='Sprachen &amp; Rückgabewerte(2)'!$B$9,'Sprachen &amp; Rückgabewerte(2)'!$C$9,IF(Z10='Sprachen &amp; Rückgabewerte(2)'!$B$10,'Sprachen &amp; Rückgabewerte(2)'!$C$10,IF(Z10='Sprachen &amp; Rückgabewerte(2)'!$B$11,'Sprachen &amp; Rückgabewerte(2)'!$C$11,IF(Z10='Sprachen &amp; Rückgabewerte(2)'!$B$12,'Sprachen &amp; Rückgabewerte(2)'!$C$12,IF(Z10='Sprachen &amp; Rückgabewerte(2)'!$B$13,'Sprachen &amp; Rückgabewerte(2)'!$C$13,IF(Z10='Sprachen &amp; Rückgabewerte(2)'!$B$14,'Sprachen &amp; Rückgabewerte(2)'!$C$14,""))))))</f>
        <v/>
      </c>
      <c r="AA14" s="635"/>
      <c r="AB14" s="647"/>
      <c r="AC14" s="60"/>
      <c r="AD14" s="635" t="str">
        <f>IF(AD10='Sprachen &amp; Rückgabewerte(2)'!$B$9,'Sprachen &amp; Rückgabewerte(2)'!$C$9,IF(AD10='Sprachen &amp; Rückgabewerte(2)'!$B$10,'Sprachen &amp; Rückgabewerte(2)'!$C$10,IF(AD10='Sprachen &amp; Rückgabewerte(2)'!$B$11,'Sprachen &amp; Rückgabewerte(2)'!$C$11,IF(AD10='Sprachen &amp; Rückgabewerte(2)'!$B$12,'Sprachen &amp; Rückgabewerte(2)'!$C$12,IF(AD10='Sprachen &amp; Rückgabewerte(2)'!$B$13,'Sprachen &amp; Rückgabewerte(2)'!$C$13,IF(AD10='Sprachen &amp; Rückgabewerte(2)'!$B$14,'Sprachen &amp; Rückgabewerte(2)'!$C$14,""))))))</f>
        <v/>
      </c>
      <c r="AE14" s="635"/>
      <c r="AF14" s="647"/>
      <c r="AG14" s="60"/>
      <c r="AH14" s="635" t="str">
        <f>IF(AH10='Sprachen &amp; Rückgabewerte(2)'!$B$9,'Sprachen &amp; Rückgabewerte(2)'!$C$9,IF(AH10='Sprachen &amp; Rückgabewerte(2)'!$B$10,'Sprachen &amp; Rückgabewerte(2)'!$C$10,IF(AH10='Sprachen &amp; Rückgabewerte(2)'!$B$11,'Sprachen &amp; Rückgabewerte(2)'!$C$11,IF(AH10='Sprachen &amp; Rückgabewerte(2)'!$B$12,'Sprachen &amp; Rückgabewerte(2)'!$C$12,IF(AH10='Sprachen &amp; Rückgabewerte(2)'!$B$13,'Sprachen &amp; Rückgabewerte(2)'!$C$13,IF(AH10='Sprachen &amp; Rückgabewerte(2)'!$B$14,'Sprachen &amp; Rückgabewerte(2)'!$C$14,""))))))</f>
        <v/>
      </c>
      <c r="AI14" s="635"/>
      <c r="AJ14" s="647"/>
      <c r="AK14" s="60"/>
      <c r="AL14" s="635" t="str">
        <f>IF(AL10='Sprachen &amp; Rückgabewerte(2)'!$B$9,'Sprachen &amp; Rückgabewerte(2)'!$C$9,IF(AL10='Sprachen &amp; Rückgabewerte(2)'!$B$10,'Sprachen &amp; Rückgabewerte(2)'!$C$10,IF(AL10='Sprachen &amp; Rückgabewerte(2)'!$B$11,'Sprachen &amp; Rückgabewerte(2)'!$C$11,IF(AL10='Sprachen &amp; Rückgabewerte(2)'!$B$12,'Sprachen &amp; Rückgabewerte(2)'!$C$12,IF(AL10='Sprachen &amp; Rückgabewerte(2)'!$B$13,'Sprachen &amp; Rückgabewerte(2)'!$C$13,IF(AL10='Sprachen &amp; Rückgabewerte(2)'!$B$14,'Sprachen &amp; Rückgabewerte(2)'!$C$14,""))))))</f>
        <v/>
      </c>
      <c r="AM14" s="635"/>
      <c r="AN14" s="647"/>
      <c r="AO14" s="60"/>
      <c r="AP14" s="635" t="str">
        <f>IF(AP10='Sprachen &amp; Rückgabewerte(2)'!$B$9,'Sprachen &amp; Rückgabewerte(2)'!$C$9,IF(AP10='Sprachen &amp; Rückgabewerte(2)'!$B$10,'Sprachen &amp; Rückgabewerte(2)'!$C$10,IF(AP10='Sprachen &amp; Rückgabewerte(2)'!$B$11,'Sprachen &amp; Rückgabewerte(2)'!$C$11,IF(AP10='Sprachen &amp; Rückgabewerte(2)'!$B$12,'Sprachen &amp; Rückgabewerte(2)'!$C$12,IF(AP10='Sprachen &amp; Rückgabewerte(2)'!$B$13,'Sprachen &amp; Rückgabewerte(2)'!$C$13,IF(AP10='Sprachen &amp; Rückgabewerte(2)'!$B$14,'Sprachen &amp; Rückgabewerte(2)'!$C$14,""))))))</f>
        <v/>
      </c>
      <c r="AQ14" s="635"/>
      <c r="AR14" s="647"/>
      <c r="AS14" s="149"/>
      <c r="AT14" s="114"/>
      <c r="AU14" s="114"/>
      <c r="AW14" s="243"/>
      <c r="AX14" s="155" t="str">
        <f>'Sprachen &amp; Rückgabewerte(2)'!H131</f>
        <v>Bemerkungen:</v>
      </c>
      <c r="AY14" s="61"/>
      <c r="AZ14" s="61"/>
      <c r="BA14" s="61"/>
      <c r="BB14" s="245"/>
    </row>
    <row r="15" spans="1:64" ht="13.5" customHeight="1" x14ac:dyDescent="0.2">
      <c r="B15" s="60"/>
      <c r="C15" s="60"/>
      <c r="D15" s="61"/>
      <c r="E15" s="656"/>
      <c r="F15" s="635"/>
      <c r="G15" s="635"/>
      <c r="H15" s="647"/>
      <c r="I15" s="60"/>
      <c r="J15" s="635"/>
      <c r="K15" s="635"/>
      <c r="L15" s="647"/>
      <c r="M15" s="60"/>
      <c r="N15" s="635"/>
      <c r="O15" s="635"/>
      <c r="P15" s="647"/>
      <c r="Q15" s="60"/>
      <c r="R15" s="635"/>
      <c r="S15" s="635"/>
      <c r="T15" s="647"/>
      <c r="U15" s="60"/>
      <c r="V15" s="635"/>
      <c r="W15" s="635"/>
      <c r="X15" s="647"/>
      <c r="Y15" s="60"/>
      <c r="Z15" s="635"/>
      <c r="AA15" s="635"/>
      <c r="AB15" s="647"/>
      <c r="AC15" s="60"/>
      <c r="AD15" s="635"/>
      <c r="AE15" s="635"/>
      <c r="AF15" s="647"/>
      <c r="AG15" s="60"/>
      <c r="AH15" s="635"/>
      <c r="AI15" s="635"/>
      <c r="AJ15" s="647"/>
      <c r="AK15" s="60"/>
      <c r="AL15" s="635"/>
      <c r="AM15" s="635"/>
      <c r="AN15" s="647"/>
      <c r="AO15" s="60"/>
      <c r="AP15" s="635"/>
      <c r="AQ15" s="635"/>
      <c r="AR15" s="647"/>
      <c r="AS15" s="61"/>
      <c r="AT15" s="114"/>
      <c r="AU15" s="114"/>
      <c r="AW15" s="243"/>
      <c r="AX15" s="637" t="s">
        <v>520</v>
      </c>
      <c r="AY15" s="638"/>
      <c r="AZ15" s="638"/>
      <c r="BA15" s="639"/>
      <c r="BB15" s="245"/>
    </row>
    <row r="16" spans="1:64" ht="13.5" customHeight="1" x14ac:dyDescent="0.2">
      <c r="B16" s="60"/>
      <c r="C16" s="60"/>
      <c r="D16" s="61"/>
      <c r="E16" s="656"/>
      <c r="F16" s="634"/>
      <c r="G16" s="634"/>
      <c r="H16" s="647"/>
      <c r="I16" s="60"/>
      <c r="J16" s="634"/>
      <c r="K16" s="634"/>
      <c r="L16" s="647"/>
      <c r="M16" s="60"/>
      <c r="N16" s="634"/>
      <c r="O16" s="634"/>
      <c r="P16" s="647"/>
      <c r="Q16" s="60"/>
      <c r="R16" s="634"/>
      <c r="S16" s="634"/>
      <c r="T16" s="647"/>
      <c r="U16" s="60"/>
      <c r="V16" s="634"/>
      <c r="W16" s="634"/>
      <c r="X16" s="647"/>
      <c r="Y16" s="60"/>
      <c r="Z16" s="634"/>
      <c r="AA16" s="634"/>
      <c r="AB16" s="647"/>
      <c r="AC16" s="60"/>
      <c r="AD16" s="634"/>
      <c r="AE16" s="634"/>
      <c r="AF16" s="647"/>
      <c r="AG16" s="60"/>
      <c r="AH16" s="634"/>
      <c r="AI16" s="634"/>
      <c r="AJ16" s="647"/>
      <c r="AK16" s="60"/>
      <c r="AL16" s="634"/>
      <c r="AM16" s="634"/>
      <c r="AN16" s="647"/>
      <c r="AO16" s="60"/>
      <c r="AP16" s="634"/>
      <c r="AQ16" s="634"/>
      <c r="AR16" s="647"/>
      <c r="AS16" s="61"/>
      <c r="AT16" s="114"/>
      <c r="AU16" s="114"/>
      <c r="AW16" s="247"/>
      <c r="AX16" s="640"/>
      <c r="AY16" s="641"/>
      <c r="AZ16" s="641"/>
      <c r="BA16" s="642"/>
      <c r="BB16" s="245"/>
    </row>
    <row r="17" spans="1:57" ht="13.5" customHeight="1" x14ac:dyDescent="0.2">
      <c r="B17" s="60"/>
      <c r="C17" s="60"/>
      <c r="D17" s="61"/>
      <c r="E17" s="656"/>
      <c r="F17" s="634"/>
      <c r="G17" s="634"/>
      <c r="H17" s="647"/>
      <c r="I17" s="60"/>
      <c r="J17" s="634"/>
      <c r="K17" s="634"/>
      <c r="L17" s="647"/>
      <c r="M17" s="60"/>
      <c r="N17" s="634"/>
      <c r="O17" s="634"/>
      <c r="P17" s="647"/>
      <c r="Q17" s="60"/>
      <c r="R17" s="634"/>
      <c r="S17" s="634"/>
      <c r="T17" s="647"/>
      <c r="U17" s="60"/>
      <c r="V17" s="634"/>
      <c r="W17" s="634"/>
      <c r="X17" s="647"/>
      <c r="Y17" s="60"/>
      <c r="Z17" s="634"/>
      <c r="AA17" s="634"/>
      <c r="AB17" s="647"/>
      <c r="AC17" s="60"/>
      <c r="AD17" s="634"/>
      <c r="AE17" s="634"/>
      <c r="AF17" s="647"/>
      <c r="AG17" s="60"/>
      <c r="AH17" s="634"/>
      <c r="AI17" s="634"/>
      <c r="AJ17" s="647"/>
      <c r="AK17" s="60"/>
      <c r="AL17" s="634"/>
      <c r="AM17" s="634"/>
      <c r="AN17" s="647"/>
      <c r="AO17" s="60"/>
      <c r="AP17" s="634"/>
      <c r="AQ17" s="634"/>
      <c r="AR17" s="647"/>
      <c r="AS17" s="61"/>
      <c r="AT17" s="114"/>
      <c r="AU17" s="114"/>
      <c r="AW17" s="247"/>
      <c r="AX17" s="640"/>
      <c r="AY17" s="641"/>
      <c r="AZ17" s="641"/>
      <c r="BA17" s="642"/>
      <c r="BB17" s="245"/>
    </row>
    <row r="18" spans="1:57" ht="13.5" customHeight="1" x14ac:dyDescent="0.2">
      <c r="B18" s="60"/>
      <c r="C18" s="60"/>
      <c r="D18" s="61"/>
      <c r="E18" s="656"/>
      <c r="F18" s="427"/>
      <c r="G18" s="427"/>
      <c r="H18" s="647"/>
      <c r="I18" s="60"/>
      <c r="J18" s="427"/>
      <c r="K18" s="427"/>
      <c r="L18" s="647"/>
      <c r="M18" s="60"/>
      <c r="N18" s="427"/>
      <c r="O18" s="427"/>
      <c r="P18" s="647"/>
      <c r="Q18" s="60"/>
      <c r="R18" s="427"/>
      <c r="S18" s="427"/>
      <c r="T18" s="647"/>
      <c r="U18" s="60"/>
      <c r="V18" s="427"/>
      <c r="W18" s="427"/>
      <c r="X18" s="647"/>
      <c r="Y18" s="60"/>
      <c r="Z18" s="427"/>
      <c r="AA18" s="427"/>
      <c r="AB18" s="647"/>
      <c r="AC18" s="60"/>
      <c r="AD18" s="427"/>
      <c r="AE18" s="427"/>
      <c r="AF18" s="647"/>
      <c r="AG18" s="60"/>
      <c r="AH18" s="427"/>
      <c r="AI18" s="427"/>
      <c r="AJ18" s="647"/>
      <c r="AK18" s="60"/>
      <c r="AL18" s="427"/>
      <c r="AM18" s="427"/>
      <c r="AN18" s="647"/>
      <c r="AO18" s="60"/>
      <c r="AP18" s="427"/>
      <c r="AQ18" s="427"/>
      <c r="AR18" s="647"/>
      <c r="AS18" s="61"/>
      <c r="AT18" s="114"/>
      <c r="AU18" s="114"/>
      <c r="AW18" s="247"/>
      <c r="AX18" s="643"/>
      <c r="AY18" s="644"/>
      <c r="AZ18" s="644"/>
      <c r="BA18" s="645"/>
      <c r="BB18" s="245"/>
    </row>
    <row r="19" spans="1:57" ht="13.5" customHeight="1" x14ac:dyDescent="0.2">
      <c r="B19" s="60"/>
      <c r="C19" s="60"/>
      <c r="D19" s="61"/>
      <c r="E19" s="657"/>
      <c r="F19" s="84"/>
      <c r="G19" s="84"/>
      <c r="H19" s="648"/>
      <c r="I19" s="68"/>
      <c r="J19" s="84"/>
      <c r="K19" s="84"/>
      <c r="L19" s="648"/>
      <c r="M19" s="68"/>
      <c r="N19" s="84"/>
      <c r="O19" s="84"/>
      <c r="P19" s="648"/>
      <c r="Q19" s="68"/>
      <c r="R19" s="84"/>
      <c r="S19" s="84"/>
      <c r="T19" s="648"/>
      <c r="U19" s="68"/>
      <c r="V19" s="84"/>
      <c r="W19" s="84"/>
      <c r="X19" s="648"/>
      <c r="Y19" s="68"/>
      <c r="Z19" s="84"/>
      <c r="AA19" s="84"/>
      <c r="AB19" s="648"/>
      <c r="AC19" s="68"/>
      <c r="AD19" s="84"/>
      <c r="AE19" s="84"/>
      <c r="AF19" s="648"/>
      <c r="AG19" s="68"/>
      <c r="AH19" s="84"/>
      <c r="AI19" s="84"/>
      <c r="AJ19" s="648"/>
      <c r="AK19" s="68"/>
      <c r="AL19" s="84"/>
      <c r="AM19" s="84"/>
      <c r="AN19" s="648"/>
      <c r="AO19" s="68"/>
      <c r="AP19" s="84"/>
      <c r="AQ19" s="84"/>
      <c r="AR19" s="648"/>
      <c r="AS19" s="61"/>
      <c r="AT19" s="114"/>
      <c r="AU19" s="114"/>
      <c r="AW19" s="247"/>
      <c r="AX19" s="561" t="str">
        <f>IF('Sprachen &amp; Rückgabewerte(2)'!U83=FALSE,'Sprachen &amp; Rückgabewerte(2)'!H155,'Sprachen &amp; Rückgabewerte(2)'!H156)</f>
        <v>Bestellformular unvollständig!</v>
      </c>
      <c r="AY19" s="561"/>
      <c r="AZ19" s="561"/>
      <c r="BA19" s="561"/>
      <c r="BB19" s="245"/>
    </row>
    <row r="20" spans="1:57" ht="13.5" customHeight="1" thickBot="1" x14ac:dyDescent="0.25">
      <c r="B20" s="60"/>
      <c r="C20" s="60"/>
      <c r="D20" s="61"/>
      <c r="E20" s="61"/>
      <c r="F20" s="91" t="str">
        <f>'Sprachen &amp; Rückgabewerte(2)'!$H$124</f>
        <v>Ecke:</v>
      </c>
      <c r="G20" s="679"/>
      <c r="H20" s="679"/>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79"/>
      <c r="AP20" s="679"/>
      <c r="AQ20" s="61"/>
      <c r="AR20" s="62"/>
      <c r="AS20" s="61"/>
      <c r="AT20" s="114"/>
      <c r="AU20" s="114"/>
      <c r="AW20" s="248"/>
      <c r="AX20" s="562"/>
      <c r="AY20" s="562"/>
      <c r="AZ20" s="562"/>
      <c r="BA20" s="562"/>
      <c r="BB20" s="251"/>
    </row>
    <row r="21" spans="1:57" ht="13.5" customHeight="1" thickTop="1" thickBot="1" x14ac:dyDescent="0.25">
      <c r="B21" s="60"/>
      <c r="C21" s="60"/>
      <c r="D21" s="61"/>
      <c r="E21" s="64"/>
      <c r="F21" s="91" t="str">
        <f>IF(OR(G20='Sprachen &amp; Rückgabewerte(2)'!$H$106,G20='Sprachen &amp; Rückgabewerte(2)'!$H$107,K20='Sprachen &amp; Rückgabewerte(2)'!$H$106,K20='Sprachen &amp; Rückgabewerte(2)'!$H$107,O20='Sprachen &amp; Rückgabewerte(2)'!$H$106,O20='Sprachen &amp; Rückgabewerte(2)'!$H$107,S20='Sprachen &amp; Rückgabewerte(2)'!$H$106,S20='Sprachen &amp; Rückgabewerte(2)'!$H$107,W20='Sprachen &amp; Rückgabewerte(2)'!$H$106,W20='Sprachen &amp; Rückgabewerte(2)'!$H$107,AA20='Sprachen &amp; Rückgabewerte(2)'!$H$106,AA20='Sprachen &amp; Rückgabewerte(2)'!$H$107,AE20='Sprachen &amp; Rückgabewerte(2)'!$H$106,AE20='Sprachen &amp; Rückgabewerte(2)'!$H$107,AI20='Sprachen &amp; Rückgabewerte(2)'!$H$106,AI20='Sprachen &amp; Rückgabewerte(2)'!$H$107,AM20='Sprachen &amp; Rückgabewerte(2)'!$H$106,AM20='Sprachen &amp; Rückgabewerte(2)'!$H$107),'Sprachen &amp; Rückgabewerte(2)'!$H$108,"")</f>
        <v/>
      </c>
      <c r="G21" s="65"/>
      <c r="H21" s="646"/>
      <c r="I21" s="646"/>
      <c r="J21" s="66"/>
      <c r="K21" s="66"/>
      <c r="L21" s="646"/>
      <c r="M21" s="646"/>
      <c r="N21" s="649"/>
      <c r="O21" s="649"/>
      <c r="P21" s="646"/>
      <c r="Q21" s="646"/>
      <c r="R21" s="678"/>
      <c r="S21" s="678"/>
      <c r="T21" s="646"/>
      <c r="U21" s="646"/>
      <c r="V21" s="649"/>
      <c r="W21" s="649"/>
      <c r="X21" s="646"/>
      <c r="Y21" s="646"/>
      <c r="Z21" s="649"/>
      <c r="AA21" s="649"/>
      <c r="AB21" s="646"/>
      <c r="AC21" s="646"/>
      <c r="AD21" s="649"/>
      <c r="AE21" s="649"/>
      <c r="AF21" s="646"/>
      <c r="AG21" s="646"/>
      <c r="AH21" s="649"/>
      <c r="AI21" s="649"/>
      <c r="AJ21" s="646"/>
      <c r="AK21" s="646"/>
      <c r="AL21" s="649"/>
      <c r="AM21" s="649"/>
      <c r="AN21" s="646"/>
      <c r="AO21" s="646"/>
      <c r="AP21" s="61"/>
      <c r="AQ21" s="61"/>
      <c r="AR21" s="62"/>
      <c r="AS21" s="61"/>
      <c r="AT21" s="114"/>
      <c r="AU21" s="114"/>
      <c r="AW21" s="151"/>
      <c r="AY21" s="190"/>
      <c r="AZ21" s="190"/>
      <c r="BA21" s="190"/>
    </row>
    <row r="22" spans="1:57" ht="9.75" customHeight="1" thickTop="1" x14ac:dyDescent="0.2">
      <c r="B22" s="60"/>
      <c r="C22" s="60"/>
      <c r="D22" s="61"/>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61"/>
      <c r="AT22" s="114"/>
      <c r="AU22" s="114"/>
      <c r="AW22" s="240"/>
      <c r="AX22" s="569" t="str">
        <f>'Sprachen &amp; Rückgabewerte(2)'!H157</f>
        <v>B2B-Login Projektnr:</v>
      </c>
      <c r="AY22" s="569"/>
      <c r="AZ22" s="569"/>
      <c r="BA22" s="569"/>
      <c r="BB22" s="242"/>
    </row>
    <row r="23" spans="1:57" ht="9.9499999999999993" customHeight="1" x14ac:dyDescent="0.2">
      <c r="B23" s="60"/>
      <c r="C23" s="60"/>
      <c r="D23" s="61"/>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6"/>
      <c r="AD23" s="576"/>
      <c r="AE23" s="576"/>
      <c r="AF23" s="576"/>
      <c r="AG23" s="576"/>
      <c r="AH23" s="576"/>
      <c r="AI23" s="576"/>
      <c r="AJ23" s="576"/>
      <c r="AK23" s="576"/>
      <c r="AL23" s="576"/>
      <c r="AM23" s="576"/>
      <c r="AN23" s="576"/>
      <c r="AO23" s="576"/>
      <c r="AP23" s="576"/>
      <c r="AQ23" s="576"/>
      <c r="AR23" s="576"/>
      <c r="AS23" s="67"/>
      <c r="AT23" s="114"/>
      <c r="AU23" s="114"/>
      <c r="AW23" s="243"/>
      <c r="AX23" s="570"/>
      <c r="AY23" s="570"/>
      <c r="AZ23" s="570"/>
      <c r="BA23" s="570"/>
      <c r="BB23" s="245"/>
    </row>
    <row r="24" spans="1:57" ht="9.9499999999999993" customHeight="1" x14ac:dyDescent="0.2">
      <c r="B24" s="60"/>
      <c r="C24" s="60"/>
      <c r="D24" s="61"/>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6"/>
      <c r="AD24" s="576"/>
      <c r="AE24" s="576"/>
      <c r="AF24" s="576"/>
      <c r="AG24" s="576"/>
      <c r="AH24" s="576"/>
      <c r="AI24" s="576"/>
      <c r="AJ24" s="576"/>
      <c r="AK24" s="576"/>
      <c r="AL24" s="576"/>
      <c r="AM24" s="576"/>
      <c r="AN24" s="576"/>
      <c r="AO24" s="576"/>
      <c r="AP24" s="576"/>
      <c r="AQ24" s="576"/>
      <c r="AR24" s="576"/>
      <c r="AS24" s="67"/>
      <c r="AT24" s="114"/>
      <c r="AU24" s="114"/>
      <c r="AW24" s="243"/>
      <c r="AX24" s="570"/>
      <c r="AY24" s="570"/>
      <c r="AZ24" s="570"/>
      <c r="BA24" s="570"/>
      <c r="BB24" s="245"/>
    </row>
    <row r="25" spans="1:57" ht="9.9499999999999993" customHeight="1" x14ac:dyDescent="0.2">
      <c r="B25" s="60"/>
      <c r="C25" s="60"/>
      <c r="D25" s="61"/>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67"/>
      <c r="AT25" s="114"/>
      <c r="AU25" s="114"/>
      <c r="AW25" s="243"/>
      <c r="AX25" s="563"/>
      <c r="AY25" s="564"/>
      <c r="AZ25" s="565"/>
      <c r="BA25" s="190"/>
      <c r="BB25" s="245"/>
    </row>
    <row r="26" spans="1:57" ht="9.9499999999999993" customHeight="1" x14ac:dyDescent="0.2">
      <c r="B26" s="60"/>
      <c r="C26" s="60"/>
      <c r="D26" s="61"/>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6"/>
      <c r="AD26" s="576"/>
      <c r="AE26" s="576"/>
      <c r="AF26" s="576"/>
      <c r="AG26" s="576"/>
      <c r="AH26" s="576"/>
      <c r="AI26" s="576"/>
      <c r="AJ26" s="576"/>
      <c r="AK26" s="576"/>
      <c r="AL26" s="576"/>
      <c r="AM26" s="576"/>
      <c r="AN26" s="576"/>
      <c r="AO26" s="576"/>
      <c r="AP26" s="576"/>
      <c r="AQ26" s="576"/>
      <c r="AR26" s="576"/>
      <c r="AS26" s="67"/>
      <c r="AT26" s="114"/>
      <c r="AU26" s="114"/>
      <c r="AW26" s="243"/>
      <c r="AX26" s="566"/>
      <c r="AY26" s="567"/>
      <c r="AZ26" s="568"/>
      <c r="BA26" s="190"/>
      <c r="BB26" s="245"/>
    </row>
    <row r="27" spans="1:57" ht="15.75" customHeight="1" thickBot="1" x14ac:dyDescent="0.25">
      <c r="B27" s="60"/>
      <c r="C27" s="60"/>
      <c r="D27" s="61"/>
      <c r="E27" s="92"/>
      <c r="F27" s="93"/>
      <c r="G27" s="93"/>
      <c r="H27" s="94"/>
      <c r="I27" s="92"/>
      <c r="J27" s="93"/>
      <c r="K27" s="93"/>
      <c r="L27" s="94"/>
      <c r="M27" s="92"/>
      <c r="N27" s="93"/>
      <c r="O27" s="93"/>
      <c r="P27" s="94"/>
      <c r="Q27" s="92"/>
      <c r="R27" s="93"/>
      <c r="S27" s="93"/>
      <c r="T27" s="94"/>
      <c r="U27" s="92"/>
      <c r="V27" s="93"/>
      <c r="W27" s="93"/>
      <c r="X27" s="94"/>
      <c r="Y27" s="92"/>
      <c r="Z27" s="93"/>
      <c r="AA27" s="93"/>
      <c r="AB27" s="94"/>
      <c r="AC27" s="92"/>
      <c r="AD27" s="93"/>
      <c r="AE27" s="93"/>
      <c r="AF27" s="94"/>
      <c r="AG27" s="92"/>
      <c r="AH27" s="93"/>
      <c r="AI27" s="93"/>
      <c r="AJ27" s="94"/>
      <c r="AK27" s="92"/>
      <c r="AL27" s="93"/>
      <c r="AM27" s="93"/>
      <c r="AN27" s="94"/>
      <c r="AO27" s="92"/>
      <c r="AP27" s="93"/>
      <c r="AQ27" s="93"/>
      <c r="AR27" s="94"/>
      <c r="AS27" s="67"/>
      <c r="AT27" s="114"/>
      <c r="AU27" s="114"/>
      <c r="AW27" s="243"/>
      <c r="AX27" s="318"/>
      <c r="AY27" s="190"/>
      <c r="AZ27" s="190"/>
      <c r="BA27" s="190"/>
      <c r="BB27" s="245"/>
    </row>
    <row r="28" spans="1:57" ht="18" customHeight="1" thickBot="1" x14ac:dyDescent="0.25">
      <c r="A28" s="157" t="str">
        <f>IF('Sprachen &amp; Rückgabewerte(2)'!$I$13=TRUE,'Sprachen &amp; Rückgabewerte(2)'!$H$58,"")</f>
        <v/>
      </c>
      <c r="B28" s="228"/>
      <c r="C28" s="60"/>
      <c r="D28" s="84"/>
      <c r="E28" s="573"/>
      <c r="F28" s="574"/>
      <c r="G28" s="574"/>
      <c r="H28" s="575"/>
      <c r="I28" s="573"/>
      <c r="J28" s="574"/>
      <c r="K28" s="574"/>
      <c r="L28" s="575"/>
      <c r="M28" s="573"/>
      <c r="N28" s="574"/>
      <c r="O28" s="574"/>
      <c r="P28" s="575"/>
      <c r="Q28" s="573"/>
      <c r="R28" s="574"/>
      <c r="S28" s="574"/>
      <c r="T28" s="575"/>
      <c r="U28" s="573"/>
      <c r="V28" s="574"/>
      <c r="W28" s="574"/>
      <c r="X28" s="575"/>
      <c r="Y28" s="573"/>
      <c r="Z28" s="574"/>
      <c r="AA28" s="574"/>
      <c r="AB28" s="575"/>
      <c r="AC28" s="573"/>
      <c r="AD28" s="574"/>
      <c r="AE28" s="574"/>
      <c r="AF28" s="575"/>
      <c r="AG28" s="573"/>
      <c r="AH28" s="574"/>
      <c r="AI28" s="574"/>
      <c r="AJ28" s="575"/>
      <c r="AK28" s="573"/>
      <c r="AL28" s="574"/>
      <c r="AM28" s="574"/>
      <c r="AN28" s="575"/>
      <c r="AO28" s="573"/>
      <c r="AP28" s="574"/>
      <c r="AQ28" s="574"/>
      <c r="AR28" s="575"/>
      <c r="AS28" s="68"/>
      <c r="AT28" s="114"/>
      <c r="AU28" s="114"/>
      <c r="AW28" s="259"/>
      <c r="AX28" s="249"/>
      <c r="AY28" s="250"/>
      <c r="AZ28" s="250"/>
      <c r="BA28" s="250"/>
      <c r="BB28" s="251"/>
    </row>
    <row r="29" spans="1:57"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4"/>
      <c r="AU29" s="114"/>
      <c r="AY29" s="190"/>
      <c r="AZ29" s="190"/>
      <c r="BA29" s="190"/>
      <c r="BE29" s="141" t="s">
        <v>945</v>
      </c>
    </row>
    <row r="30" spans="1:57" ht="10.5" customHeight="1" x14ac:dyDescent="0.2">
      <c r="B30" s="60"/>
      <c r="C30" s="68"/>
      <c r="D30" s="84"/>
      <c r="E30" s="429"/>
      <c r="F30" s="429"/>
      <c r="G30" s="429"/>
      <c r="H30" s="429"/>
      <c r="I30" s="429"/>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c r="AH30" s="429"/>
      <c r="AI30" s="429"/>
      <c r="AJ30" s="429"/>
      <c r="AK30" s="429"/>
      <c r="AL30" s="429"/>
      <c r="AM30" s="429"/>
      <c r="AN30" s="429"/>
      <c r="AO30" s="429"/>
      <c r="AP30" s="429"/>
      <c r="AQ30" s="429"/>
      <c r="AR30" s="429"/>
      <c r="AS30" s="84"/>
      <c r="AT30" s="115"/>
      <c r="AU30" s="114"/>
      <c r="AW30" s="628" t="str">
        <f>IF('Sprachen &amp; Rückgabewerte(2)'!$I$19=TRUE,'Sprachen &amp; Rückgabewerte(2)'!$H$137,"")</f>
        <v/>
      </c>
      <c r="AX30" s="629"/>
      <c r="AY30" s="629"/>
      <c r="AZ30" s="629"/>
      <c r="BA30" s="630"/>
    </row>
    <row r="31" spans="1:57"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4"/>
      <c r="AW31" s="631"/>
      <c r="AX31" s="632"/>
      <c r="AY31" s="632"/>
      <c r="AZ31" s="632"/>
      <c r="BA31" s="633"/>
    </row>
    <row r="32" spans="1:57" ht="12.75" customHeight="1" x14ac:dyDescent="0.2">
      <c r="B32" s="60"/>
      <c r="C32" s="111"/>
      <c r="D32" s="82"/>
      <c r="E32" s="82"/>
      <c r="F32" s="82"/>
      <c r="G32" s="82"/>
      <c r="H32" s="82"/>
      <c r="I32" s="82"/>
      <c r="J32" s="82"/>
      <c r="K32" s="82"/>
      <c r="L32" s="82"/>
      <c r="M32" s="82"/>
      <c r="N32" s="82"/>
      <c r="O32" s="82"/>
      <c r="P32" s="82"/>
      <c r="Q32" s="82"/>
      <c r="R32" s="82"/>
      <c r="S32" s="82"/>
      <c r="T32" s="82"/>
      <c r="U32" s="82"/>
      <c r="V32" s="82"/>
      <c r="W32" s="82"/>
      <c r="X32" s="82"/>
      <c r="Y32" s="82"/>
      <c r="Z32" s="82"/>
      <c r="AA32" s="82"/>
      <c r="AB32" s="113"/>
      <c r="AC32" s="61"/>
      <c r="AD32" s="111"/>
      <c r="AE32" s="120" t="str">
        <f>'Sprachen &amp; Rückgabewerte(2)'!$H$134</f>
        <v>Features</v>
      </c>
      <c r="AF32" s="120"/>
      <c r="AG32" s="82"/>
      <c r="AH32" s="82"/>
      <c r="AI32" s="82"/>
      <c r="AJ32" s="82"/>
      <c r="AK32" s="82"/>
      <c r="AL32" s="82"/>
      <c r="AM32" s="138"/>
      <c r="AN32" s="82"/>
      <c r="AO32" s="82"/>
      <c r="AP32" s="82"/>
      <c r="AQ32" s="82"/>
      <c r="AR32" s="82"/>
      <c r="AS32" s="82"/>
      <c r="AT32" s="113"/>
      <c r="AU32" s="205"/>
      <c r="AV32" s="113"/>
      <c r="AW32" s="631"/>
      <c r="AX32" s="632"/>
      <c r="AY32" s="632"/>
      <c r="AZ32" s="632"/>
      <c r="BA32" s="633"/>
    </row>
    <row r="33" spans="2:53" ht="12.75" customHeight="1" x14ac:dyDescent="0.2">
      <c r="B33" s="60"/>
      <c r="C33" s="60"/>
      <c r="D33" s="72"/>
      <c r="E33" s="428"/>
      <c r="F33" s="426" t="str">
        <f>'Sprachen &amp; Rückgabewerte(2)'!$H$13</f>
        <v>Teilung Achsmasse</v>
      </c>
      <c r="G33" s="72"/>
      <c r="H33" s="72"/>
      <c r="I33" s="72"/>
      <c r="J33" s="72"/>
      <c r="K33" s="72"/>
      <c r="L33" s="72"/>
      <c r="M33" s="72"/>
      <c r="N33" s="72"/>
      <c r="O33" s="72"/>
      <c r="P33" s="72"/>
      <c r="Q33" s="72"/>
      <c r="R33" s="72"/>
      <c r="S33" s="72"/>
      <c r="T33" s="72"/>
      <c r="U33" s="72"/>
      <c r="V33" s="72"/>
      <c r="W33" s="72"/>
      <c r="X33" s="72"/>
      <c r="Y33" s="72"/>
      <c r="Z33" s="72"/>
      <c r="AA33" s="72"/>
      <c r="AB33" s="122"/>
      <c r="AC33" s="72"/>
      <c r="AD33" s="121"/>
      <c r="AE33" s="72"/>
      <c r="AF33" s="72" t="str">
        <f>'Sprachen &amp; Rückgabewerte(2)'!$H$15</f>
        <v>Standard</v>
      </c>
      <c r="AH33" s="72"/>
      <c r="AI33" s="72"/>
      <c r="AJ33" s="72"/>
      <c r="AK33" s="72"/>
      <c r="AL33" s="72"/>
      <c r="AM33" s="72"/>
      <c r="AN33" s="428"/>
      <c r="AO33" s="61"/>
      <c r="AP33" s="72" t="str">
        <f>'Sprachen &amp; Rückgabewerte(2)'!$H$25</f>
        <v>Pool</v>
      </c>
      <c r="AQ33" s="72"/>
      <c r="AR33" s="72"/>
      <c r="AS33" s="426"/>
      <c r="AT33" s="114"/>
      <c r="AU33" s="114"/>
      <c r="AW33" s="191" t="str">
        <f>IF(AND(F$10&gt;0,'Sprachen &amp; Rückgabewerte(2)'!$I$19=TRUE),CONCATENATE("Pos. ",'Pos. 2'!$B$2,".1"),"")</f>
        <v/>
      </c>
      <c r="AX33" s="729" t="s">
        <v>600</v>
      </c>
      <c r="AY33" s="730"/>
      <c r="AZ33" s="190"/>
      <c r="BA33" s="192"/>
    </row>
    <row r="34" spans="2:53" ht="12.75" customHeight="1" x14ac:dyDescent="0.2">
      <c r="B34" s="60"/>
      <c r="C34" s="60"/>
      <c r="D34" s="72"/>
      <c r="E34" s="428"/>
      <c r="F34" s="73" t="str">
        <f>'Sprachen &amp; Rückgabewerte(2)'!$H$14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22"/>
      <c r="AC34" s="72"/>
      <c r="AD34" s="121"/>
      <c r="AE34" s="72"/>
      <c r="AF34" s="72" t="str">
        <f>'Sprachen &amp; Rückgabewerte(2)'!$H$16</f>
        <v>Einbruchschutz RC2</v>
      </c>
      <c r="AH34" s="72"/>
      <c r="AI34" s="72"/>
      <c r="AJ34" s="72"/>
      <c r="AK34" s="72"/>
      <c r="AL34" s="72"/>
      <c r="AM34" s="72"/>
      <c r="AN34" s="428"/>
      <c r="AO34" s="72"/>
      <c r="AP34" s="72" t="str">
        <f>'Sprachen &amp; Rückgabewerte(2)'!H125</f>
        <v>NFRC (USA)</v>
      </c>
      <c r="AQ34" s="72"/>
      <c r="AR34" s="72"/>
      <c r="AS34" s="426"/>
      <c r="AT34" s="114"/>
      <c r="AU34" s="114"/>
      <c r="AW34" s="191" t="str">
        <f>IF(AND(J10&gt;0,'Sprachen &amp; Rückgabewerte(2)'!$I$19=TRUE),CONCATENATE("Pos. ",'Pos. 2'!$B$2,".2"),"")</f>
        <v/>
      </c>
      <c r="AX34" s="729"/>
      <c r="AY34" s="730"/>
      <c r="AZ34" s="190"/>
      <c r="BA34" s="192"/>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22"/>
      <c r="AC35" s="72"/>
      <c r="AD35" s="121"/>
      <c r="AE35" s="72"/>
      <c r="AF35" s="72" t="str">
        <f>'Sprachen &amp; Rückgabewerte(2)'!$H$17</f>
        <v>Positionsüberwachung (P)</v>
      </c>
      <c r="AH35" s="72"/>
      <c r="AI35" s="72"/>
      <c r="AJ35" s="72"/>
      <c r="AK35" s="72"/>
      <c r="AL35" s="72"/>
      <c r="AM35" s="72"/>
      <c r="AN35" s="428"/>
      <c r="AO35" s="72"/>
      <c r="AP35" s="72"/>
      <c r="AQ35" s="72"/>
      <c r="AR35" s="72"/>
      <c r="AS35" s="74"/>
      <c r="AT35" s="114"/>
      <c r="AU35" s="114"/>
      <c r="AW35" s="191" t="str">
        <f>IF(AND(N10&gt;0,'Sprachen &amp; Rückgabewerte(2)'!$I$19=TRUE),CONCATENATE("Pos. ",'Pos. 2'!$B$2,".3"),"")</f>
        <v/>
      </c>
      <c r="AX35" s="729"/>
      <c r="AY35" s="730"/>
      <c r="AZ35" s="190"/>
      <c r="BA35" s="192"/>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22"/>
      <c r="AC36" s="72"/>
      <c r="AD36" s="121"/>
      <c r="AE36" s="72"/>
      <c r="AF36" s="72" t="str">
        <f>'Sprachen &amp; Rückgabewerte(2)'!$H$18</f>
        <v xml:space="preserve">Riegelüberwachung (R) </v>
      </c>
      <c r="AH36" s="72"/>
      <c r="AI36" s="72"/>
      <c r="AJ36" s="72"/>
      <c r="AK36" s="72"/>
      <c r="AL36" s="72"/>
      <c r="AM36" s="72"/>
      <c r="AN36" s="428"/>
      <c r="AO36" s="72"/>
      <c r="AP36" s="72"/>
      <c r="AQ36" s="72"/>
      <c r="AR36" s="72"/>
      <c r="AS36" s="74"/>
      <c r="AT36" s="114"/>
      <c r="AU36" s="114"/>
      <c r="AW36" s="191" t="str">
        <f>IF(AND(R10&gt;0,'Sprachen &amp; Rückgabewerte(2)'!$I$19=TRUE),CONCATENATE("Pos. ",'Pos. 2'!$B$2,".4"),"")</f>
        <v/>
      </c>
      <c r="AX36" s="729"/>
      <c r="AY36" s="730"/>
      <c r="AZ36" s="190"/>
      <c r="BA36" s="192"/>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22"/>
      <c r="AC37" s="72"/>
      <c r="AD37" s="121"/>
      <c r="AE37" s="72"/>
      <c r="AF37" s="72" t="str">
        <f>'Sprachen &amp; Rückgabewerte(2)'!$H$19</f>
        <v>Glasbruchüberwachung (G)</v>
      </c>
      <c r="AH37" s="72"/>
      <c r="AI37" s="72"/>
      <c r="AJ37" s="72"/>
      <c r="AK37" s="72"/>
      <c r="AL37" s="72"/>
      <c r="AM37" s="72"/>
      <c r="AN37" s="428"/>
      <c r="AO37" s="72"/>
      <c r="AP37" s="72"/>
      <c r="AQ37" s="72"/>
      <c r="AR37" s="72"/>
      <c r="AS37" s="74"/>
      <c r="AT37" s="114"/>
      <c r="AU37" s="114"/>
      <c r="AW37" s="191" t="str">
        <f>IF(AND(V10&gt;0,'Sprachen &amp; Rückgabewerte(2)'!$I$19=TRUE),CONCATENATE("Pos. ",'Pos. 2'!$B$2,".5"),"")</f>
        <v/>
      </c>
      <c r="AX37" s="729"/>
      <c r="AY37" s="730"/>
      <c r="AZ37" s="190"/>
      <c r="BA37" s="192"/>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22"/>
      <c r="AC38" s="72"/>
      <c r="AD38" s="121"/>
      <c r="AE38" s="72"/>
      <c r="AF38" s="607" t="str">
        <f>'Sprachen &amp; Rückgabewerte(2)'!$H$20</f>
        <v>Elektrischer Antrieb, Anzahl</v>
      </c>
      <c r="AG38" s="607"/>
      <c r="AH38" s="607"/>
      <c r="AI38" s="607"/>
      <c r="AJ38" s="607"/>
      <c r="AK38" s="607"/>
      <c r="AL38" s="607"/>
      <c r="AM38" s="636">
        <f>IF('Sprachen &amp; Rückgabewerte(2)'!I20=FALSE,0,COUNTIF(F13:AQ19,"E"))</f>
        <v>0</v>
      </c>
      <c r="AN38" s="636"/>
      <c r="AO38" s="72" t="str">
        <f>'Sprachen &amp; Rückgabewerte(2)'!$H$21</f>
        <v>Stk.</v>
      </c>
      <c r="AQ38" s="72"/>
      <c r="AR38" s="72"/>
      <c r="AS38" s="426"/>
      <c r="AT38" s="114"/>
      <c r="AU38" s="114"/>
      <c r="AW38" s="191" t="str">
        <f>IF(AND(Z10&gt;0,'Sprachen &amp; Rückgabewerte(2)'!$I$19=TRUE),CONCATENATE("Pos. ",'Pos. 2'!$B$2,".6"),"")</f>
        <v/>
      </c>
      <c r="AX38" s="729"/>
      <c r="AY38" s="730"/>
      <c r="AZ38" s="61"/>
      <c r="BA38" s="114"/>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22"/>
      <c r="AC39" s="72"/>
      <c r="AD39" s="121"/>
      <c r="AE39" s="72"/>
      <c r="AF39" s="72" t="str">
        <f>'Sprachen &amp; Rückgabewerte(2)'!$H$22</f>
        <v>geforderte Klassen:</v>
      </c>
      <c r="AH39" s="72"/>
      <c r="AI39" s="72"/>
      <c r="AJ39" s="72"/>
      <c r="AK39" s="72"/>
      <c r="AL39" s="667"/>
      <c r="AM39" s="668"/>
      <c r="AN39" s="668"/>
      <c r="AO39" s="668"/>
      <c r="AP39" s="668"/>
      <c r="AQ39" s="668"/>
      <c r="AR39" s="668"/>
      <c r="AS39" s="669"/>
      <c r="AT39" s="114"/>
      <c r="AU39" s="114"/>
      <c r="AW39" s="191" t="str">
        <f>IF(AND(AD10&gt;0,'Sprachen &amp; Rückgabewerte(2)'!$I$19=TRUE),CONCATENATE("Pos. ",'Pos. 2'!$B$2,".7"),"")</f>
        <v/>
      </c>
      <c r="AX39" s="729"/>
      <c r="AY39" s="730"/>
      <c r="AZ39" s="61"/>
      <c r="BA39" s="114"/>
    </row>
    <row r="40" spans="2:53" ht="12.75" customHeight="1" x14ac:dyDescent="0.2">
      <c r="B40" s="60"/>
      <c r="C40" s="60"/>
      <c r="D40" s="72"/>
      <c r="E40" s="427"/>
      <c r="F40" s="73" t="str">
        <f>'Sprachen &amp; Rückgabewerte(2)'!H30</f>
        <v>nach rechts</v>
      </c>
      <c r="G40" s="72"/>
      <c r="H40" s="72"/>
      <c r="I40" s="72"/>
      <c r="J40" s="72"/>
      <c r="K40" s="72"/>
      <c r="L40" s="72"/>
      <c r="M40" s="72"/>
      <c r="N40" s="75" t="str">
        <f>'Sprachen &amp; Rückgabewerte(2)'!H31</f>
        <v>nach links</v>
      </c>
      <c r="O40" s="427"/>
      <c r="P40" s="75"/>
      <c r="Q40" s="428"/>
      <c r="R40" s="72"/>
      <c r="S40" s="72"/>
      <c r="T40" s="72"/>
      <c r="U40" s="72"/>
      <c r="V40" s="72"/>
      <c r="W40" s="72"/>
      <c r="X40" s="72"/>
      <c r="Y40" s="72"/>
      <c r="Z40" s="578" t="s">
        <v>179</v>
      </c>
      <c r="AA40" s="72"/>
      <c r="AB40" s="122"/>
      <c r="AC40" s="72"/>
      <c r="AD40" s="123"/>
      <c r="AE40" s="124"/>
      <c r="AF40" s="124"/>
      <c r="AG40" s="666"/>
      <c r="AH40" s="666"/>
      <c r="AI40" s="666"/>
      <c r="AJ40" s="666"/>
      <c r="AK40" s="666"/>
      <c r="AL40" s="666"/>
      <c r="AM40" s="666"/>
      <c r="AN40" s="666"/>
      <c r="AO40" s="666"/>
      <c r="AP40" s="666"/>
      <c r="AQ40" s="666"/>
      <c r="AR40" s="666"/>
      <c r="AS40" s="124"/>
      <c r="AT40" s="115"/>
      <c r="AU40" s="114"/>
      <c r="AW40" s="191" t="str">
        <f>IF(AND(AH10&gt;0,'Sprachen &amp; Rückgabewerte(2)'!$I$19=TRUE),CONCATENATE("Pos. ",'Pos. 2'!$B$2,".8"),"")</f>
        <v/>
      </c>
      <c r="AX40" s="729"/>
      <c r="AY40" s="730"/>
      <c r="AZ40" s="61"/>
      <c r="BA40" s="114"/>
    </row>
    <row r="41" spans="2:53" ht="12.75" customHeight="1" x14ac:dyDescent="0.2">
      <c r="B41" s="60"/>
      <c r="C41" s="60"/>
      <c r="D41" s="72"/>
      <c r="E41" s="427"/>
      <c r="F41" s="73"/>
      <c r="G41" s="72"/>
      <c r="H41" s="72"/>
      <c r="I41" s="72"/>
      <c r="J41" s="72"/>
      <c r="K41" s="72"/>
      <c r="L41" s="72"/>
      <c r="M41" s="72"/>
      <c r="N41" s="75"/>
      <c r="O41" s="427"/>
      <c r="P41" s="75"/>
      <c r="Q41" s="428"/>
      <c r="R41" s="72"/>
      <c r="S41" s="72"/>
      <c r="T41" s="72"/>
      <c r="U41" s="72"/>
      <c r="V41" s="72"/>
      <c r="W41" s="72"/>
      <c r="X41" s="72"/>
      <c r="Y41" s="72"/>
      <c r="Z41" s="579"/>
      <c r="AA41" s="72"/>
      <c r="AB41" s="122"/>
      <c r="AC41" s="72"/>
      <c r="AD41" s="72"/>
      <c r="AE41" s="72"/>
      <c r="AF41" s="72"/>
      <c r="AG41" s="76"/>
      <c r="AH41" s="76"/>
      <c r="AI41" s="76"/>
      <c r="AJ41" s="76"/>
      <c r="AK41" s="76"/>
      <c r="AL41" s="76"/>
      <c r="AM41" s="76"/>
      <c r="AN41" s="76"/>
      <c r="AO41" s="76"/>
      <c r="AP41" s="76"/>
      <c r="AQ41" s="76"/>
      <c r="AR41" s="76"/>
      <c r="AS41" s="72"/>
      <c r="AT41" s="61"/>
      <c r="AU41" s="114"/>
      <c r="AW41" s="191" t="str">
        <f>IF(AND(AL10&gt;0,'Sprachen &amp; Rückgabewerte(2)'!$I$19=TRUE),CONCATENATE("Pos. ",'Pos. 2'!$B$2,".9"),"")</f>
        <v/>
      </c>
      <c r="AX41" s="729"/>
      <c r="AY41" s="730"/>
      <c r="AZ41" s="61"/>
      <c r="BA41" s="114"/>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63"/>
      <c r="AA42" s="72"/>
      <c r="AB42" s="122"/>
      <c r="AC42" s="77"/>
      <c r="AD42" s="118"/>
      <c r="AE42" s="120" t="str">
        <f>'Sprachen &amp; Rückgabewerte(2)'!$H$35</f>
        <v>Oberfläche:</v>
      </c>
      <c r="AF42" s="120"/>
      <c r="AG42" s="119"/>
      <c r="AH42" s="119"/>
      <c r="AI42" s="119"/>
      <c r="AJ42" s="119"/>
      <c r="AK42" s="119"/>
      <c r="AL42" s="119"/>
      <c r="AM42" s="139"/>
      <c r="AN42" s="119"/>
      <c r="AO42" s="119"/>
      <c r="AP42" s="119"/>
      <c r="AQ42" s="119"/>
      <c r="AR42" s="119"/>
      <c r="AS42" s="119"/>
      <c r="AT42" s="113"/>
      <c r="AU42" s="114"/>
      <c r="AW42" s="191" t="str">
        <f>IF(AND(AP10&gt;0,'Sprachen &amp; Rückgabewerte(2)'!$I$19=TRUE),CONCATENATE("Pos. ",'Pos. 2'!$B$2,".10"),"")</f>
        <v/>
      </c>
      <c r="AX42" s="729"/>
      <c r="AY42" s="730"/>
      <c r="AZ42" s="61"/>
      <c r="BA42" s="114"/>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64"/>
      <c r="AA43" s="72"/>
      <c r="AB43" s="122"/>
      <c r="AC43" s="77"/>
      <c r="AD43" s="121"/>
      <c r="AE43" s="72"/>
      <c r="AF43" s="180" t="str">
        <f>'Sprachen &amp; Rückgabewerte(2)'!H36</f>
        <v>eloxiert (Qualanod):</v>
      </c>
      <c r="AG43" s="72"/>
      <c r="AH43" s="72"/>
      <c r="AI43" s="72"/>
      <c r="AJ43" s="72"/>
      <c r="AK43" s="72"/>
      <c r="AL43" s="72"/>
      <c r="AM43" s="627"/>
      <c r="AN43" s="627"/>
      <c r="AO43" s="627"/>
      <c r="AP43" s="627"/>
      <c r="AQ43" s="627"/>
      <c r="AR43" s="627"/>
      <c r="AS43" s="627"/>
      <c r="AT43" s="114"/>
      <c r="AU43" s="114"/>
      <c r="AW43" s="206">
        <f>COUNTBLANK(AW33:AW42)</f>
        <v>10</v>
      </c>
      <c r="AX43" s="207">
        <f>COUNTBLANK(AX33:AX42)</f>
        <v>9</v>
      </c>
      <c r="AY43" s="207">
        <f>AW43-AX43</f>
        <v>1</v>
      </c>
      <c r="AZ43" s="84"/>
      <c r="BA43" s="115"/>
    </row>
    <row r="44" spans="2:53" ht="12.75" customHeight="1" x14ac:dyDescent="0.2">
      <c r="B44" s="60"/>
      <c r="C44" s="60"/>
      <c r="D44" s="72"/>
      <c r="E44" s="72"/>
      <c r="F44" s="72"/>
      <c r="G44" s="72"/>
      <c r="H44" s="72"/>
      <c r="I44" s="72"/>
      <c r="J44" s="72"/>
      <c r="K44" s="72"/>
      <c r="L44" s="72"/>
      <c r="M44" s="72"/>
      <c r="N44" s="72"/>
      <c r="O44" s="72"/>
      <c r="P44" s="670" t="str">
        <f>'Sprachen &amp; Rückgabewerte(2)'!$H$33</f>
        <v>Griffhöhe:</v>
      </c>
      <c r="Q44" s="670"/>
      <c r="R44" s="670"/>
      <c r="S44" s="670"/>
      <c r="T44" s="72"/>
      <c r="U44" s="72"/>
      <c r="V44" s="72"/>
      <c r="W44" s="72"/>
      <c r="X44" s="72"/>
      <c r="Y44" s="72"/>
      <c r="Z44" s="664"/>
      <c r="AA44" s="72"/>
      <c r="AB44" s="122"/>
      <c r="AC44" s="77"/>
      <c r="AD44" s="121"/>
      <c r="AE44" s="72"/>
      <c r="AF44" s="428"/>
      <c r="AG44" s="73"/>
      <c r="AH44" s="72"/>
      <c r="AI44" s="72"/>
      <c r="AJ44" s="72"/>
      <c r="AK44" s="72"/>
      <c r="AL44" s="72"/>
      <c r="AM44" s="426"/>
      <c r="AN44" s="428"/>
      <c r="AO44" s="616"/>
      <c r="AP44" s="616"/>
      <c r="AQ44" s="616"/>
      <c r="AR44" s="616"/>
      <c r="AS44" s="616"/>
      <c r="AT44" s="114"/>
      <c r="AU44" s="114"/>
    </row>
    <row r="45" spans="2:53" ht="12.75" customHeight="1" x14ac:dyDescent="0.2">
      <c r="B45" s="60"/>
      <c r="C45" s="60"/>
      <c r="D45" s="72"/>
      <c r="E45" s="72"/>
      <c r="F45" s="72"/>
      <c r="G45" s="72"/>
      <c r="H45" s="72"/>
      <c r="I45" s="72"/>
      <c r="J45" s="72"/>
      <c r="K45" s="72"/>
      <c r="L45" s="72"/>
      <c r="M45" s="72"/>
      <c r="N45" s="72"/>
      <c r="O45" s="72"/>
      <c r="P45" s="670"/>
      <c r="Q45" s="670"/>
      <c r="R45" s="670"/>
      <c r="S45" s="670"/>
      <c r="T45" s="671"/>
      <c r="U45" s="672"/>
      <c r="V45" s="73" t="s">
        <v>179</v>
      </c>
      <c r="W45" s="72"/>
      <c r="X45" s="72"/>
      <c r="Y45" s="72"/>
      <c r="Z45" s="665"/>
      <c r="AA45" s="72"/>
      <c r="AB45" s="122"/>
      <c r="AC45" s="77"/>
      <c r="AD45" s="121"/>
      <c r="AE45" s="72"/>
      <c r="AF45" s="426" t="str">
        <f>'Sprachen &amp; Rückgabewerte(2)'!$H$39</f>
        <v>pulverbeschichtet:</v>
      </c>
      <c r="AG45" s="152"/>
      <c r="AH45" s="152"/>
      <c r="AI45" s="152"/>
      <c r="AJ45" s="152"/>
      <c r="AK45" s="152"/>
      <c r="AL45" s="152"/>
      <c r="AM45" s="601"/>
      <c r="AN45" s="602"/>
      <c r="AO45" s="602"/>
      <c r="AP45" s="602"/>
      <c r="AQ45" s="602"/>
      <c r="AR45" s="602"/>
      <c r="AS45" s="603"/>
      <c r="AT45" s="114"/>
      <c r="AU45" s="205"/>
      <c r="AV45" s="113"/>
      <c r="AW45" s="111"/>
      <c r="AX45" s="113"/>
    </row>
    <row r="46" spans="2:53" ht="12.75" customHeight="1" x14ac:dyDescent="0.2">
      <c r="B46" s="60"/>
      <c r="C46" s="60"/>
      <c r="D46" s="72"/>
      <c r="E46" s="72"/>
      <c r="F46" s="72"/>
      <c r="G46" s="72"/>
      <c r="H46" s="72"/>
      <c r="I46" s="609"/>
      <c r="J46" s="609"/>
      <c r="K46" s="609"/>
      <c r="L46" s="163" t="s">
        <v>193</v>
      </c>
      <c r="M46" s="72"/>
      <c r="N46" s="72"/>
      <c r="O46" s="72"/>
      <c r="P46" s="72"/>
      <c r="Q46" s="72"/>
      <c r="R46" s="72"/>
      <c r="S46" s="72"/>
      <c r="T46" s="72"/>
      <c r="U46" s="72"/>
      <c r="V46" s="72"/>
      <c r="W46" s="72"/>
      <c r="X46" s="72"/>
      <c r="Y46" s="72"/>
      <c r="Z46" s="592" t="str">
        <f>'Sprachen &amp; Rückgabewerte(2)'!$H$34</f>
        <v xml:space="preserve">Höhe = </v>
      </c>
      <c r="AA46" s="72"/>
      <c r="AB46" s="122"/>
      <c r="AC46" s="77"/>
      <c r="AD46" s="121"/>
      <c r="AE46" s="72"/>
      <c r="AF46" s="426" t="str">
        <f>'Sprachen &amp; Rückgabewerte(2)'!$H$40</f>
        <v>Vorbehandlung:</v>
      </c>
      <c r="AG46" s="72"/>
      <c r="AH46" s="72"/>
      <c r="AI46" s="72"/>
      <c r="AJ46" s="72"/>
      <c r="AK46" s="72"/>
      <c r="AL46" s="72"/>
      <c r="AM46" s="658"/>
      <c r="AN46" s="659"/>
      <c r="AO46" s="659"/>
      <c r="AP46" s="659"/>
      <c r="AQ46" s="659"/>
      <c r="AR46" s="659"/>
      <c r="AS46" s="660"/>
      <c r="AT46" s="114"/>
      <c r="AU46" s="114"/>
      <c r="AW46" s="237" t="str">
        <f>'Sprachen &amp; Rückgabewerte(2)'!$H$150</f>
        <v>Farbe Panele:</v>
      </c>
      <c r="AX46" s="114"/>
    </row>
    <row r="47" spans="2:53" ht="12.75" customHeight="1" x14ac:dyDescent="0.2">
      <c r="B47" s="60"/>
      <c r="C47" s="60"/>
      <c r="D47" s="72"/>
      <c r="E47" s="72"/>
      <c r="F47" s="72"/>
      <c r="G47" s="72"/>
      <c r="H47" s="72"/>
      <c r="I47" s="609"/>
      <c r="J47" s="609"/>
      <c r="K47" s="609"/>
      <c r="L47" s="163" t="s">
        <v>193</v>
      </c>
      <c r="M47" s="72"/>
      <c r="N47" s="72"/>
      <c r="O47" s="427"/>
      <c r="P47" s="72"/>
      <c r="Q47" s="72"/>
      <c r="R47" s="72"/>
      <c r="S47" s="72"/>
      <c r="T47" s="72"/>
      <c r="U47" s="72"/>
      <c r="V47" s="72"/>
      <c r="W47" s="72"/>
      <c r="X47" s="72"/>
      <c r="Y47" s="72"/>
      <c r="Z47" s="593"/>
      <c r="AA47" s="427"/>
      <c r="AB47" s="122"/>
      <c r="AC47" s="78"/>
      <c r="AD47" s="121"/>
      <c r="AE47" s="72"/>
      <c r="AF47" s="426" t="str">
        <f>'Sprachen &amp; Rückgabewerte(2)'!H176</f>
        <v>Pulverlack Klasse:</v>
      </c>
      <c r="AG47" s="72"/>
      <c r="AH47" s="72"/>
      <c r="AI47" s="72"/>
      <c r="AJ47" s="72"/>
      <c r="AK47" s="72"/>
      <c r="AL47" s="72"/>
      <c r="AM47" s="624"/>
      <c r="AN47" s="625"/>
      <c r="AO47" s="625"/>
      <c r="AP47" s="625"/>
      <c r="AQ47" s="625"/>
      <c r="AR47" s="625"/>
      <c r="AS47" s="626"/>
      <c r="AT47" s="114"/>
      <c r="AU47" s="114"/>
      <c r="AW47" s="60"/>
      <c r="AX47" s="114"/>
    </row>
    <row r="48" spans="2:53" ht="12.75" customHeight="1" x14ac:dyDescent="0.2">
      <c r="B48" s="60"/>
      <c r="C48" s="60"/>
      <c r="D48" s="72"/>
      <c r="E48" s="72"/>
      <c r="F48" s="72"/>
      <c r="G48" s="72"/>
      <c r="H48" s="72"/>
      <c r="I48" s="597"/>
      <c r="J48" s="597"/>
      <c r="K48" s="597"/>
      <c r="L48" s="163" t="s">
        <v>193</v>
      </c>
      <c r="M48" s="72"/>
      <c r="N48" s="72"/>
      <c r="O48" s="427"/>
      <c r="P48" s="72"/>
      <c r="Q48" s="72"/>
      <c r="R48" s="72"/>
      <c r="S48" s="72"/>
      <c r="T48" s="72"/>
      <c r="U48" s="72"/>
      <c r="V48" s="72"/>
      <c r="W48" s="72"/>
      <c r="X48" s="72"/>
      <c r="Y48" s="72"/>
      <c r="Z48" s="593"/>
      <c r="AA48" s="427"/>
      <c r="AB48" s="122"/>
      <c r="AC48" s="78"/>
      <c r="AD48" s="121"/>
      <c r="AE48" s="72"/>
      <c r="AF48" s="661" t="str">
        <f>'Sprachen &amp; Rückgabewerte(2)'!$H$91</f>
        <v>Farbe Laufschiene + Schraubenarretierungen:</v>
      </c>
      <c r="AG48" s="661"/>
      <c r="AH48" s="661"/>
      <c r="AI48" s="661"/>
      <c r="AJ48" s="661"/>
      <c r="AK48" s="661"/>
      <c r="AL48" s="661"/>
      <c r="AM48" s="61"/>
      <c r="AN48" s="61"/>
      <c r="AO48" s="426"/>
      <c r="AP48" s="72"/>
      <c r="AQ48" s="72"/>
      <c r="AR48" s="72"/>
      <c r="AS48" s="72"/>
      <c r="AT48" s="114"/>
      <c r="AU48" s="114"/>
      <c r="AW48" s="650"/>
      <c r="AX48" s="651"/>
    </row>
    <row r="49" spans="2:50" ht="12.75" customHeight="1" x14ac:dyDescent="0.2">
      <c r="B49" s="60"/>
      <c r="C49" s="60"/>
      <c r="D49" s="72"/>
      <c r="E49" s="72"/>
      <c r="F49" s="72"/>
      <c r="G49" s="72"/>
      <c r="H49" s="75" t="str">
        <f>'Sprachen &amp; Rückgabewerte(2)'!$H$32</f>
        <v>Breite =</v>
      </c>
      <c r="I49" s="594"/>
      <c r="J49" s="595"/>
      <c r="K49" s="596"/>
      <c r="L49" s="73" t="s">
        <v>179</v>
      </c>
      <c r="M49" s="72"/>
      <c r="N49" s="72"/>
      <c r="O49" s="427"/>
      <c r="P49" s="72"/>
      <c r="Q49" s="72"/>
      <c r="R49" s="72"/>
      <c r="S49" s="72"/>
      <c r="T49" s="72"/>
      <c r="U49" s="72"/>
      <c r="V49" s="72"/>
      <c r="W49" s="72"/>
      <c r="X49" s="72"/>
      <c r="Y49" s="72"/>
      <c r="Z49" s="593"/>
      <c r="AA49" s="427"/>
      <c r="AB49" s="122"/>
      <c r="AC49" s="78"/>
      <c r="AD49" s="121"/>
      <c r="AE49" s="72"/>
      <c r="AF49" s="661"/>
      <c r="AG49" s="661"/>
      <c r="AH49" s="661"/>
      <c r="AI49" s="661"/>
      <c r="AJ49" s="661"/>
      <c r="AK49" s="661"/>
      <c r="AL49" s="661"/>
      <c r="AM49" s="604"/>
      <c r="AN49" s="605"/>
      <c r="AO49" s="605"/>
      <c r="AP49" s="606"/>
      <c r="AQ49" s="72"/>
      <c r="AR49" s="72"/>
      <c r="AS49" s="72"/>
      <c r="AT49" s="114"/>
      <c r="AU49" s="114"/>
      <c r="AW49" s="68"/>
      <c r="AX49" s="115"/>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593"/>
      <c r="AA50" s="72"/>
      <c r="AB50" s="122"/>
      <c r="AC50" s="78"/>
      <c r="AD50" s="123"/>
      <c r="AE50" s="124"/>
      <c r="AF50" s="662"/>
      <c r="AG50" s="662"/>
      <c r="AH50" s="662"/>
      <c r="AI50" s="662"/>
      <c r="AJ50" s="662"/>
      <c r="AK50" s="662"/>
      <c r="AL50" s="662"/>
      <c r="AM50" s="140"/>
      <c r="AN50" s="124"/>
      <c r="AO50" s="124"/>
      <c r="AP50" s="124"/>
      <c r="AQ50" s="124"/>
      <c r="AR50" s="124"/>
      <c r="AS50" s="124"/>
      <c r="AT50" s="115"/>
      <c r="AU50" s="114"/>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593"/>
      <c r="AA51" s="72"/>
      <c r="AB51" s="122"/>
      <c r="AC51" s="78"/>
      <c r="AD51" s="72"/>
      <c r="AE51" s="72"/>
      <c r="AF51" s="72"/>
      <c r="AG51" s="72"/>
      <c r="AH51" s="72"/>
      <c r="AI51" s="72"/>
      <c r="AJ51" s="72"/>
      <c r="AK51" s="72"/>
      <c r="AL51" s="72"/>
      <c r="AM51" s="426"/>
      <c r="AN51" s="72"/>
      <c r="AO51" s="72"/>
      <c r="AP51" s="72"/>
      <c r="AQ51" s="72"/>
      <c r="AR51" s="72"/>
      <c r="AS51" s="72"/>
      <c r="AT51" s="61"/>
      <c r="AU51" s="114"/>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593"/>
      <c r="AA52" s="72"/>
      <c r="AB52" s="122"/>
      <c r="AC52" s="78"/>
      <c r="AD52" s="118"/>
      <c r="AE52" s="120" t="str">
        <f>'Sprachen &amp; Rückgabewerte(2)'!$H$42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593"/>
      <c r="AA53" s="72"/>
      <c r="AB53" s="122"/>
      <c r="AC53" s="78"/>
      <c r="AD53" s="121"/>
      <c r="AE53" s="613"/>
      <c r="AF53" s="614"/>
      <c r="AG53" s="615"/>
      <c r="AH53" s="72" t="str">
        <f>'Sprachen &amp; Rückgabewerte(2)'!$W$1</f>
        <v>Ug=</v>
      </c>
      <c r="AI53" s="611">
        <f>LOOKUP($AE$53,'Sprachen &amp; Rückgabewerte(2)'!$V$3:$V$35,'Sprachen &amp; Rückgabewerte(2)'!W3:W35)</f>
        <v>0</v>
      </c>
      <c r="AJ53" s="611"/>
      <c r="AK53" s="612" t="str">
        <f>'Sprachen &amp; Rückgabewerte(2)'!$X$1</f>
        <v>Lt=</v>
      </c>
      <c r="AL53" s="612"/>
      <c r="AM53" s="610">
        <f>LOOKUP(AE53,'Sprachen &amp; Rückgabewerte(2)'!V3:V35,'Sprachen &amp; Rückgabewerte(2)'!X3:X35)</f>
        <v>0</v>
      </c>
      <c r="AN53" s="610"/>
      <c r="AO53" s="211" t="str">
        <f>'Sprachen &amp; Rückgabewerte(2)'!$Y$1</f>
        <v>g=</v>
      </c>
      <c r="AP53" s="610">
        <f>LOOKUP(AE53,'Sprachen &amp; Rückgabewerte(2)'!V3:V35,'Sprachen &amp; Rückgabewerte(2)'!Y3:Y35)</f>
        <v>0</v>
      </c>
      <c r="AQ53" s="610"/>
      <c r="AR53" s="72"/>
      <c r="AS53" s="72"/>
      <c r="AT53" s="114"/>
      <c r="AU53" s="114"/>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593"/>
      <c r="AA54" s="72"/>
      <c r="AB54" s="122"/>
      <c r="AC54" s="72"/>
      <c r="AD54" s="121"/>
      <c r="AE54" s="72"/>
      <c r="AF54" s="72"/>
      <c r="AG54" s="72"/>
      <c r="AH54" s="73" t="str">
        <f>IF(AT52=1,'Sprachen &amp; Rückgabewerte(2)'!H158,LOOKUP(AE53,'Sprachen &amp; Rückgabewerte(2)'!V3:V35,'Sprachen &amp; Rückgabewerte(2)'!Z3:Z35))</f>
        <v>Glastyp wählen</v>
      </c>
      <c r="AI54" s="72"/>
      <c r="AJ54" s="72"/>
      <c r="AK54" s="72"/>
      <c r="AL54" s="72"/>
      <c r="AM54" s="426"/>
      <c r="AN54" s="79"/>
      <c r="AO54" s="79"/>
      <c r="AP54" s="72"/>
      <c r="AQ54" s="72"/>
      <c r="AR54" s="72"/>
      <c r="AS54" s="72"/>
      <c r="AT54" s="114"/>
      <c r="AU54" s="114"/>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22"/>
      <c r="AC55" s="72"/>
      <c r="AD55" s="121"/>
      <c r="AE55" s="607" t="str">
        <f>'Sprachen &amp; Rückgabewerte(2)'!$H$94</f>
        <v>Druckausgleichsventile :</v>
      </c>
      <c r="AF55" s="607"/>
      <c r="AG55" s="607"/>
      <c r="AH55" s="607"/>
      <c r="AI55" s="607"/>
      <c r="AJ55" s="607"/>
      <c r="AK55" s="607"/>
      <c r="AL55" s="607"/>
      <c r="AM55" s="607"/>
      <c r="AN55" s="608"/>
      <c r="AO55" s="549"/>
      <c r="AP55" s="550"/>
      <c r="AQ55" s="72"/>
      <c r="AR55" s="80" t="s">
        <v>379</v>
      </c>
      <c r="AS55" s="72"/>
      <c r="AT55" s="114"/>
      <c r="AU55" s="114"/>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22"/>
      <c r="AC56" s="72"/>
      <c r="AD56" s="121"/>
      <c r="AE56" s="72"/>
      <c r="AF56" s="132" t="str">
        <f>'Sprachen &amp; Rückgabewerte(2)'!$H$43</f>
        <v>Swisspacer-U schwarz</v>
      </c>
      <c r="AG56" s="72"/>
      <c r="AH56" s="72"/>
      <c r="AI56" s="72"/>
      <c r="AJ56" s="72"/>
      <c r="AK56" s="72"/>
      <c r="AL56" s="72"/>
      <c r="AM56" s="72"/>
      <c r="AN56" s="132" t="str">
        <f>'Sprachen &amp; Rückgabewerte(2)'!$H$44</f>
        <v>Swisspacer-U grau</v>
      </c>
      <c r="AQ56" s="72"/>
      <c r="AS56" s="80"/>
      <c r="AT56" s="114"/>
      <c r="AU56" s="114"/>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22"/>
      <c r="AC57" s="72"/>
      <c r="AD57" s="121"/>
      <c r="AE57" s="72"/>
      <c r="AF57" s="132" t="str">
        <f>'Sprachen &amp; Rückgabewerte(2)'!$H$45</f>
        <v>Speziell:</v>
      </c>
      <c r="AG57" s="72"/>
      <c r="AH57" s="72"/>
      <c r="AI57" s="621"/>
      <c r="AJ57" s="622"/>
      <c r="AK57" s="622"/>
      <c r="AL57" s="622"/>
      <c r="AM57" s="622"/>
      <c r="AN57" s="622"/>
      <c r="AO57" s="622"/>
      <c r="AP57" s="622"/>
      <c r="AQ57" s="622"/>
      <c r="AR57" s="622"/>
      <c r="AS57" s="623"/>
      <c r="AT57" s="114"/>
      <c r="AU57" s="114"/>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22"/>
      <c r="AC58" s="72"/>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60"/>
      <c r="C59" s="60"/>
      <c r="D59" s="72"/>
      <c r="E59" s="72"/>
      <c r="F59" s="72"/>
      <c r="G59" s="72"/>
      <c r="H59" s="72"/>
      <c r="I59" s="75"/>
      <c r="J59" s="73"/>
      <c r="K59" s="73"/>
      <c r="L59" s="73"/>
      <c r="M59" s="73"/>
      <c r="N59" s="73"/>
      <c r="O59" s="72"/>
      <c r="P59" s="72"/>
      <c r="Q59" s="72"/>
      <c r="R59" s="72"/>
      <c r="S59" s="72"/>
      <c r="T59" s="72"/>
      <c r="U59" s="72"/>
      <c r="V59" s="72"/>
      <c r="W59" s="72"/>
      <c r="X59" s="72"/>
      <c r="Y59" s="72"/>
      <c r="Z59" s="72"/>
      <c r="AA59" s="72"/>
      <c r="AB59" s="122"/>
      <c r="AC59" s="72"/>
      <c r="AD59" s="72"/>
      <c r="AE59" s="72"/>
      <c r="AF59" s="72"/>
      <c r="AG59" s="72"/>
      <c r="AH59" s="72"/>
      <c r="AI59" s="79"/>
      <c r="AJ59" s="79"/>
      <c r="AK59" s="79"/>
      <c r="AL59" s="79"/>
      <c r="AM59" s="79"/>
      <c r="AN59" s="79"/>
      <c r="AO59" s="79"/>
      <c r="AP59" s="79"/>
      <c r="AQ59" s="79"/>
      <c r="AR59" s="79"/>
      <c r="AS59" s="79"/>
      <c r="AT59" s="61"/>
      <c r="AU59" s="114"/>
    </row>
    <row r="60" spans="2:50" ht="12.75" customHeight="1" x14ac:dyDescent="0.2">
      <c r="B60" s="60"/>
      <c r="C60" s="68"/>
      <c r="D60" s="124"/>
      <c r="E60" s="124"/>
      <c r="F60" s="183" t="str">
        <f>'Sprachen &amp; Rückgabewerte(2)'!$H$110</f>
        <v>KABA (22)</v>
      </c>
      <c r="G60" s="124"/>
      <c r="H60" s="124"/>
      <c r="I60" s="124"/>
      <c r="J60" s="124"/>
      <c r="K60" s="124"/>
      <c r="L60" s="183" t="str">
        <f>'Sprachen &amp; Rückgabewerte(2)'!$H$111</f>
        <v>PZ / Euro (17)</v>
      </c>
      <c r="M60" s="124"/>
      <c r="N60" s="124"/>
      <c r="O60" s="124"/>
      <c r="P60" s="124"/>
      <c r="Q60" s="124"/>
      <c r="R60" s="124"/>
      <c r="S60" s="124"/>
      <c r="T60" s="124"/>
      <c r="U60" s="124"/>
      <c r="V60" s="124"/>
      <c r="W60" s="124"/>
      <c r="X60" s="124"/>
      <c r="Y60" s="124"/>
      <c r="Z60" s="124"/>
      <c r="AA60" s="154"/>
      <c r="AB60" s="125"/>
      <c r="AC60" s="72"/>
      <c r="AD60" s="118"/>
      <c r="AE60" s="120" t="str">
        <f>'Sprachen &amp; Rückgabewerte(2)'!$H$64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21"/>
      <c r="AE61" s="72"/>
      <c r="AF61" s="81"/>
      <c r="AG61" s="72"/>
      <c r="AH61" s="72"/>
      <c r="AI61" s="72"/>
      <c r="AJ61" s="72"/>
      <c r="AK61" s="72"/>
      <c r="AL61" s="72"/>
      <c r="AM61" s="426"/>
      <c r="AN61" s="72"/>
      <c r="AO61" s="72"/>
      <c r="AP61" s="72"/>
      <c r="AQ61" s="72"/>
      <c r="AR61" s="72"/>
      <c r="AS61" s="72"/>
      <c r="AT61" s="114"/>
      <c r="AU61" s="114"/>
    </row>
    <row r="62" spans="2:50" ht="12.75" customHeight="1" x14ac:dyDescent="0.2">
      <c r="B62" s="60"/>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28"/>
      <c r="AC62" s="72"/>
      <c r="AD62" s="121"/>
      <c r="AE62" s="72"/>
      <c r="AF62" s="81"/>
      <c r="AG62" s="72"/>
      <c r="AH62" s="72"/>
      <c r="AI62" s="72"/>
      <c r="AJ62" s="72"/>
      <c r="AK62" s="72"/>
      <c r="AL62" s="72"/>
      <c r="AM62" s="426"/>
      <c r="AN62" s="72"/>
      <c r="AO62" s="72"/>
      <c r="AP62" s="72"/>
      <c r="AQ62" s="72"/>
      <c r="AR62" s="72"/>
      <c r="AS62" s="72"/>
      <c r="AT62" s="114"/>
      <c r="AU62" s="114"/>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22"/>
      <c r="AC63" s="72"/>
      <c r="AD63" s="121"/>
      <c r="AE63" s="72"/>
      <c r="AF63" s="72"/>
      <c r="AG63" s="72"/>
      <c r="AH63" s="72"/>
      <c r="AI63" s="72"/>
      <c r="AJ63" s="72"/>
      <c r="AK63" s="72"/>
      <c r="AL63" s="72"/>
      <c r="AM63" s="426"/>
      <c r="AN63" s="72"/>
      <c r="AO63" s="72"/>
      <c r="AP63" s="72"/>
      <c r="AQ63" s="72"/>
      <c r="AR63" s="72"/>
      <c r="AS63" s="72"/>
      <c r="AT63" s="114"/>
      <c r="AU63" s="114"/>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22"/>
      <c r="AC64" s="72"/>
      <c r="AD64" s="121"/>
      <c r="AE64" s="72"/>
      <c r="AF64" s="72"/>
      <c r="AG64" s="72"/>
      <c r="AH64" s="72"/>
      <c r="AI64" s="72"/>
      <c r="AJ64" s="72"/>
      <c r="AK64" s="72"/>
      <c r="AL64" s="72"/>
      <c r="AM64" s="426"/>
      <c r="AN64" s="72"/>
      <c r="AO64" s="72"/>
      <c r="AP64" s="72"/>
      <c r="AQ64" s="72"/>
      <c r="AR64" s="72"/>
      <c r="AS64" s="72"/>
      <c r="AT64" s="114"/>
      <c r="AU64" s="114"/>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22"/>
      <c r="AC65" s="72"/>
      <c r="AD65" s="121"/>
      <c r="AE65" s="72"/>
      <c r="AF65" s="72"/>
      <c r="AG65" s="72"/>
      <c r="AH65" s="72"/>
      <c r="AI65" s="72"/>
      <c r="AJ65" s="72"/>
      <c r="AK65" s="72"/>
      <c r="AL65" s="72"/>
      <c r="AM65" s="72"/>
      <c r="AN65" s="72"/>
      <c r="AO65" s="72"/>
      <c r="AP65" s="72"/>
      <c r="AQ65" s="72"/>
      <c r="AR65" s="72"/>
      <c r="AS65" s="72"/>
      <c r="AT65" s="114"/>
      <c r="AU65" s="114"/>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22"/>
      <c r="AC66" s="72"/>
      <c r="AD66" s="121"/>
      <c r="AE66" s="72"/>
      <c r="AF66" s="72"/>
      <c r="AG66" s="72"/>
      <c r="AH66" s="72"/>
      <c r="AI66" s="72"/>
      <c r="AJ66" s="72"/>
      <c r="AK66" s="72"/>
      <c r="AL66" s="72"/>
      <c r="AM66" s="72"/>
      <c r="AN66" s="72"/>
      <c r="AO66" s="72"/>
      <c r="AP66" s="72"/>
      <c r="AQ66" s="72"/>
      <c r="AR66" s="72"/>
      <c r="AS66" s="72"/>
      <c r="AT66" s="114"/>
      <c r="AU66" s="114"/>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22"/>
      <c r="AC67" s="72"/>
      <c r="AD67" s="121"/>
      <c r="AE67" s="72"/>
      <c r="AF67" s="72"/>
      <c r="AG67" s="72"/>
      <c r="AH67" s="72"/>
      <c r="AI67" s="72"/>
      <c r="AJ67" s="72"/>
      <c r="AK67" s="72"/>
      <c r="AL67" s="72"/>
      <c r="AM67" s="72"/>
      <c r="AN67" s="72"/>
      <c r="AO67" s="72"/>
      <c r="AP67" s="72"/>
      <c r="AQ67" s="72"/>
      <c r="AR67" s="72"/>
      <c r="AS67" s="72"/>
      <c r="AT67" s="114"/>
      <c r="AU67" s="114"/>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22"/>
      <c r="AC68" s="72"/>
      <c r="AD68" s="121"/>
      <c r="AE68" s="72"/>
      <c r="AF68" s="72"/>
      <c r="AG68" s="72"/>
      <c r="AH68" s="72"/>
      <c r="AI68" s="72"/>
      <c r="AJ68" s="72"/>
      <c r="AK68" s="72"/>
      <c r="AL68" s="72"/>
      <c r="AM68" s="72"/>
      <c r="AN68" s="72"/>
      <c r="AO68" s="72"/>
      <c r="AP68" s="72"/>
      <c r="AQ68" s="72"/>
      <c r="AR68" s="72"/>
      <c r="AS68" s="72"/>
      <c r="AT68" s="114"/>
      <c r="AU68" s="114"/>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22"/>
      <c r="AC69" s="72"/>
      <c r="AD69" s="121"/>
      <c r="AE69" s="72"/>
      <c r="AF69" s="72"/>
      <c r="AG69" s="72"/>
      <c r="AH69" s="72"/>
      <c r="AI69" s="72"/>
      <c r="AJ69" s="72"/>
      <c r="AK69" s="72"/>
      <c r="AL69" s="72"/>
      <c r="AM69" s="72"/>
      <c r="AN69" s="72"/>
      <c r="AO69" s="72"/>
      <c r="AP69" s="72"/>
      <c r="AQ69" s="72"/>
      <c r="AR69" s="72"/>
      <c r="AS69" s="72"/>
      <c r="AT69" s="114"/>
      <c r="AU69" s="114"/>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22"/>
      <c r="AC70" s="72"/>
      <c r="AD70" s="121"/>
      <c r="AE70" s="598"/>
      <c r="AF70" s="599"/>
      <c r="AG70" s="599"/>
      <c r="AH70" s="599"/>
      <c r="AI70" s="599"/>
      <c r="AJ70" s="599"/>
      <c r="AK70" s="599"/>
      <c r="AL70" s="600"/>
      <c r="AM70" s="72"/>
      <c r="AN70" s="551"/>
      <c r="AO70" s="552"/>
      <c r="AP70" s="552"/>
      <c r="AQ70" s="552"/>
      <c r="AR70" s="552"/>
      <c r="AS70" s="553"/>
      <c r="AT70" s="114"/>
      <c r="AU70" s="114"/>
    </row>
    <row r="71" spans="2:50" ht="12.75" customHeight="1" x14ac:dyDescent="0.2">
      <c r="B71" s="60"/>
      <c r="C71" s="60"/>
      <c r="D71" s="72"/>
      <c r="E71" s="72"/>
      <c r="F71" s="73" t="str">
        <f>'Sprachen &amp; Rückgabewerte(2)'!$B$41</f>
        <v>120101/120101</v>
      </c>
      <c r="G71" s="72"/>
      <c r="H71" s="72"/>
      <c r="I71" s="72"/>
      <c r="J71" s="72"/>
      <c r="K71" s="72"/>
      <c r="L71" s="73" t="str">
        <f>'Sprachen &amp; Rückgabewerte(2)'!$B$42</f>
        <v>120101/120401</v>
      </c>
      <c r="M71" s="61"/>
      <c r="N71" s="72"/>
      <c r="O71" s="72"/>
      <c r="P71" s="72"/>
      <c r="Q71" s="72"/>
      <c r="R71" s="73" t="str">
        <f>'Sprachen &amp; Rückgabewerte(2)'!$B$43</f>
        <v>120401/120401</v>
      </c>
      <c r="S71" s="72"/>
      <c r="T71" s="72"/>
      <c r="U71" s="72"/>
      <c r="V71" s="72"/>
      <c r="W71" s="72"/>
      <c r="X71" s="73" t="str">
        <f>'Sprachen &amp; Rückgabewerte(2)'!$B$44</f>
        <v>121101/121101</v>
      </c>
      <c r="Y71" s="61"/>
      <c r="Z71" s="72"/>
      <c r="AA71" s="72"/>
      <c r="AB71" s="122"/>
      <c r="AC71" s="72"/>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60"/>
      <c r="C72" s="60"/>
      <c r="D72" s="72"/>
      <c r="E72" s="72"/>
      <c r="F72" s="695"/>
      <c r="G72" s="696"/>
      <c r="H72" s="696"/>
      <c r="I72" s="697"/>
      <c r="J72" s="72"/>
      <c r="K72" s="72"/>
      <c r="L72" s="695"/>
      <c r="M72" s="696"/>
      <c r="N72" s="696"/>
      <c r="O72" s="697"/>
      <c r="P72" s="72"/>
      <c r="Q72" s="72"/>
      <c r="R72" s="695"/>
      <c r="S72" s="696"/>
      <c r="T72" s="696"/>
      <c r="U72" s="697"/>
      <c r="V72" s="72"/>
      <c r="W72" s="72"/>
      <c r="X72" s="695"/>
      <c r="Y72" s="696"/>
      <c r="Z72" s="696"/>
      <c r="AA72" s="697"/>
      <c r="AB72" s="122"/>
      <c r="AC72" s="72"/>
      <c r="AD72" s="72"/>
      <c r="AE72" s="72"/>
      <c r="AF72" s="72"/>
      <c r="AG72" s="72"/>
      <c r="AH72" s="72"/>
      <c r="AI72" s="72"/>
      <c r="AJ72" s="72"/>
      <c r="AK72" s="72"/>
      <c r="AL72" s="72"/>
      <c r="AM72" s="72"/>
      <c r="AN72" s="72"/>
      <c r="AO72" s="72"/>
      <c r="AP72" s="72"/>
      <c r="AQ72" s="72"/>
      <c r="AR72" s="72"/>
      <c r="AS72" s="72"/>
      <c r="AT72" s="61"/>
      <c r="AU72" s="114"/>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329"/>
      <c r="AC73" s="72"/>
      <c r="AD73" s="118"/>
      <c r="AE73" s="120" t="str">
        <f>'Sprachen &amp; Rückgabewerte(2)'!$H$70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22"/>
      <c r="AC74" s="72"/>
      <c r="AD74" s="121"/>
      <c r="AE74" s="72"/>
      <c r="AF74" s="72" t="str">
        <f>'Sprachen &amp; Rückgabewerte(2)'!$H$71</f>
        <v>Universalschrauben (A2):</v>
      </c>
      <c r="AG74" s="72"/>
      <c r="AH74" s="72"/>
      <c r="AI74" s="72"/>
      <c r="AJ74" s="72"/>
      <c r="AK74" s="72"/>
      <c r="AL74" s="72"/>
      <c r="AM74" s="72" t="str">
        <f>'Sprachen &amp; Rückgabewerte(2)'!H72</f>
        <v>L=52mm</v>
      </c>
      <c r="AN74" s="379"/>
      <c r="AO74" s="381"/>
      <c r="AP74" s="382"/>
      <c r="AQ74" s="72" t="str">
        <f>'Sprachen &amp; Rückgabewerte(2)'!$H$180</f>
        <v>VE</v>
      </c>
      <c r="AR74" s="72"/>
      <c r="AS74" s="72"/>
      <c r="AT74" s="114"/>
      <c r="AU74" s="114"/>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22"/>
      <c r="AC75" s="72"/>
      <c r="AD75" s="121"/>
      <c r="AE75" s="72"/>
      <c r="AF75" s="72"/>
      <c r="AG75" s="79" t="str">
        <f>'Sprachen &amp; Rückgabewerte(2)'!H75</f>
        <v>(VE à 100 Stk.)</v>
      </c>
      <c r="AH75" s="72"/>
      <c r="AI75" s="72"/>
      <c r="AJ75" s="72"/>
      <c r="AK75" s="72"/>
      <c r="AL75" s="72"/>
      <c r="AM75" s="72" t="str">
        <f>'Sprachen &amp; Rückgabewerte(2)'!H73</f>
        <v>L=82mm</v>
      </c>
      <c r="AN75" s="380"/>
      <c r="AO75" s="381"/>
      <c r="AP75" s="382"/>
      <c r="AQ75" s="72" t="str">
        <f>'Sprachen &amp; Rückgabewerte(2)'!$H$180</f>
        <v>VE</v>
      </c>
      <c r="AR75" s="72"/>
      <c r="AS75" s="72"/>
      <c r="AT75" s="114"/>
      <c r="AU75" s="114"/>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22"/>
      <c r="AC76" s="72"/>
      <c r="AD76" s="121"/>
      <c r="AE76" s="72"/>
      <c r="AF76" s="72"/>
      <c r="AG76" s="72"/>
      <c r="AH76" s="72"/>
      <c r="AI76" s="72"/>
      <c r="AJ76" s="72"/>
      <c r="AK76" s="72"/>
      <c r="AL76" s="72"/>
      <c r="AM76" s="72" t="str">
        <f>'Sprachen &amp; Rückgabewerte(2)'!H74</f>
        <v>L=112mm</v>
      </c>
      <c r="AN76" s="426"/>
      <c r="AO76" s="72"/>
      <c r="AP76" s="382"/>
      <c r="AQ76" s="72" t="str">
        <f>'Sprachen &amp; Rückgabewerte(2)'!$H$180</f>
        <v>VE</v>
      </c>
      <c r="AR76" s="72"/>
      <c r="AS76" s="72"/>
      <c r="AT76" s="114"/>
      <c r="AU76" s="114"/>
      <c r="AW76" s="558"/>
      <c r="AX76" s="558"/>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22"/>
      <c r="AC77" s="72"/>
      <c r="AD77" s="121"/>
      <c r="AE77" s="81" t="str">
        <f>'Sprachen &amp; Rückgabewerte(2)'!$H$76</f>
        <v>Sockelbefestigung:</v>
      </c>
      <c r="AF77" s="81"/>
      <c r="AG77" s="72"/>
      <c r="AH77" s="72"/>
      <c r="AI77" s="72"/>
      <c r="AJ77" s="72"/>
      <c r="AK77" s="72"/>
      <c r="AL77" s="72"/>
      <c r="AM77" s="72"/>
      <c r="AN77" s="72"/>
      <c r="AO77" s="72"/>
      <c r="AP77" s="72"/>
      <c r="AQ77" s="72"/>
      <c r="AR77" s="72"/>
      <c r="AS77" s="72"/>
      <c r="AT77" s="114"/>
      <c r="AU77" s="114"/>
      <c r="AW77" s="559"/>
      <c r="AX77" s="559"/>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22"/>
      <c r="AC78" s="72"/>
      <c r="AD78" s="121"/>
      <c r="AE78" s="72" t="str">
        <f>'Sprachen &amp; Rückgabewerte(2)'!$H$77</f>
        <v>Verstellschrauben M10 x</v>
      </c>
      <c r="AF78" s="72"/>
      <c r="AG78" s="72"/>
      <c r="AH78" s="72"/>
      <c r="AI78" s="72"/>
      <c r="AJ78" s="72"/>
      <c r="AK78" s="72"/>
      <c r="AL78" s="72"/>
      <c r="AM78" s="72"/>
      <c r="AN78" s="581"/>
      <c r="AO78" s="581"/>
      <c r="AP78" s="581"/>
      <c r="AQ78" s="72"/>
      <c r="AR78" s="72"/>
      <c r="AS78" s="72"/>
      <c r="AT78" s="114"/>
      <c r="AU78" s="114"/>
      <c r="AW78" s="559"/>
      <c r="AX78" s="559"/>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22"/>
      <c r="AC79" s="72"/>
      <c r="AD79" s="121"/>
      <c r="AE79" s="72" t="str">
        <f>'Sprachen &amp; Rückgabewerte(2)'!$H$52</f>
        <v>Standardgrundplatten:</v>
      </c>
      <c r="AF79" s="72"/>
      <c r="AG79" s="72"/>
      <c r="AH79" s="72"/>
      <c r="AI79" s="72"/>
      <c r="AJ79" s="72"/>
      <c r="AK79" s="72"/>
      <c r="AL79" s="72"/>
      <c r="AM79" s="72"/>
      <c r="AN79" s="581"/>
      <c r="AO79" s="581"/>
      <c r="AP79" s="581"/>
      <c r="AQ79" s="72"/>
      <c r="AR79" s="72"/>
      <c r="AS79" s="72"/>
      <c r="AT79" s="114"/>
      <c r="AU79" s="114"/>
      <c r="AW79" s="559"/>
      <c r="AX79" s="559"/>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22"/>
      <c r="AC80" s="72"/>
      <c r="AD80" s="121"/>
      <c r="AE80" s="188" t="str">
        <f>'Sprachen &amp; Rückgabewerte(2)'!$H$84</f>
        <v>Rahmenzusammenbau:</v>
      </c>
      <c r="AF80" s="72"/>
      <c r="AG80" s="72"/>
      <c r="AH80" s="72"/>
      <c r="AI80" s="72"/>
      <c r="AJ80" s="72"/>
      <c r="AK80" s="72"/>
      <c r="AL80" s="72"/>
      <c r="AM80" s="72"/>
      <c r="AN80" s="719"/>
      <c r="AO80" s="720"/>
      <c r="AP80" s="720"/>
      <c r="AQ80" s="720"/>
      <c r="AR80" s="720"/>
      <c r="AS80" s="721"/>
      <c r="AT80" s="325"/>
      <c r="AU80" s="115"/>
      <c r="AV80" s="326"/>
      <c r="AW80" s="560"/>
      <c r="AX80" s="560"/>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22"/>
      <c r="AC81" s="72"/>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22"/>
      <c r="AC82" s="72"/>
      <c r="AD82" s="72"/>
      <c r="AE82" s="72"/>
      <c r="AF82" s="72"/>
      <c r="AG82" s="72"/>
      <c r="AH82" s="72"/>
      <c r="AI82" s="72"/>
      <c r="AJ82" s="72"/>
      <c r="AK82" s="72"/>
      <c r="AL82" s="72"/>
      <c r="AM82" s="72"/>
      <c r="AN82" s="72"/>
      <c r="AO82" s="72"/>
      <c r="AP82" s="72"/>
      <c r="AQ82" s="72"/>
      <c r="AR82" s="72"/>
      <c r="AS82" s="72"/>
      <c r="AT82" s="61"/>
      <c r="AU82" s="114"/>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22"/>
      <c r="AC83" s="72"/>
      <c r="AD83" s="118"/>
      <c r="AE83" s="120" t="str">
        <f>'Sprachen &amp; Rückgabewerte(2)'!$H$87</f>
        <v>Logistik:</v>
      </c>
      <c r="AF83" s="120"/>
      <c r="AG83" s="119"/>
      <c r="AH83" s="119"/>
      <c r="AI83" s="119"/>
      <c r="AJ83" s="119"/>
      <c r="AK83" s="119"/>
      <c r="AL83" s="119"/>
      <c r="AM83" s="119"/>
      <c r="AN83" s="120" t="str">
        <f>'Sprachen &amp; Rückgabewerte(2)'!$H$49</f>
        <v>Zubehör:</v>
      </c>
      <c r="AO83" s="119"/>
      <c r="AP83" s="119"/>
      <c r="AQ83" s="119"/>
      <c r="AR83" s="119"/>
      <c r="AS83" s="119"/>
      <c r="AT83" s="113"/>
      <c r="AU83" s="114"/>
    </row>
    <row r="84" spans="2:50" ht="12.75" customHeight="1" x14ac:dyDescent="0.2">
      <c r="B84" s="60"/>
      <c r="C84" s="60"/>
      <c r="D84" s="72"/>
      <c r="E84" s="72"/>
      <c r="F84" s="72"/>
      <c r="G84" s="72"/>
      <c r="H84" s="73" t="str">
        <f>'Sprachen &amp; Rückgabewerte(2)'!$B$45</f>
        <v>321901/321901</v>
      </c>
      <c r="I84" s="72"/>
      <c r="J84" s="72"/>
      <c r="K84" s="72"/>
      <c r="L84" s="72"/>
      <c r="M84" s="72"/>
      <c r="N84" s="61"/>
      <c r="O84" s="73" t="str">
        <f>'Sprachen &amp; Rückgabewerte(2)'!$B$46</f>
        <v>321901/322301</v>
      </c>
      <c r="P84" s="72"/>
      <c r="Q84" s="72"/>
      <c r="R84" s="72"/>
      <c r="S84" s="72"/>
      <c r="T84" s="72"/>
      <c r="U84" s="61"/>
      <c r="V84" s="73" t="str">
        <f>'Sprachen &amp; Rückgabewerte(2)'!$B$47</f>
        <v>322301/322301</v>
      </c>
      <c r="W84" s="72"/>
      <c r="X84" s="72"/>
      <c r="Y84" s="72"/>
      <c r="Z84" s="72"/>
      <c r="AA84" s="72"/>
      <c r="AB84" s="122"/>
      <c r="AC84" s="72"/>
      <c r="AD84" s="121"/>
      <c r="AE84" s="617"/>
      <c r="AF84" s="618"/>
      <c r="AG84" s="618"/>
      <c r="AH84" s="618"/>
      <c r="AI84" s="618"/>
      <c r="AJ84" s="618"/>
      <c r="AK84" s="618"/>
      <c r="AL84" s="619"/>
      <c r="AM84" s="72"/>
      <c r="AN84" s="72"/>
      <c r="AO84" s="72" t="str">
        <f>'Sprachen &amp; Rückgabewerte(2)'!$H$50</f>
        <v>Rinne (siehe unten)</v>
      </c>
      <c r="AP84" s="72"/>
      <c r="AQ84" s="72"/>
      <c r="AR84" s="72"/>
      <c r="AS84" s="72"/>
      <c r="AT84" s="114"/>
      <c r="AU84" s="205"/>
      <c r="AV84" s="205"/>
    </row>
    <row r="85" spans="2:50" ht="12.75" customHeight="1" x14ac:dyDescent="0.2">
      <c r="B85" s="60"/>
      <c r="C85" s="60"/>
      <c r="D85" s="72"/>
      <c r="E85" s="72"/>
      <c r="F85" s="72"/>
      <c r="G85" s="72"/>
      <c r="H85" s="695"/>
      <c r="I85" s="696"/>
      <c r="J85" s="696"/>
      <c r="K85" s="697"/>
      <c r="L85" s="72"/>
      <c r="M85" s="72"/>
      <c r="N85" s="72"/>
      <c r="O85" s="695"/>
      <c r="P85" s="696"/>
      <c r="Q85" s="696"/>
      <c r="R85" s="697"/>
      <c r="S85" s="72"/>
      <c r="T85" s="72"/>
      <c r="U85" s="72"/>
      <c r="V85" s="695"/>
      <c r="W85" s="696"/>
      <c r="X85" s="696"/>
      <c r="Y85" s="697"/>
      <c r="Z85" s="72"/>
      <c r="AA85" s="72"/>
      <c r="AB85" s="122"/>
      <c r="AC85" s="72"/>
      <c r="AD85" s="121"/>
      <c r="AE85" s="620"/>
      <c r="AF85" s="620"/>
      <c r="AG85" s="620"/>
      <c r="AH85" s="620"/>
      <c r="AI85" s="620"/>
      <c r="AJ85" s="620"/>
      <c r="AK85" s="620"/>
      <c r="AL85" s="620"/>
      <c r="AM85" s="72"/>
      <c r="AN85" s="72"/>
      <c r="AO85" s="72" t="str">
        <f>'Sprachen &amp; Rückgabewerte(2)'!$H$51</f>
        <v>Wetterschenkel</v>
      </c>
      <c r="AP85" s="72"/>
      <c r="AQ85" s="72"/>
      <c r="AR85" s="72"/>
      <c r="AS85" s="72"/>
      <c r="AT85" s="114"/>
      <c r="AU85" s="114"/>
      <c r="AV85" s="228"/>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4"/>
      <c r="AC86" s="61"/>
      <c r="AD86" s="60"/>
      <c r="AE86" s="61"/>
      <c r="AF86" s="61"/>
      <c r="AG86" s="61"/>
      <c r="AH86" s="61"/>
      <c r="AI86" s="61"/>
      <c r="AJ86" s="61"/>
      <c r="AK86" s="61"/>
      <c r="AL86" s="61"/>
      <c r="AM86" s="61"/>
      <c r="AN86" s="61"/>
      <c r="AO86" s="61" t="str">
        <f>IF('Sprachen &amp; Rückgabewerte(2)'!$I$51=TRUE,"L=","")</f>
        <v/>
      </c>
      <c r="AP86" s="580"/>
      <c r="AQ86" s="580"/>
      <c r="AR86" s="580"/>
      <c r="AS86" s="61" t="str">
        <f>IF('Sprachen &amp; Rückgabewerte(2)'!$I$51=TRUE,"mm","")</f>
        <v/>
      </c>
      <c r="AT86" s="114"/>
      <c r="AU86" s="114"/>
      <c r="AV86" s="228"/>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698" t="str">
        <f>'Sprachen &amp; Rückgabewerte(2)'!$H$118</f>
        <v>Standard (RC2 in Anlehnung)</v>
      </c>
      <c r="AA87" s="698"/>
      <c r="AB87" s="699"/>
      <c r="AC87" s="61"/>
      <c r="AD87" s="60"/>
      <c r="AE87" s="320" t="str">
        <f>'Sprachen &amp; Rückgabewerte(2)'!$H$47</f>
        <v>Windlast:</v>
      </c>
      <c r="AF87" s="81"/>
      <c r="AG87" s="155"/>
      <c r="AH87" s="61"/>
      <c r="AI87" s="61"/>
      <c r="AJ87" s="61"/>
      <c r="AK87" s="61"/>
      <c r="AL87" s="61"/>
      <c r="AM87" s="555"/>
      <c r="AN87" s="556"/>
      <c r="AO87" s="557"/>
      <c r="AP87" s="321" t="s">
        <v>782</v>
      </c>
      <c r="AS87" s="184"/>
      <c r="AT87" s="114"/>
      <c r="AU87" s="114"/>
      <c r="AV87" s="228"/>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698"/>
      <c r="AA88" s="698"/>
      <c r="AB88" s="699"/>
      <c r="AC88" s="61"/>
      <c r="AD88" s="60"/>
      <c r="AE88" s="188" t="str">
        <f>'Sprachen &amp; Rückgabewerte(2)'!$H$90</f>
        <v>Wunschtermin:</v>
      </c>
      <c r="AF88" s="319"/>
      <c r="AG88" s="319"/>
      <c r="AH88" s="319"/>
      <c r="AI88" s="319"/>
      <c r="AJ88" s="319"/>
      <c r="AK88" s="319"/>
      <c r="AL88" s="319"/>
      <c r="AM88" s="715"/>
      <c r="AN88" s="716"/>
      <c r="AO88" s="716"/>
      <c r="AP88" s="717"/>
      <c r="AQ88" s="717"/>
      <c r="AR88" s="718"/>
      <c r="AS88" s="319"/>
      <c r="AT88" s="114"/>
      <c r="AU88" s="114"/>
      <c r="AV88" s="228"/>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698"/>
      <c r="AA89" s="698"/>
      <c r="AB89" s="699"/>
      <c r="AC89" s="61"/>
      <c r="AD89" s="60"/>
      <c r="AF89" s="319"/>
      <c r="AG89" s="319"/>
      <c r="AH89" s="319"/>
      <c r="AI89" s="319"/>
      <c r="AJ89" s="319"/>
      <c r="AK89" s="319"/>
      <c r="AL89" s="319"/>
      <c r="AS89" s="319"/>
      <c r="AT89" s="114"/>
      <c r="AU89" s="114"/>
      <c r="AV89" s="228"/>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6" t="str">
        <f>'Sprachen &amp; Rückgabewerte(2)'!$H$116</f>
        <v>Ganzglas-Ecke</v>
      </c>
      <c r="W90" s="61"/>
      <c r="X90" s="61"/>
      <c r="Y90" s="61"/>
      <c r="Z90" s="61"/>
      <c r="AA90" s="61"/>
      <c r="AB90" s="114"/>
      <c r="AC90" s="61"/>
      <c r="AD90" s="60"/>
      <c r="AE90" s="554" t="str">
        <f>'Sprachen &amp; Rückgabewerte(2)'!$H$102</f>
        <v>Diese Bestellung ist verbindlich und muss komplett ausgefüllt werden. Änderungen werden als Mehraufwand verrechnet.</v>
      </c>
      <c r="AF90" s="554"/>
      <c r="AG90" s="554"/>
      <c r="AH90" s="554"/>
      <c r="AI90" s="554"/>
      <c r="AJ90" s="554"/>
      <c r="AK90" s="554"/>
      <c r="AL90" s="554"/>
      <c r="AM90" s="554"/>
      <c r="AN90" s="554"/>
      <c r="AO90" s="554"/>
      <c r="AP90" s="554"/>
      <c r="AQ90" s="554"/>
      <c r="AR90" s="554"/>
      <c r="AS90" s="554"/>
      <c r="AT90" s="114"/>
      <c r="AU90" s="114"/>
      <c r="AV90" s="228"/>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00" t="str">
        <f>'Sprachen &amp; Rückgabewerte(2)'!$H$119</f>
        <v>RC2 mit Blech</v>
      </c>
      <c r="AA91" s="700"/>
      <c r="AB91" s="701"/>
      <c r="AC91" s="61"/>
      <c r="AD91" s="60"/>
      <c r="AE91" s="554"/>
      <c r="AF91" s="554"/>
      <c r="AG91" s="554"/>
      <c r="AH91" s="554"/>
      <c r="AI91" s="554"/>
      <c r="AJ91" s="554"/>
      <c r="AK91" s="554"/>
      <c r="AL91" s="554"/>
      <c r="AM91" s="554"/>
      <c r="AN91" s="554"/>
      <c r="AO91" s="554"/>
      <c r="AP91" s="554"/>
      <c r="AQ91" s="554"/>
      <c r="AR91" s="554"/>
      <c r="AS91" s="554"/>
      <c r="AT91" s="114"/>
      <c r="AU91" s="114"/>
      <c r="AV91" s="228"/>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00"/>
      <c r="AA92" s="700"/>
      <c r="AB92" s="701"/>
      <c r="AC92" s="61"/>
      <c r="AD92" s="60"/>
      <c r="AE92" s="554"/>
      <c r="AF92" s="554"/>
      <c r="AG92" s="554"/>
      <c r="AH92" s="554"/>
      <c r="AI92" s="554"/>
      <c r="AJ92" s="554"/>
      <c r="AK92" s="554"/>
      <c r="AL92" s="554"/>
      <c r="AM92" s="554"/>
      <c r="AN92" s="554"/>
      <c r="AO92" s="554"/>
      <c r="AP92" s="554"/>
      <c r="AQ92" s="554"/>
      <c r="AR92" s="554"/>
      <c r="AS92" s="554"/>
      <c r="AT92" s="114"/>
      <c r="AU92" s="114"/>
      <c r="AV92" s="228"/>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00"/>
      <c r="AA93" s="700"/>
      <c r="AB93" s="701"/>
      <c r="AC93" s="61"/>
      <c r="AD93" s="68"/>
      <c r="AE93" s="84"/>
      <c r="AF93" s="84"/>
      <c r="AG93" s="84"/>
      <c r="AH93" s="84"/>
      <c r="AI93" s="84"/>
      <c r="AJ93" s="84"/>
      <c r="AK93" s="84"/>
      <c r="AL93" s="84"/>
      <c r="AM93" s="84"/>
      <c r="AN93" s="84"/>
      <c r="AO93" s="84"/>
      <c r="AP93" s="84"/>
      <c r="AQ93" s="84"/>
      <c r="AR93" s="84"/>
      <c r="AS93" s="84"/>
      <c r="AT93" s="115"/>
      <c r="AU93" s="114"/>
      <c r="AV93" s="228"/>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4"/>
      <c r="AC94" s="61"/>
      <c r="AD94" s="61"/>
      <c r="AE94" s="61"/>
      <c r="AF94" s="61"/>
      <c r="AG94" s="61"/>
      <c r="AH94" s="61"/>
      <c r="AI94" s="61"/>
      <c r="AJ94" s="61"/>
      <c r="AK94" s="72"/>
      <c r="AL94" s="72"/>
      <c r="AM94" s="72"/>
      <c r="AN94" s="72"/>
      <c r="AO94" s="72"/>
      <c r="AP94" s="72"/>
      <c r="AQ94" s="72"/>
      <c r="AR94" s="61"/>
      <c r="AS94" s="61"/>
      <c r="AT94" s="61"/>
      <c r="AU94" s="114"/>
      <c r="AV94" s="228"/>
    </row>
    <row r="95" spans="2:50" ht="12.75" customHeight="1" x14ac:dyDescent="0.2">
      <c r="B95" s="60"/>
      <c r="C95" s="60"/>
      <c r="D95" s="61"/>
      <c r="E95" s="61"/>
      <c r="F95" s="61"/>
      <c r="G95" s="61"/>
      <c r="H95" s="156" t="str">
        <f>'Sprachen &amp; Rückgabewerte(2)'!$B$48</f>
        <v>110101/110301</v>
      </c>
      <c r="I95" s="61"/>
      <c r="J95" s="61"/>
      <c r="K95" s="61"/>
      <c r="L95" s="61"/>
      <c r="M95" s="61"/>
      <c r="N95" s="61"/>
      <c r="O95" s="156" t="str">
        <f>'Sprachen &amp; Rückgabewerte(2)'!$B$49</f>
        <v>110101/110501</v>
      </c>
      <c r="P95" s="61"/>
      <c r="Q95" s="61"/>
      <c r="R95" s="61"/>
      <c r="S95" s="61"/>
      <c r="T95" s="61"/>
      <c r="U95" s="61"/>
      <c r="V95" s="156" t="str">
        <f>'Sprachen &amp; Rückgabewerte(2)'!$H$117</f>
        <v>Ecke RC2 (WK2)</v>
      </c>
      <c r="W95" s="61"/>
      <c r="X95" s="61"/>
      <c r="Y95" s="61"/>
      <c r="Z95" s="61"/>
      <c r="AA95" s="61"/>
      <c r="AB95" s="114"/>
      <c r="AC95" s="61"/>
      <c r="AD95" s="111"/>
      <c r="AE95" s="405"/>
      <c r="AF95" s="405"/>
      <c r="AG95" s="405"/>
      <c r="AH95" s="405"/>
      <c r="AI95" s="405"/>
      <c r="AJ95" s="405"/>
      <c r="AK95" s="405"/>
      <c r="AL95" s="405"/>
      <c r="AM95" s="405"/>
      <c r="AN95" s="405"/>
      <c r="AO95" s="405"/>
      <c r="AP95" s="405"/>
      <c r="AQ95" s="405"/>
      <c r="AR95" s="405"/>
      <c r="AS95" s="405"/>
      <c r="AT95" s="406"/>
      <c r="AU95" s="114"/>
      <c r="AV95" s="228"/>
      <c r="AW95" s="412" t="str">
        <f>IF(OR(AQ96="",AQ96='Sprachen &amp; Rückgabewerte(2)'!H96),"",'Sprachen &amp; Rückgabewerte(2)'!H182)</f>
        <v/>
      </c>
    </row>
    <row r="96" spans="2:50" ht="12.75" customHeight="1" x14ac:dyDescent="0.2">
      <c r="B96" s="60"/>
      <c r="C96" s="60"/>
      <c r="D96" s="61"/>
      <c r="E96" s="61"/>
      <c r="F96" s="61"/>
      <c r="G96" s="61"/>
      <c r="H96" s="695"/>
      <c r="I96" s="696"/>
      <c r="J96" s="696"/>
      <c r="K96" s="697"/>
      <c r="L96" s="61"/>
      <c r="M96" s="61"/>
      <c r="N96" s="61"/>
      <c r="O96" s="695"/>
      <c r="P96" s="696"/>
      <c r="Q96" s="696"/>
      <c r="R96" s="697"/>
      <c r="S96" s="61"/>
      <c r="T96" s="61"/>
      <c r="U96" s="61"/>
      <c r="V96" s="712"/>
      <c r="W96" s="713"/>
      <c r="X96" s="713"/>
      <c r="Y96" s="714"/>
      <c r="Z96" s="61"/>
      <c r="AA96" s="61"/>
      <c r="AB96" s="114"/>
      <c r="AC96" s="61"/>
      <c r="AD96" s="60"/>
      <c r="AE96" s="73" t="str">
        <f>'Sprachen &amp; Rückgabewerte(2)'!H181</f>
        <v>Sky-Frame Beratung vorhanden:</v>
      </c>
      <c r="AF96" s="407"/>
      <c r="AG96" s="407"/>
      <c r="AH96" s="407"/>
      <c r="AI96" s="407"/>
      <c r="AJ96" s="407"/>
      <c r="AK96" s="407"/>
      <c r="AL96" s="407"/>
      <c r="AM96" s="407"/>
      <c r="AN96" s="407"/>
      <c r="AO96" s="407"/>
      <c r="AP96" s="407"/>
      <c r="AQ96" s="590"/>
      <c r="AR96" s="591"/>
      <c r="AS96" s="410"/>
      <c r="AT96" s="409"/>
      <c r="AU96" s="115"/>
      <c r="AV96" s="411"/>
      <c r="AW96" s="546"/>
      <c r="AX96" s="548"/>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84"/>
      <c r="W97" s="84"/>
      <c r="X97" s="84"/>
      <c r="Y97" s="84"/>
      <c r="Z97" s="84"/>
      <c r="AA97" s="84"/>
      <c r="AB97" s="115"/>
      <c r="AC97" s="61"/>
      <c r="AD97" s="68"/>
      <c r="AE97" s="408"/>
      <c r="AF97" s="408"/>
      <c r="AG97" s="408"/>
      <c r="AH97" s="408"/>
      <c r="AI97" s="408"/>
      <c r="AJ97" s="408"/>
      <c r="AK97" s="408"/>
      <c r="AL97" s="408"/>
      <c r="AM97" s="408"/>
      <c r="AN97" s="408"/>
      <c r="AO97" s="408"/>
      <c r="AP97" s="408"/>
      <c r="AQ97" s="408"/>
      <c r="AR97" s="408"/>
      <c r="AS97" s="408"/>
      <c r="AT97" s="409"/>
      <c r="AU97" s="114"/>
      <c r="AV97" s="228"/>
    </row>
    <row r="98" spans="2:48" ht="19.5" customHeight="1" x14ac:dyDescent="0.2">
      <c r="B98" s="68"/>
      <c r="C98" s="711" t="s">
        <v>913</v>
      </c>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1"/>
      <c r="AG98" s="711"/>
      <c r="AH98" s="711"/>
      <c r="AI98" s="711"/>
      <c r="AJ98" s="711"/>
      <c r="AK98" s="711"/>
      <c r="AL98" s="711"/>
      <c r="AM98" s="711"/>
      <c r="AN98" s="711"/>
      <c r="AO98" s="711"/>
      <c r="AP98" s="84"/>
      <c r="AQ98" s="84"/>
      <c r="AR98" s="84"/>
      <c r="AS98" s="84"/>
      <c r="AT98" s="158" t="s">
        <v>907</v>
      </c>
      <c r="AU98" s="115"/>
      <c r="AV98" s="228"/>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55"/>
      <c r="AU99" s="61"/>
      <c r="AV99" s="114"/>
    </row>
    <row r="100" spans="2:48" x14ac:dyDescent="0.2">
      <c r="AV100" s="115"/>
    </row>
    <row r="101" spans="2:48" ht="13.5" thickBot="1" x14ac:dyDescent="0.25">
      <c r="B101" s="111"/>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13"/>
    </row>
    <row r="102" spans="2:48" ht="16.5" thickTop="1" x14ac:dyDescent="0.25">
      <c r="B102" s="60"/>
      <c r="C102" s="111"/>
      <c r="D102" s="82"/>
      <c r="E102" s="273" t="str">
        <f>'Sprachen &amp; Rückgabewerte(2)'!$H$138</f>
        <v>Rinnenbestellung</v>
      </c>
      <c r="F102" s="82"/>
      <c r="G102" s="82"/>
      <c r="H102" s="82"/>
      <c r="I102" s="82"/>
      <c r="J102" s="82"/>
      <c r="K102" s="82"/>
      <c r="L102" s="82"/>
      <c r="M102" s="82"/>
      <c r="N102" s="82"/>
      <c r="O102" s="82"/>
      <c r="P102" s="82"/>
      <c r="Q102" s="82"/>
      <c r="R102" s="82"/>
      <c r="S102" s="82"/>
      <c r="T102" s="82"/>
      <c r="U102" s="82"/>
      <c r="V102" s="82"/>
      <c r="W102" s="82"/>
      <c r="X102" s="82"/>
      <c r="Y102" s="82"/>
      <c r="Z102" s="113"/>
      <c r="AA102" s="61"/>
      <c r="AB102" s="240"/>
      <c r="AC102" s="241"/>
      <c r="AD102" s="241"/>
      <c r="AE102" s="241"/>
      <c r="AF102" s="256"/>
      <c r="AG102" s="257"/>
      <c r="AH102" s="260"/>
      <c r="AI102" s="256"/>
      <c r="AJ102" s="256"/>
      <c r="AK102" s="256"/>
      <c r="AL102" s="256"/>
      <c r="AM102" s="257"/>
      <c r="AN102" s="260"/>
      <c r="AO102" s="256"/>
      <c r="AP102" s="256"/>
      <c r="AQ102" s="256"/>
      <c r="AR102" s="256"/>
      <c r="AS102" s="256"/>
      <c r="AT102" s="257"/>
      <c r="AU102" s="114"/>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4"/>
      <c r="AA103" s="61"/>
      <c r="AB103" s="243"/>
      <c r="AC103" s="61"/>
      <c r="AD103" s="61"/>
      <c r="AE103" s="61"/>
      <c r="AF103" s="132"/>
      <c r="AG103" s="258"/>
      <c r="AH103" s="261"/>
      <c r="AI103" s="132"/>
      <c r="AJ103" s="132"/>
      <c r="AK103" s="132"/>
      <c r="AL103" s="132"/>
      <c r="AM103" s="258"/>
      <c r="AN103" s="261"/>
      <c r="AO103" s="132"/>
      <c r="AP103" s="132"/>
      <c r="AQ103" s="132"/>
      <c r="AR103" s="132"/>
      <c r="AS103" s="132"/>
      <c r="AT103" s="258"/>
      <c r="AU103" s="133"/>
    </row>
    <row r="104" spans="2:48" ht="15" customHeight="1" x14ac:dyDescent="0.2">
      <c r="B104" s="60"/>
      <c r="C104" s="60"/>
      <c r="D104" s="61"/>
      <c r="E104" s="72" t="str">
        <f>'Sprachen &amp; Rückgabewerte(2)'!$H$139</f>
        <v>Wahl des Rinnensystems:</v>
      </c>
      <c r="F104" s="61"/>
      <c r="G104" s="61"/>
      <c r="H104" s="61"/>
      <c r="I104" s="61"/>
      <c r="J104" s="61"/>
      <c r="K104" s="61"/>
      <c r="L104" s="61"/>
      <c r="M104" s="61"/>
      <c r="N104" s="61"/>
      <c r="O104" s="61"/>
      <c r="P104" s="61"/>
      <c r="Q104" s="61"/>
      <c r="R104" s="61"/>
      <c r="S104" s="61"/>
      <c r="T104" s="725"/>
      <c r="U104" s="726"/>
      <c r="V104" s="238"/>
      <c r="W104" s="238"/>
      <c r="X104" s="61"/>
      <c r="Y104" s="61"/>
      <c r="Z104" s="114"/>
      <c r="AB104" s="243"/>
      <c r="AC104" s="61"/>
      <c r="AD104" s="61"/>
      <c r="AE104" s="61"/>
      <c r="AF104" s="132"/>
      <c r="AG104" s="258"/>
      <c r="AH104" s="261"/>
      <c r="AI104" s="132"/>
      <c r="AJ104" s="132"/>
      <c r="AK104" s="132"/>
      <c r="AL104" s="132"/>
      <c r="AM104" s="258"/>
      <c r="AN104" s="261"/>
      <c r="AO104" s="132"/>
      <c r="AP104" s="132"/>
      <c r="AQ104" s="132"/>
      <c r="AR104" s="132"/>
      <c r="AS104" s="132"/>
      <c r="AT104" s="258"/>
      <c r="AU104" s="133"/>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4"/>
      <c r="AB105" s="243"/>
      <c r="AC105" s="61"/>
      <c r="AD105" s="61"/>
      <c r="AE105" s="61"/>
      <c r="AF105" s="132"/>
      <c r="AG105" s="258"/>
      <c r="AH105" s="261"/>
      <c r="AI105" s="132"/>
      <c r="AJ105" s="132"/>
      <c r="AK105" s="132"/>
      <c r="AL105" s="132"/>
      <c r="AM105" s="258"/>
      <c r="AN105" s="261"/>
      <c r="AO105" s="132"/>
      <c r="AP105" s="132"/>
      <c r="AQ105" s="132"/>
      <c r="AR105" s="132"/>
      <c r="AS105" s="132"/>
      <c r="AT105" s="258"/>
      <c r="AU105" s="133"/>
    </row>
    <row r="106" spans="2:48" ht="15" customHeight="1" x14ac:dyDescent="0.2">
      <c r="B106" s="60"/>
      <c r="C106" s="60"/>
      <c r="D106" s="61"/>
      <c r="E106" s="72" t="str">
        <f>'Sprachen &amp; Rückgabewerte(2)'!$H$140</f>
        <v>Einzug an der linken Anlagenseite:</v>
      </c>
      <c r="F106" s="61"/>
      <c r="G106" s="61"/>
      <c r="H106" s="61"/>
      <c r="I106" s="61"/>
      <c r="J106" s="61"/>
      <c r="K106" s="61"/>
      <c r="L106" s="61"/>
      <c r="M106" s="61"/>
      <c r="N106" s="61"/>
      <c r="O106" s="61"/>
      <c r="P106" s="61"/>
      <c r="Q106" s="61"/>
      <c r="R106" s="61"/>
      <c r="S106" s="61"/>
      <c r="T106" s="705"/>
      <c r="U106" s="727"/>
      <c r="V106" s="61" t="s">
        <v>179</v>
      </c>
      <c r="W106" s="61"/>
      <c r="X106" s="61"/>
      <c r="Y106" s="61"/>
      <c r="Z106" s="114"/>
      <c r="AB106" s="243"/>
      <c r="AC106" s="61"/>
      <c r="AD106" s="61"/>
      <c r="AE106" s="61"/>
      <c r="AF106" s="132"/>
      <c r="AG106" s="258"/>
      <c r="AH106" s="261"/>
      <c r="AI106" s="132"/>
      <c r="AJ106" s="132"/>
      <c r="AK106" s="132"/>
      <c r="AL106" s="132"/>
      <c r="AM106" s="258"/>
      <c r="AN106" s="261"/>
      <c r="AO106" s="132"/>
      <c r="AP106" s="132"/>
      <c r="AQ106" s="132"/>
      <c r="AR106" s="132"/>
      <c r="AS106" s="132"/>
      <c r="AT106" s="258"/>
      <c r="AU106" s="133"/>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4"/>
      <c r="AB107" s="243"/>
      <c r="AC107" s="61"/>
      <c r="AD107" s="61"/>
      <c r="AE107" s="61"/>
      <c r="AF107" s="132"/>
      <c r="AG107" s="258"/>
      <c r="AH107" s="261"/>
      <c r="AI107" s="132"/>
      <c r="AJ107" s="132"/>
      <c r="AK107" s="132"/>
      <c r="AL107" s="132"/>
      <c r="AM107" s="258"/>
      <c r="AN107" s="261"/>
      <c r="AO107" s="132"/>
      <c r="AP107" s="132"/>
      <c r="AQ107" s="132"/>
      <c r="AR107" s="132"/>
      <c r="AS107" s="132"/>
      <c r="AT107" s="258"/>
      <c r="AU107" s="133"/>
    </row>
    <row r="108" spans="2:48" ht="15" customHeight="1" x14ac:dyDescent="0.2">
      <c r="B108" s="60"/>
      <c r="C108" s="60"/>
      <c r="D108" s="61"/>
      <c r="E108" s="72" t="str">
        <f>'Sprachen &amp; Rückgabewerte(2)'!$H$141</f>
        <v>Einzug an der rechten Anlagenseite:</v>
      </c>
      <c r="F108" s="61"/>
      <c r="G108" s="61"/>
      <c r="H108" s="61"/>
      <c r="I108" s="61"/>
      <c r="J108" s="61"/>
      <c r="K108" s="61"/>
      <c r="L108" s="61"/>
      <c r="M108" s="61"/>
      <c r="N108" s="61"/>
      <c r="O108" s="61"/>
      <c r="P108" s="61"/>
      <c r="Q108" s="61"/>
      <c r="R108" s="61"/>
      <c r="S108" s="61"/>
      <c r="T108" s="705"/>
      <c r="U108" s="727"/>
      <c r="V108" s="61" t="s">
        <v>179</v>
      </c>
      <c r="W108" s="61"/>
      <c r="X108" s="61"/>
      <c r="Y108" s="61"/>
      <c r="Z108" s="114"/>
      <c r="AB108" s="243"/>
      <c r="AC108" s="61"/>
      <c r="AD108" s="61"/>
      <c r="AE108" s="61"/>
      <c r="AF108" s="132"/>
      <c r="AG108" s="258"/>
      <c r="AH108" s="261"/>
      <c r="AI108" s="132"/>
      <c r="AJ108" s="132"/>
      <c r="AK108" s="132"/>
      <c r="AL108" s="132"/>
      <c r="AM108" s="258"/>
      <c r="AN108" s="261"/>
      <c r="AO108" s="132"/>
      <c r="AP108" s="132"/>
      <c r="AQ108" s="132"/>
      <c r="AR108" s="132"/>
      <c r="AS108" s="132"/>
      <c r="AT108" s="258"/>
      <c r="AU108" s="133"/>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4"/>
      <c r="AB109" s="243"/>
      <c r="AC109" s="61"/>
      <c r="AD109" s="61"/>
      <c r="AE109" s="61"/>
      <c r="AF109" s="132"/>
      <c r="AG109" s="258"/>
      <c r="AH109" s="261"/>
      <c r="AI109" s="132"/>
      <c r="AJ109" s="132"/>
      <c r="AK109" s="132"/>
      <c r="AL109" s="132"/>
      <c r="AM109" s="258"/>
      <c r="AN109" s="261"/>
      <c r="AO109" s="132"/>
      <c r="AP109" s="132"/>
      <c r="AQ109" s="132"/>
      <c r="AR109" s="132"/>
      <c r="AS109" s="132"/>
      <c r="AT109" s="258"/>
      <c r="AU109" s="133"/>
    </row>
    <row r="110" spans="2:48" ht="15" customHeight="1" x14ac:dyDescent="0.2">
      <c r="B110" s="60"/>
      <c r="C110" s="60"/>
      <c r="D110" s="61"/>
      <c r="E110" s="72" t="str">
        <f>'Sprachen &amp; Rückgabewerte(2)'!$H$142</f>
        <v>Anschlussstutzen:</v>
      </c>
      <c r="F110" s="61"/>
      <c r="G110" s="61"/>
      <c r="H110" s="61"/>
      <c r="I110" s="61"/>
      <c r="J110" s="61"/>
      <c r="K110" s="61"/>
      <c r="L110" s="61"/>
      <c r="M110" s="61"/>
      <c r="N110" s="61"/>
      <c r="O110" s="61"/>
      <c r="P110" s="61"/>
      <c r="Q110" s="61"/>
      <c r="R110" s="61"/>
      <c r="S110" s="61"/>
      <c r="T110" s="725"/>
      <c r="U110" s="728"/>
      <c r="V110" s="728"/>
      <c r="W110" s="728"/>
      <c r="X110" s="728"/>
      <c r="Y110" s="726"/>
      <c r="Z110" s="533"/>
      <c r="AB110" s="262"/>
      <c r="AC110" s="263"/>
      <c r="AD110" s="263"/>
      <c r="AE110" s="263"/>
      <c r="AF110" s="264"/>
      <c r="AG110" s="265"/>
      <c r="AH110" s="266"/>
      <c r="AI110" s="264"/>
      <c r="AJ110" s="264"/>
      <c r="AK110" s="264"/>
      <c r="AL110" s="264"/>
      <c r="AM110" s="265"/>
      <c r="AN110" s="266"/>
      <c r="AO110" s="264"/>
      <c r="AP110" s="264"/>
      <c r="AQ110" s="264"/>
      <c r="AR110" s="264"/>
      <c r="AS110" s="264"/>
      <c r="AT110" s="265"/>
      <c r="AU110" s="133"/>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4"/>
      <c r="AB111" s="267"/>
      <c r="AC111" s="268"/>
      <c r="AD111" s="268"/>
      <c r="AE111" s="268"/>
      <c r="AF111" s="269"/>
      <c r="AG111" s="270"/>
      <c r="AH111" s="269"/>
      <c r="AI111" s="269"/>
      <c r="AJ111" s="269"/>
      <c r="AK111" s="269"/>
      <c r="AL111" s="269"/>
      <c r="AM111" s="269"/>
      <c r="AN111" s="271"/>
      <c r="AO111" s="269"/>
      <c r="AP111" s="269"/>
      <c r="AQ111" s="269"/>
      <c r="AR111" s="269"/>
      <c r="AS111" s="269"/>
      <c r="AT111" s="270"/>
      <c r="AU111" s="133"/>
    </row>
    <row r="112" spans="2:48" ht="15" customHeight="1" x14ac:dyDescent="0.2">
      <c r="B112" s="60"/>
      <c r="C112" s="60"/>
      <c r="D112" s="61"/>
      <c r="E112" s="61"/>
      <c r="F112" s="61"/>
      <c r="G112" s="61"/>
      <c r="H112" s="61"/>
      <c r="I112" s="61"/>
      <c r="J112" s="61"/>
      <c r="K112" s="61"/>
      <c r="L112" s="61"/>
      <c r="M112" s="61"/>
      <c r="N112" s="61"/>
      <c r="O112" s="61"/>
      <c r="P112" s="61"/>
      <c r="Q112" s="61"/>
      <c r="R112" s="276" t="str">
        <f>IF($T$110='Sprachen &amp; Rückgabewerte(2)'!$J$143,'Sprachen &amp; Rückgabewerte(2)'!$H$145,'Sprachen &amp; Rückgabewerte(2)'!$H$148)</f>
        <v>Abstände Ablaufstutzen:</v>
      </c>
      <c r="S112" s="61"/>
      <c r="T112" s="708"/>
      <c r="U112" s="723"/>
      <c r="V112" s="723"/>
      <c r="W112" s="723"/>
      <c r="X112" s="723"/>
      <c r="Y112" s="724"/>
      <c r="Z112" s="534"/>
      <c r="AB112" s="243"/>
      <c r="AC112" s="61"/>
      <c r="AD112" s="61"/>
      <c r="AE112" s="61"/>
      <c r="AF112" s="132"/>
      <c r="AG112" s="258"/>
      <c r="AH112" s="132"/>
      <c r="AI112" s="132"/>
      <c r="AJ112" s="132"/>
      <c r="AK112" s="132"/>
      <c r="AL112" s="132"/>
      <c r="AM112" s="132"/>
      <c r="AN112" s="261"/>
      <c r="AO112" s="132"/>
      <c r="AP112" s="132"/>
      <c r="AQ112" s="132"/>
      <c r="AR112" s="132"/>
      <c r="AS112" s="132"/>
      <c r="AT112" s="258"/>
      <c r="AU112" s="133"/>
    </row>
    <row r="113" spans="2:47" x14ac:dyDescent="0.2">
      <c r="B113" s="60"/>
      <c r="C113" s="60"/>
      <c r="D113" s="61"/>
      <c r="E113" s="277"/>
      <c r="F113" s="277"/>
      <c r="G113" s="277"/>
      <c r="H113" s="277"/>
      <c r="I113" s="277"/>
      <c r="J113" s="277"/>
      <c r="K113" s="277"/>
      <c r="L113" s="277"/>
      <c r="M113" s="277"/>
      <c r="N113" s="277"/>
      <c r="O113" s="277"/>
      <c r="P113" s="277"/>
      <c r="Q113" s="277"/>
      <c r="R113" s="277"/>
      <c r="S113" s="277"/>
      <c r="T113" s="61"/>
      <c r="U113" s="61"/>
      <c r="V113" s="61"/>
      <c r="W113" s="61"/>
      <c r="X113" s="61"/>
      <c r="Y113" s="61"/>
      <c r="Z113" s="114"/>
      <c r="AB113" s="243"/>
      <c r="AC113" s="61"/>
      <c r="AD113" s="61"/>
      <c r="AE113" s="61"/>
      <c r="AF113" s="132"/>
      <c r="AG113" s="258"/>
      <c r="AH113" s="132"/>
      <c r="AI113" s="132"/>
      <c r="AJ113" s="132"/>
      <c r="AK113" s="132"/>
      <c r="AL113" s="132"/>
      <c r="AM113" s="132"/>
      <c r="AN113" s="261"/>
      <c r="AO113" s="132"/>
      <c r="AP113" s="132"/>
      <c r="AQ113" s="132"/>
      <c r="AR113" s="132"/>
      <c r="AS113" s="132"/>
      <c r="AT113" s="258"/>
      <c r="AU113" s="114"/>
    </row>
    <row r="114" spans="2:47" ht="15" customHeight="1" x14ac:dyDescent="0.2">
      <c r="B114" s="60"/>
      <c r="C114" s="60"/>
      <c r="D114" s="61"/>
      <c r="E114" s="277"/>
      <c r="F114" s="277"/>
      <c r="G114" s="277"/>
      <c r="H114" s="277"/>
      <c r="I114" s="277"/>
      <c r="J114" s="277"/>
      <c r="K114" s="277"/>
      <c r="L114" s="277"/>
      <c r="M114" s="277"/>
      <c r="N114" s="277"/>
      <c r="O114" s="277"/>
      <c r="P114" s="277"/>
      <c r="Q114" s="277"/>
      <c r="R114" s="276" t="str">
        <f>'Sprachen &amp; Rückgabewerte(2)'!H149</f>
        <v>Rinnenanschluss:</v>
      </c>
      <c r="S114" s="277"/>
      <c r="T114" s="725"/>
      <c r="U114" s="726"/>
      <c r="V114" s="61"/>
      <c r="W114" s="61"/>
      <c r="X114" s="61"/>
      <c r="Y114" s="61"/>
      <c r="Z114" s="114"/>
      <c r="AB114" s="243"/>
      <c r="AC114" s="61"/>
      <c r="AD114" s="61"/>
      <c r="AE114" s="61"/>
      <c r="AF114" s="132"/>
      <c r="AG114" s="258"/>
      <c r="AH114" s="132"/>
      <c r="AI114" s="132"/>
      <c r="AJ114" s="132"/>
      <c r="AK114" s="132"/>
      <c r="AL114" s="132"/>
      <c r="AM114" s="132"/>
      <c r="AN114" s="261"/>
      <c r="AO114" s="132"/>
      <c r="AP114" s="132"/>
      <c r="AQ114" s="132"/>
      <c r="AR114" s="132"/>
      <c r="AS114" s="132"/>
      <c r="AT114" s="258"/>
      <c r="AU114" s="114"/>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4"/>
      <c r="AA115" s="61"/>
      <c r="AB115" s="243"/>
      <c r="AC115" s="61"/>
      <c r="AD115" s="61"/>
      <c r="AE115" s="61"/>
      <c r="AF115" s="61"/>
      <c r="AG115" s="258"/>
      <c r="AH115" s="132"/>
      <c r="AI115" s="132"/>
      <c r="AJ115" s="132"/>
      <c r="AK115" s="132"/>
      <c r="AL115" s="132"/>
      <c r="AM115" s="132"/>
      <c r="AN115" s="261"/>
      <c r="AO115" s="61"/>
      <c r="AP115" s="61"/>
      <c r="AQ115" s="61"/>
      <c r="AR115" s="61"/>
      <c r="AS115" s="61"/>
      <c r="AT115" s="245"/>
      <c r="AU115" s="114"/>
    </row>
    <row r="116" spans="2:47" x14ac:dyDescent="0.2">
      <c r="B116" s="60"/>
      <c r="C116" s="60"/>
      <c r="D116" s="61"/>
      <c r="E116" s="702" t="str">
        <f>IF('Sprachen &amp; Rückgabewerte(2)'!$I$50=TRUE,'Sprachen &amp; Rückgabewerte(2)'!$H$102,"")</f>
        <v/>
      </c>
      <c r="F116" s="702"/>
      <c r="G116" s="702"/>
      <c r="H116" s="702"/>
      <c r="I116" s="702"/>
      <c r="J116" s="702"/>
      <c r="K116" s="702"/>
      <c r="L116" s="702"/>
      <c r="M116" s="702"/>
      <c r="N116" s="702"/>
      <c r="O116" s="702"/>
      <c r="P116" s="702"/>
      <c r="Q116" s="702"/>
      <c r="R116" s="702"/>
      <c r="S116" s="61"/>
      <c r="T116" s="61"/>
      <c r="U116" s="61"/>
      <c r="V116" s="61"/>
      <c r="W116" s="61"/>
      <c r="X116" s="61"/>
      <c r="Y116" s="61"/>
      <c r="Z116" s="114"/>
      <c r="AA116" s="61"/>
      <c r="AB116" s="243"/>
      <c r="AC116" s="61"/>
      <c r="AD116" s="61"/>
      <c r="AE116" s="61"/>
      <c r="AF116" s="61"/>
      <c r="AG116" s="258"/>
      <c r="AH116" s="132"/>
      <c r="AI116" s="132"/>
      <c r="AJ116" s="132"/>
      <c r="AK116" s="132"/>
      <c r="AL116" s="132"/>
      <c r="AM116" s="132"/>
      <c r="AN116" s="261"/>
      <c r="AO116" s="61"/>
      <c r="AP116" s="61"/>
      <c r="AQ116" s="61"/>
      <c r="AR116" s="61"/>
      <c r="AS116" s="61"/>
      <c r="AT116" s="245"/>
      <c r="AU116" s="114"/>
    </row>
    <row r="117" spans="2:47" ht="12.75" customHeight="1" x14ac:dyDescent="0.2">
      <c r="B117" s="60"/>
      <c r="C117" s="60"/>
      <c r="D117" s="61"/>
      <c r="E117" s="702"/>
      <c r="F117" s="702"/>
      <c r="G117" s="702"/>
      <c r="H117" s="702"/>
      <c r="I117" s="702"/>
      <c r="J117" s="702"/>
      <c r="K117" s="702"/>
      <c r="L117" s="702"/>
      <c r="M117" s="702"/>
      <c r="N117" s="702"/>
      <c r="O117" s="702"/>
      <c r="P117" s="702"/>
      <c r="Q117" s="702"/>
      <c r="R117" s="702"/>
      <c r="S117" s="132"/>
      <c r="T117" s="132"/>
      <c r="U117" s="132"/>
      <c r="V117" s="132"/>
      <c r="W117" s="132"/>
      <c r="X117" s="132"/>
      <c r="Y117" s="132"/>
      <c r="Z117" s="133"/>
      <c r="AA117" s="132"/>
      <c r="AB117" s="261"/>
      <c r="AC117" s="132"/>
      <c r="AD117" s="132"/>
      <c r="AE117" s="132"/>
      <c r="AF117" s="132"/>
      <c r="AG117" s="258"/>
      <c r="AH117" s="132"/>
      <c r="AI117" s="132"/>
      <c r="AJ117" s="132"/>
      <c r="AK117" s="132"/>
      <c r="AL117" s="132"/>
      <c r="AM117" s="132"/>
      <c r="AN117" s="261"/>
      <c r="AO117" s="61"/>
      <c r="AP117" s="61"/>
      <c r="AQ117" s="61"/>
      <c r="AR117" s="61"/>
      <c r="AS117" s="61"/>
      <c r="AT117" s="245"/>
      <c r="AU117" s="114"/>
    </row>
    <row r="118" spans="2:47" x14ac:dyDescent="0.2">
      <c r="B118" s="60"/>
      <c r="C118" s="60"/>
      <c r="D118" s="61"/>
      <c r="E118" s="702"/>
      <c r="F118" s="702"/>
      <c r="G118" s="702"/>
      <c r="H118" s="702"/>
      <c r="I118" s="702"/>
      <c r="J118" s="702"/>
      <c r="K118" s="702"/>
      <c r="L118" s="702"/>
      <c r="M118" s="702"/>
      <c r="N118" s="702"/>
      <c r="O118" s="702"/>
      <c r="P118" s="702"/>
      <c r="Q118" s="702"/>
      <c r="R118" s="702"/>
      <c r="S118" s="61"/>
      <c r="T118" s="61"/>
      <c r="U118" s="61"/>
      <c r="V118" s="61"/>
      <c r="W118" s="61"/>
      <c r="X118" s="61"/>
      <c r="Y118" s="61"/>
      <c r="Z118" s="114"/>
      <c r="AB118" s="243"/>
      <c r="AC118" s="61"/>
      <c r="AD118" s="61"/>
      <c r="AE118" s="61"/>
      <c r="AF118" s="61"/>
      <c r="AG118" s="245"/>
      <c r="AH118" s="61"/>
      <c r="AI118" s="61"/>
      <c r="AJ118" s="61"/>
      <c r="AK118" s="61"/>
      <c r="AL118" s="61"/>
      <c r="AM118" s="61"/>
      <c r="AN118" s="243"/>
      <c r="AO118" s="61"/>
      <c r="AP118" s="61"/>
      <c r="AQ118" s="61"/>
      <c r="AR118" s="61"/>
      <c r="AS118" s="61"/>
      <c r="AT118" s="245"/>
      <c r="AU118" s="114"/>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4"/>
      <c r="AB119" s="243"/>
      <c r="AC119" s="61"/>
      <c r="AD119" s="61"/>
      <c r="AE119" s="61"/>
      <c r="AF119" s="61"/>
      <c r="AG119" s="245"/>
      <c r="AH119" s="61"/>
      <c r="AI119" s="61"/>
      <c r="AJ119" s="61"/>
      <c r="AK119" s="61"/>
      <c r="AL119" s="61"/>
      <c r="AM119" s="61"/>
      <c r="AN119" s="243"/>
      <c r="AO119" s="61"/>
      <c r="AP119" s="61"/>
      <c r="AQ119" s="61"/>
      <c r="AR119" s="61"/>
      <c r="AS119" s="61"/>
      <c r="AT119" s="245"/>
      <c r="AU119" s="114"/>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5"/>
      <c r="AB120" s="259"/>
      <c r="AC120" s="249"/>
      <c r="AD120" s="249"/>
      <c r="AE120" s="249"/>
      <c r="AF120" s="249"/>
      <c r="AG120" s="251"/>
      <c r="AH120" s="249"/>
      <c r="AI120" s="249"/>
      <c r="AJ120" s="249"/>
      <c r="AK120" s="249"/>
      <c r="AL120" s="249"/>
      <c r="AM120" s="249"/>
      <c r="AN120" s="259"/>
      <c r="AO120" s="249"/>
      <c r="AP120" s="249"/>
      <c r="AQ120" s="249"/>
      <c r="AR120" s="249"/>
      <c r="AS120" s="249"/>
      <c r="AT120" s="251"/>
      <c r="AU120" s="114"/>
    </row>
    <row r="121" spans="2:47" ht="13.5" thickTop="1" x14ac:dyDescent="0.2">
      <c r="B121" s="60"/>
      <c r="AU121" s="114"/>
    </row>
    <row r="122" spans="2:47" ht="12.95" customHeight="1" x14ac:dyDescent="0.2">
      <c r="B122" s="60"/>
      <c r="L122" s="61"/>
      <c r="M122" s="61"/>
      <c r="N122" s="61"/>
      <c r="O122" s="61"/>
      <c r="P122" s="61"/>
      <c r="Q122" s="61"/>
      <c r="R122" s="61"/>
      <c r="S122" s="61"/>
      <c r="T122" s="61"/>
      <c r="U122" s="61"/>
      <c r="V122" s="61"/>
      <c r="W122" s="61"/>
      <c r="X122" s="61"/>
      <c r="Y122" s="61"/>
      <c r="Z122" s="61"/>
      <c r="AA122" s="61"/>
      <c r="AB122" s="111"/>
      <c r="AC122" s="82"/>
      <c r="AD122" s="82"/>
      <c r="AE122" s="82"/>
      <c r="AF122" s="82"/>
      <c r="AG122" s="82"/>
      <c r="AH122" s="82"/>
      <c r="AI122" s="82"/>
      <c r="AJ122" s="82"/>
      <c r="AK122" s="82"/>
      <c r="AL122" s="82"/>
      <c r="AM122" s="82"/>
      <c r="AN122" s="82"/>
      <c r="AO122" s="82"/>
      <c r="AP122" s="82"/>
      <c r="AQ122" s="82"/>
      <c r="AR122" s="82"/>
      <c r="AS122" s="82"/>
      <c r="AT122" s="113"/>
      <c r="AU122" s="114"/>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4"/>
      <c r="AU123" s="114"/>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4"/>
      <c r="AU124" s="114"/>
    </row>
    <row r="125" spans="2:47" ht="12.95" customHeight="1" x14ac:dyDescent="0.2">
      <c r="B125" s="60"/>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4"/>
      <c r="AU125" s="114"/>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32"/>
      <c r="AL126" s="132"/>
      <c r="AM126" s="132"/>
      <c r="AN126" s="132"/>
      <c r="AO126" s="132"/>
      <c r="AP126" s="61"/>
      <c r="AQ126" s="61"/>
      <c r="AR126" s="61"/>
      <c r="AS126" s="61"/>
      <c r="AT126" s="114"/>
      <c r="AU126" s="114"/>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32"/>
      <c r="AL127" s="132"/>
      <c r="AM127" s="132"/>
      <c r="AN127" s="132"/>
      <c r="AO127" s="132"/>
      <c r="AP127" s="61"/>
      <c r="AQ127" s="61"/>
      <c r="AR127" s="61"/>
      <c r="AS127" s="61"/>
      <c r="AT127" s="114"/>
      <c r="AU127" s="114"/>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32"/>
      <c r="AL128" s="132"/>
      <c r="AM128" s="132"/>
      <c r="AN128" s="132"/>
      <c r="AO128" s="132"/>
      <c r="AP128" s="61"/>
      <c r="AQ128" s="61"/>
      <c r="AR128" s="61"/>
      <c r="AS128" s="61"/>
      <c r="AT128" s="114"/>
      <c r="AU128" s="114"/>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55"/>
      <c r="AG129" s="61"/>
      <c r="AH129" s="61"/>
      <c r="AI129" s="61"/>
      <c r="AJ129" s="61"/>
      <c r="AK129" s="132"/>
      <c r="AL129" s="132"/>
      <c r="AM129" s="132"/>
      <c r="AN129" s="132"/>
      <c r="AO129" s="132"/>
      <c r="AP129" s="61"/>
      <c r="AQ129" s="61"/>
      <c r="AR129" s="61"/>
      <c r="AS129" s="61"/>
      <c r="AT129" s="114"/>
      <c r="AU129" s="114"/>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32"/>
      <c r="AL130" s="132"/>
      <c r="AM130" s="132"/>
      <c r="AN130" s="132"/>
      <c r="AO130" s="132"/>
      <c r="AP130" s="61"/>
      <c r="AQ130" s="61"/>
      <c r="AR130" s="61"/>
      <c r="AS130" s="61"/>
      <c r="AT130" s="114"/>
      <c r="AU130" s="114"/>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16"/>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16"/>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16"/>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16"/>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72"/>
      <c r="AF135" s="136"/>
      <c r="AG135" s="136"/>
      <c r="AH135" s="136"/>
      <c r="AI135" s="136"/>
      <c r="AJ135" s="136"/>
      <c r="AK135" s="136"/>
      <c r="AL135" s="136"/>
      <c r="AM135" s="136"/>
      <c r="AN135" s="136"/>
      <c r="AO135" s="136"/>
      <c r="AP135" s="136"/>
      <c r="AQ135" s="136"/>
      <c r="AR135" s="136"/>
      <c r="AS135" s="136"/>
      <c r="AT135" s="137"/>
      <c r="AU135" s="114"/>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5"/>
    </row>
    <row r="137" spans="2:47" x14ac:dyDescent="0.2">
      <c r="AE137" s="212"/>
      <c r="AF137" s="132"/>
      <c r="AG137" s="132"/>
      <c r="AH137" s="132"/>
      <c r="AI137" s="132"/>
      <c r="AJ137" s="132"/>
      <c r="AK137" s="132"/>
      <c r="AL137" s="132"/>
      <c r="AM137" s="132"/>
      <c r="AN137" s="132"/>
      <c r="AO137" s="132"/>
      <c r="AP137" s="132"/>
      <c r="AQ137" s="132"/>
      <c r="AR137" s="132"/>
      <c r="AS137" s="132"/>
      <c r="AT137" s="132"/>
    </row>
    <row r="138" spans="2:47" x14ac:dyDescent="0.2">
      <c r="AE138" s="212"/>
      <c r="AF138" s="132"/>
      <c r="AG138" s="132"/>
      <c r="AH138" s="132"/>
      <c r="AI138" s="132"/>
      <c r="AJ138" s="132"/>
      <c r="AK138" s="132"/>
      <c r="AL138" s="132"/>
      <c r="AM138" s="132"/>
      <c r="AN138" s="132"/>
      <c r="AO138" s="132"/>
      <c r="AP138" s="132"/>
      <c r="AQ138" s="132"/>
      <c r="AR138" s="132"/>
      <c r="AS138" s="132"/>
      <c r="AT138" s="132"/>
    </row>
    <row r="139" spans="2:47" x14ac:dyDescent="0.2">
      <c r="AE139" s="212"/>
      <c r="AF139" s="132"/>
      <c r="AG139" s="132"/>
      <c r="AH139" s="132"/>
      <c r="AI139" s="132"/>
      <c r="AJ139" s="132"/>
      <c r="AK139" s="132"/>
      <c r="AL139" s="132"/>
      <c r="AM139" s="132"/>
      <c r="AN139" s="132"/>
      <c r="AO139" s="132"/>
      <c r="AP139" s="132"/>
      <c r="AQ139" s="132"/>
      <c r="AR139" s="132"/>
      <c r="AS139" s="132"/>
      <c r="AT139" s="132"/>
    </row>
    <row r="140" spans="2:47" x14ac:dyDescent="0.2">
      <c r="AE140" s="212"/>
      <c r="AF140" s="132"/>
      <c r="AG140" s="132"/>
      <c r="AH140" s="132"/>
      <c r="AI140" s="132"/>
      <c r="AJ140" s="132"/>
      <c r="AK140" s="132"/>
      <c r="AL140" s="132"/>
      <c r="AM140" s="132"/>
      <c r="AN140" s="132"/>
      <c r="AO140" s="132"/>
      <c r="AP140" s="132"/>
      <c r="AQ140" s="132"/>
      <c r="AR140" s="132"/>
      <c r="AS140" s="132"/>
      <c r="AT140" s="132"/>
    </row>
    <row r="141" spans="2:47" x14ac:dyDescent="0.2">
      <c r="AE141" s="212"/>
      <c r="AF141" s="132"/>
      <c r="AG141" s="132"/>
      <c r="AH141" s="132"/>
      <c r="AI141" s="132"/>
      <c r="AJ141" s="132"/>
      <c r="AK141" s="132"/>
      <c r="AL141" s="132"/>
      <c r="AM141" s="132"/>
      <c r="AN141" s="132"/>
      <c r="AO141" s="132"/>
      <c r="AP141" s="132"/>
      <c r="AQ141" s="132"/>
      <c r="AR141" s="132"/>
      <c r="AS141" s="132"/>
      <c r="AT141" s="132"/>
    </row>
    <row r="142" spans="2:47" x14ac:dyDescent="0.2">
      <c r="AE142" s="212"/>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2"/>
      <c r="AF143" s="132"/>
      <c r="AG143" s="132"/>
      <c r="AH143" s="132"/>
      <c r="AI143" s="132"/>
      <c r="AJ143" s="132"/>
      <c r="AK143" s="132"/>
      <c r="AL143" s="132"/>
      <c r="AM143" s="132"/>
      <c r="AN143" s="132"/>
      <c r="AO143" s="132"/>
      <c r="AP143" s="132"/>
      <c r="AQ143" s="132"/>
      <c r="AR143" s="132"/>
      <c r="AS143" s="132"/>
      <c r="AT143" s="132"/>
    </row>
    <row r="144" spans="2:47" x14ac:dyDescent="0.2">
      <c r="AE144" s="212"/>
      <c r="AG144" s="132"/>
      <c r="AH144" s="132"/>
      <c r="AI144" s="132"/>
      <c r="AJ144" s="132"/>
      <c r="AK144" s="132"/>
      <c r="AL144" s="132"/>
      <c r="AM144" s="132"/>
      <c r="AN144" s="132"/>
      <c r="AO144" s="132"/>
    </row>
    <row r="145" spans="24:47" x14ac:dyDescent="0.2">
      <c r="AE145" s="212"/>
      <c r="AF145" s="132"/>
      <c r="AG145" s="132"/>
      <c r="AH145" s="132"/>
      <c r="AI145" s="132"/>
      <c r="AJ145" s="132"/>
      <c r="AK145" s="132"/>
      <c r="AL145" s="132"/>
      <c r="AM145" s="132"/>
      <c r="AN145" s="132"/>
      <c r="AO145" s="132"/>
      <c r="AP145" s="132"/>
      <c r="AQ145" s="132"/>
      <c r="AR145" s="132"/>
      <c r="AS145" s="132"/>
      <c r="AT145" s="132"/>
    </row>
    <row r="146" spans="24:47" x14ac:dyDescent="0.2">
      <c r="AE146" s="212"/>
      <c r="AF146" s="132"/>
      <c r="AG146" s="132"/>
      <c r="AH146" s="132"/>
      <c r="AI146" s="132"/>
      <c r="AJ146" s="132"/>
      <c r="AK146" s="132"/>
      <c r="AL146" s="132"/>
      <c r="AM146" s="132"/>
      <c r="AN146" s="132"/>
      <c r="AO146" s="132"/>
      <c r="AP146" s="132"/>
      <c r="AQ146" s="132"/>
      <c r="AR146" s="132"/>
      <c r="AS146" s="132"/>
      <c r="AT146" s="132"/>
      <c r="AU146" s="213"/>
    </row>
    <row r="147" spans="24:47" x14ac:dyDescent="0.2">
      <c r="AE147" s="212"/>
      <c r="AF147" s="132"/>
      <c r="AG147" s="132"/>
      <c r="AH147" s="132"/>
      <c r="AI147" s="132"/>
      <c r="AJ147" s="132"/>
      <c r="AK147" s="132"/>
      <c r="AL147" s="132"/>
      <c r="AM147" s="132"/>
      <c r="AN147" s="132"/>
      <c r="AO147" s="132"/>
      <c r="AP147" s="132"/>
      <c r="AQ147" s="132"/>
      <c r="AR147" s="132"/>
      <c r="AS147" s="132"/>
      <c r="AT147" s="132"/>
      <c r="AU147" s="213"/>
    </row>
    <row r="148" spans="24:47" x14ac:dyDescent="0.2">
      <c r="AE148" s="212"/>
      <c r="AF148" s="132"/>
      <c r="AG148" s="132"/>
      <c r="AH148" s="132"/>
      <c r="AI148" s="132"/>
      <c r="AJ148" s="132"/>
      <c r="AK148" s="132"/>
      <c r="AL148" s="132"/>
      <c r="AM148" s="132"/>
      <c r="AN148" s="132"/>
      <c r="AO148" s="132"/>
      <c r="AP148" s="132"/>
      <c r="AQ148" s="132"/>
      <c r="AR148" s="132"/>
      <c r="AS148" s="132"/>
      <c r="AT148" s="132"/>
      <c r="AU148" s="213"/>
    </row>
    <row r="149" spans="24:47" x14ac:dyDescent="0.2">
      <c r="AE149" s="212"/>
      <c r="AF149" s="132"/>
      <c r="AG149" s="132"/>
      <c r="AH149" s="132"/>
      <c r="AI149" s="132"/>
      <c r="AJ149" s="132"/>
      <c r="AK149" s="132"/>
      <c r="AL149" s="132"/>
      <c r="AM149" s="132"/>
      <c r="AN149" s="132"/>
      <c r="AO149" s="132"/>
      <c r="AP149" s="132"/>
      <c r="AQ149" s="132"/>
      <c r="AR149" s="132"/>
      <c r="AS149" s="132"/>
      <c r="AT149" s="132"/>
      <c r="AU149" s="213"/>
    </row>
    <row r="150" spans="24:47" x14ac:dyDescent="0.2">
      <c r="AE150" s="212"/>
      <c r="AF150" s="132"/>
      <c r="AG150" s="132"/>
      <c r="AH150" s="132"/>
      <c r="AI150" s="132"/>
      <c r="AJ150" s="132"/>
      <c r="AK150" s="132"/>
      <c r="AL150" s="132"/>
      <c r="AM150" s="132"/>
      <c r="AN150" s="132"/>
      <c r="AO150" s="132"/>
      <c r="AP150" s="132"/>
      <c r="AQ150" s="132"/>
      <c r="AR150" s="132"/>
      <c r="AS150" s="132"/>
      <c r="AT150" s="132"/>
      <c r="AU150" s="213"/>
    </row>
    <row r="151" spans="24:47" x14ac:dyDescent="0.2">
      <c r="AE151" s="212"/>
      <c r="AF151" s="132"/>
      <c r="AG151" s="132"/>
      <c r="AH151" s="132"/>
      <c r="AI151" s="132"/>
      <c r="AJ151" s="132"/>
      <c r="AK151" s="132"/>
      <c r="AL151" s="132"/>
      <c r="AM151" s="132"/>
      <c r="AN151" s="132"/>
      <c r="AO151" s="132"/>
      <c r="AP151" s="132"/>
      <c r="AQ151" s="132"/>
      <c r="AR151" s="132"/>
      <c r="AS151" s="132"/>
      <c r="AT151" s="132"/>
      <c r="AU151" s="213"/>
    </row>
    <row r="152" spans="24:47" x14ac:dyDescent="0.2">
      <c r="AE152" s="212"/>
      <c r="AF152" s="132"/>
      <c r="AG152" s="132"/>
      <c r="AH152" s="132"/>
      <c r="AI152" s="132"/>
      <c r="AJ152" s="132"/>
      <c r="AK152" s="132"/>
      <c r="AL152" s="132"/>
      <c r="AM152" s="132"/>
      <c r="AN152" s="132"/>
      <c r="AO152" s="132"/>
      <c r="AP152" s="132"/>
      <c r="AQ152" s="132"/>
      <c r="AR152" s="132"/>
      <c r="AS152" s="132"/>
      <c r="AT152" s="132"/>
      <c r="AU152" s="213"/>
    </row>
    <row r="153" spans="24:47" x14ac:dyDescent="0.2">
      <c r="AE153" s="212"/>
      <c r="AF153" s="132"/>
      <c r="AG153" s="132"/>
      <c r="AH153" s="132"/>
      <c r="AI153" s="132"/>
      <c r="AJ153" s="132"/>
      <c r="AK153" s="132"/>
      <c r="AL153" s="132"/>
      <c r="AM153" s="132"/>
      <c r="AN153" s="132"/>
      <c r="AO153" s="132"/>
      <c r="AP153" s="132"/>
      <c r="AQ153" s="132"/>
      <c r="AR153" s="132"/>
      <c r="AS153" s="132"/>
      <c r="AT153" s="132"/>
      <c r="AU153" s="213"/>
    </row>
    <row r="154" spans="24:47" x14ac:dyDescent="0.2">
      <c r="AE154" s="212"/>
      <c r="AF154" s="132"/>
      <c r="AG154" s="132"/>
      <c r="AH154" s="132"/>
      <c r="AI154" s="132"/>
      <c r="AJ154" s="132"/>
      <c r="AK154" s="132"/>
      <c r="AL154" s="132"/>
      <c r="AM154" s="132"/>
      <c r="AN154" s="132"/>
      <c r="AO154" s="132"/>
      <c r="AP154" s="132"/>
      <c r="AQ154" s="132"/>
      <c r="AR154" s="132"/>
      <c r="AS154" s="132"/>
      <c r="AT154" s="132"/>
      <c r="AU154" s="213"/>
    </row>
    <row r="155" spans="24:47" x14ac:dyDescent="0.2">
      <c r="AE155" s="212"/>
      <c r="AF155" s="132"/>
      <c r="AG155" s="132"/>
      <c r="AH155" s="132"/>
      <c r="AI155" s="132"/>
      <c r="AJ155" s="132"/>
      <c r="AK155" s="132"/>
      <c r="AL155" s="132"/>
      <c r="AM155" s="132"/>
      <c r="AN155" s="132"/>
      <c r="AO155" s="132"/>
      <c r="AP155" s="132"/>
      <c r="AQ155" s="132"/>
      <c r="AR155" s="132"/>
      <c r="AS155" s="132"/>
      <c r="AT155" s="132"/>
      <c r="AU155" s="213"/>
    </row>
    <row r="156" spans="24:47" x14ac:dyDescent="0.2">
      <c r="AE156" s="212"/>
      <c r="AF156" s="132"/>
      <c r="AG156" s="132"/>
      <c r="AH156" s="132"/>
      <c r="AI156" s="132"/>
      <c r="AJ156" s="132"/>
      <c r="AK156" s="132"/>
      <c r="AL156" s="132"/>
      <c r="AM156" s="132"/>
      <c r="AN156" s="132"/>
      <c r="AO156" s="132"/>
      <c r="AP156" s="132"/>
      <c r="AQ156" s="132"/>
      <c r="AR156" s="132"/>
      <c r="AS156" s="132"/>
      <c r="AT156" s="132"/>
      <c r="AU156" s="213"/>
    </row>
    <row r="157" spans="24:47" x14ac:dyDescent="0.2">
      <c r="AE157" s="212"/>
      <c r="AF157" s="132"/>
      <c r="AG157" s="132"/>
      <c r="AH157" s="132"/>
      <c r="AI157" s="132"/>
      <c r="AJ157" s="132"/>
      <c r="AK157" s="132"/>
      <c r="AL157" s="132"/>
      <c r="AM157" s="132"/>
      <c r="AN157" s="132"/>
      <c r="AO157" s="132"/>
      <c r="AP157" s="132"/>
      <c r="AQ157" s="132"/>
      <c r="AR157" s="132"/>
      <c r="AS157" s="132"/>
      <c r="AT157" s="132"/>
      <c r="AU157" s="213"/>
    </row>
    <row r="158" spans="24:47" ht="15" customHeight="1" x14ac:dyDescent="0.2">
      <c r="X158" s="132"/>
      <c r="Y158" s="132"/>
      <c r="AE158" s="212"/>
      <c r="AF158" s="213"/>
      <c r="AG158" s="213"/>
      <c r="AH158" s="213"/>
      <c r="AI158" s="213"/>
      <c r="AJ158" s="213"/>
      <c r="AK158" s="213"/>
      <c r="AL158" s="213"/>
      <c r="AM158" s="213"/>
      <c r="AN158" s="213"/>
      <c r="AO158" s="213"/>
      <c r="AP158" s="213"/>
      <c r="AQ158" s="213"/>
      <c r="AR158" s="213"/>
      <c r="AS158" s="213"/>
      <c r="AT158" s="213"/>
      <c r="AU158" s="213"/>
    </row>
    <row r="159" spans="24:47" x14ac:dyDescent="0.2">
      <c r="AE159" s="212"/>
      <c r="AF159" s="132"/>
      <c r="AG159" s="132"/>
      <c r="AH159" s="132"/>
      <c r="AI159" s="132"/>
      <c r="AJ159" s="132"/>
      <c r="AK159" s="132"/>
      <c r="AL159" s="132"/>
      <c r="AM159" s="132"/>
      <c r="AN159" s="132"/>
      <c r="AO159" s="132"/>
      <c r="AP159" s="132"/>
      <c r="AQ159" s="132"/>
      <c r="AR159" s="132"/>
      <c r="AS159" s="132"/>
      <c r="AT159" s="132"/>
      <c r="AU159" s="213"/>
    </row>
    <row r="160" spans="24:47" x14ac:dyDescent="0.2">
      <c r="AE160" s="212"/>
      <c r="AF160" s="132"/>
      <c r="AG160" s="132"/>
      <c r="AH160" s="132"/>
      <c r="AI160" s="132"/>
      <c r="AJ160" s="132"/>
      <c r="AK160" s="132"/>
      <c r="AL160" s="132"/>
      <c r="AM160" s="132"/>
      <c r="AN160" s="132"/>
      <c r="AO160" s="132"/>
      <c r="AP160" s="132"/>
      <c r="AQ160" s="132"/>
      <c r="AR160" s="132"/>
      <c r="AS160" s="132"/>
      <c r="AT160" s="132"/>
      <c r="AU160" s="213"/>
    </row>
    <row r="161" spans="24:47" x14ac:dyDescent="0.2">
      <c r="AE161" s="212"/>
      <c r="AF161" s="132"/>
      <c r="AG161" s="132"/>
      <c r="AH161" s="132"/>
      <c r="AI161" s="132"/>
      <c r="AJ161" s="132"/>
      <c r="AK161" s="132"/>
      <c r="AL161" s="132"/>
      <c r="AM161" s="132"/>
      <c r="AN161" s="132"/>
      <c r="AO161" s="132"/>
      <c r="AP161" s="132"/>
      <c r="AQ161" s="132"/>
      <c r="AR161" s="132"/>
      <c r="AS161" s="132"/>
      <c r="AT161" s="132"/>
      <c r="AU161" s="213"/>
    </row>
    <row r="162" spans="24:47" x14ac:dyDescent="0.2">
      <c r="AE162" s="212"/>
      <c r="AF162" s="132"/>
      <c r="AG162" s="132"/>
      <c r="AH162" s="132"/>
      <c r="AI162" s="132"/>
      <c r="AJ162" s="132"/>
      <c r="AK162" s="132"/>
      <c r="AL162" s="132"/>
      <c r="AM162" s="132"/>
      <c r="AN162" s="132"/>
      <c r="AO162" s="132"/>
      <c r="AP162" s="132"/>
      <c r="AQ162" s="132"/>
      <c r="AR162" s="132"/>
      <c r="AS162" s="132"/>
      <c r="AT162" s="132"/>
      <c r="AU162" s="213"/>
    </row>
    <row r="163" spans="24:47" x14ac:dyDescent="0.2">
      <c r="AE163" s="212"/>
      <c r="AF163" s="132"/>
      <c r="AG163" s="132"/>
      <c r="AH163" s="132"/>
      <c r="AI163" s="132"/>
      <c r="AJ163" s="132"/>
      <c r="AK163" s="132"/>
      <c r="AL163" s="132"/>
      <c r="AM163" s="132"/>
      <c r="AN163" s="132"/>
      <c r="AO163" s="132"/>
      <c r="AP163" s="132"/>
      <c r="AQ163" s="132"/>
      <c r="AR163" s="132"/>
      <c r="AS163" s="132"/>
      <c r="AT163" s="132"/>
      <c r="AU163" s="213"/>
    </row>
    <row r="164" spans="24:47" x14ac:dyDescent="0.2">
      <c r="AE164" s="212"/>
      <c r="AF164" s="132"/>
      <c r="AG164" s="132"/>
      <c r="AH164" s="132"/>
      <c r="AI164" s="132"/>
      <c r="AJ164" s="132"/>
      <c r="AK164" s="132"/>
      <c r="AL164" s="132"/>
      <c r="AM164" s="132"/>
      <c r="AN164" s="132"/>
      <c r="AO164" s="132"/>
      <c r="AP164" s="132"/>
      <c r="AQ164" s="132"/>
      <c r="AR164" s="132"/>
      <c r="AS164" s="132"/>
      <c r="AT164" s="132"/>
      <c r="AU164" s="213"/>
    </row>
    <row r="165" spans="24:47" x14ac:dyDescent="0.2">
      <c r="AE165" s="212"/>
      <c r="AF165" s="132"/>
      <c r="AG165" s="132"/>
      <c r="AH165" s="132"/>
      <c r="AI165" s="132"/>
      <c r="AJ165" s="132"/>
      <c r="AK165" s="132"/>
      <c r="AL165" s="132"/>
      <c r="AM165" s="132"/>
      <c r="AN165" s="132"/>
      <c r="AO165" s="132"/>
      <c r="AP165" s="132"/>
      <c r="AQ165" s="132"/>
      <c r="AR165" s="132"/>
      <c r="AS165" s="132"/>
      <c r="AT165" s="132"/>
      <c r="AU165" s="213"/>
    </row>
    <row r="166" spans="24:47" x14ac:dyDescent="0.2">
      <c r="AE166" s="212"/>
      <c r="AF166" s="132"/>
      <c r="AG166" s="132"/>
      <c r="AH166" s="132"/>
      <c r="AI166" s="132"/>
      <c r="AJ166" s="132"/>
      <c r="AK166" s="132"/>
      <c r="AL166" s="132"/>
      <c r="AM166" s="132"/>
      <c r="AN166" s="132"/>
      <c r="AO166" s="132"/>
      <c r="AP166" s="132"/>
      <c r="AQ166" s="132"/>
      <c r="AR166" s="132"/>
      <c r="AS166" s="132"/>
      <c r="AT166" s="132"/>
    </row>
    <row r="167" spans="24:47" x14ac:dyDescent="0.2">
      <c r="AE167" s="212"/>
      <c r="AF167" s="132"/>
      <c r="AG167" s="132"/>
      <c r="AH167" s="132"/>
      <c r="AI167" s="132"/>
      <c r="AJ167" s="132"/>
      <c r="AK167" s="132"/>
      <c r="AL167" s="132"/>
      <c r="AM167" s="132"/>
      <c r="AN167" s="132"/>
      <c r="AO167" s="132"/>
      <c r="AP167" s="132"/>
      <c r="AQ167" s="132"/>
      <c r="AR167" s="132"/>
      <c r="AS167" s="132"/>
      <c r="AT167" s="132"/>
    </row>
    <row r="168" spans="24:47" x14ac:dyDescent="0.2">
      <c r="AE168" s="212"/>
      <c r="AF168" s="132"/>
      <c r="AG168" s="132"/>
      <c r="AH168" s="132"/>
      <c r="AI168" s="132"/>
      <c r="AJ168" s="132"/>
      <c r="AK168" s="132"/>
      <c r="AL168" s="132"/>
      <c r="AM168" s="132"/>
      <c r="AN168" s="132"/>
      <c r="AO168" s="132"/>
      <c r="AP168" s="132"/>
      <c r="AQ168" s="132"/>
      <c r="AR168" s="132"/>
      <c r="AS168" s="132"/>
      <c r="AT168" s="132"/>
    </row>
    <row r="169" spans="24:47" x14ac:dyDescent="0.2">
      <c r="AE169" s="212"/>
      <c r="AF169" s="132"/>
      <c r="AG169" s="132"/>
      <c r="AH169" s="132"/>
      <c r="AI169" s="132"/>
      <c r="AJ169" s="132"/>
      <c r="AK169" s="132"/>
      <c r="AL169" s="132"/>
      <c r="AM169" s="132"/>
      <c r="AN169" s="132"/>
      <c r="AO169" s="132"/>
      <c r="AP169" s="132"/>
      <c r="AQ169" s="132"/>
      <c r="AR169" s="132"/>
      <c r="AS169" s="132"/>
      <c r="AT169" s="132"/>
    </row>
    <row r="170" spans="24:47" x14ac:dyDescent="0.2">
      <c r="AE170" s="212"/>
      <c r="AF170" s="132"/>
      <c r="AG170" s="132"/>
      <c r="AH170" s="132"/>
      <c r="AI170" s="132"/>
      <c r="AJ170" s="132"/>
      <c r="AK170" s="132"/>
      <c r="AL170" s="132"/>
      <c r="AM170" s="132"/>
      <c r="AN170" s="132"/>
      <c r="AO170" s="132"/>
      <c r="AP170" s="132"/>
      <c r="AQ170" s="132"/>
      <c r="AR170" s="132"/>
      <c r="AS170" s="132"/>
      <c r="AT170" s="132"/>
    </row>
    <row r="171" spans="24:47" x14ac:dyDescent="0.2">
      <c r="AE171" s="212"/>
      <c r="AF171" s="132"/>
      <c r="AG171" s="132"/>
      <c r="AH171" s="132"/>
      <c r="AI171" s="132"/>
      <c r="AJ171" s="132"/>
      <c r="AK171" s="132"/>
      <c r="AL171" s="132"/>
      <c r="AM171" s="132"/>
      <c r="AN171" s="132"/>
      <c r="AO171" s="132"/>
      <c r="AP171" s="132"/>
      <c r="AQ171" s="132"/>
      <c r="AR171" s="132"/>
      <c r="AS171" s="132"/>
      <c r="AT171" s="132"/>
    </row>
    <row r="172" spans="24:47" x14ac:dyDescent="0.2">
      <c r="AE172" s="212"/>
      <c r="AG172" s="132"/>
      <c r="AH172" s="132"/>
      <c r="AI172" s="132"/>
      <c r="AJ172" s="132"/>
      <c r="AK172" s="132"/>
      <c r="AL172" s="132"/>
      <c r="AM172" s="132"/>
      <c r="AN172" s="132"/>
    </row>
    <row r="173" spans="24:47" ht="15" customHeight="1" x14ac:dyDescent="0.2">
      <c r="X173" s="132"/>
      <c r="Y173" s="132"/>
      <c r="AE173" s="212"/>
      <c r="AF173" s="132"/>
      <c r="AG173" s="132"/>
      <c r="AH173" s="132"/>
      <c r="AI173" s="132"/>
      <c r="AJ173" s="132"/>
      <c r="AK173" s="132"/>
      <c r="AL173" s="132"/>
      <c r="AM173" s="132"/>
      <c r="AN173" s="132"/>
      <c r="AO173" s="132"/>
      <c r="AP173" s="132"/>
      <c r="AQ173" s="132"/>
      <c r="AR173" s="132"/>
      <c r="AS173" s="132"/>
      <c r="AT173" s="132"/>
    </row>
    <row r="174" spans="24:47" x14ac:dyDescent="0.2">
      <c r="AE174" s="212"/>
      <c r="AF174" s="132"/>
      <c r="AG174" s="132"/>
      <c r="AH174" s="132"/>
      <c r="AI174" s="132"/>
      <c r="AJ174" s="132"/>
      <c r="AK174" s="132"/>
      <c r="AL174" s="132"/>
      <c r="AM174" s="132"/>
      <c r="AN174" s="132"/>
      <c r="AO174" s="132"/>
      <c r="AP174" s="132"/>
      <c r="AQ174" s="132"/>
      <c r="AR174" s="132"/>
      <c r="AS174" s="132"/>
      <c r="AT174" s="132"/>
    </row>
    <row r="175" spans="24:47" x14ac:dyDescent="0.2">
      <c r="AE175" s="212"/>
      <c r="AF175" s="132"/>
      <c r="AG175" s="132"/>
      <c r="AH175" s="132"/>
      <c r="AI175" s="132"/>
      <c r="AJ175" s="132"/>
      <c r="AK175" s="132"/>
      <c r="AL175" s="132"/>
      <c r="AM175" s="132"/>
      <c r="AN175" s="132"/>
      <c r="AO175" s="132"/>
      <c r="AP175" s="132"/>
      <c r="AQ175" s="132"/>
      <c r="AR175" s="132"/>
      <c r="AS175" s="132"/>
      <c r="AT175" s="132"/>
    </row>
    <row r="176" spans="24:47" x14ac:dyDescent="0.2">
      <c r="AE176" s="212"/>
      <c r="AF176" s="132"/>
      <c r="AG176" s="132"/>
      <c r="AH176" s="132"/>
      <c r="AI176" s="132"/>
      <c r="AJ176" s="132"/>
      <c r="AK176" s="132"/>
      <c r="AL176" s="132"/>
      <c r="AM176" s="132"/>
      <c r="AN176" s="132"/>
      <c r="AO176" s="132"/>
      <c r="AP176" s="132"/>
      <c r="AQ176" s="132"/>
      <c r="AR176" s="132"/>
      <c r="AS176" s="132"/>
      <c r="AT176" s="132"/>
    </row>
    <row r="177" spans="31:46" x14ac:dyDescent="0.2">
      <c r="AE177" s="212"/>
      <c r="AF177" s="132"/>
      <c r="AG177" s="132"/>
      <c r="AH177" s="132"/>
      <c r="AI177" s="132"/>
      <c r="AJ177" s="132"/>
      <c r="AK177" s="132"/>
      <c r="AL177" s="132"/>
      <c r="AM177" s="132"/>
      <c r="AN177" s="132"/>
      <c r="AO177" s="132"/>
      <c r="AP177" s="132"/>
      <c r="AQ177" s="132"/>
      <c r="AR177" s="132"/>
      <c r="AS177" s="132"/>
      <c r="AT177" s="132"/>
    </row>
    <row r="178" spans="31:46" x14ac:dyDescent="0.2">
      <c r="AE178" s="212"/>
      <c r="AF178" s="132"/>
      <c r="AG178" s="132"/>
      <c r="AH178" s="132"/>
      <c r="AI178" s="132"/>
      <c r="AJ178" s="132"/>
      <c r="AK178" s="132"/>
      <c r="AL178" s="132"/>
      <c r="AM178" s="132"/>
      <c r="AN178" s="132"/>
      <c r="AO178" s="132"/>
      <c r="AP178" s="132"/>
      <c r="AQ178" s="132"/>
      <c r="AR178" s="132"/>
      <c r="AS178" s="132"/>
      <c r="AT178" s="132"/>
    </row>
    <row r="179" spans="31:46" x14ac:dyDescent="0.2">
      <c r="AE179" s="212"/>
      <c r="AF179" s="132"/>
      <c r="AG179" s="132"/>
      <c r="AH179" s="132"/>
      <c r="AI179" s="132"/>
      <c r="AJ179" s="132"/>
      <c r="AK179" s="132"/>
      <c r="AL179" s="132"/>
      <c r="AM179" s="132"/>
      <c r="AN179" s="132"/>
      <c r="AO179" s="132"/>
      <c r="AP179" s="132"/>
      <c r="AQ179" s="132"/>
      <c r="AR179" s="132"/>
      <c r="AS179" s="132"/>
      <c r="AT179" s="132"/>
    </row>
    <row r="180" spans="31:46" x14ac:dyDescent="0.2">
      <c r="AE180" s="212"/>
      <c r="AF180" s="132"/>
      <c r="AG180" s="132"/>
      <c r="AH180" s="132"/>
      <c r="AI180" s="132"/>
      <c r="AJ180" s="132"/>
      <c r="AK180" s="132"/>
      <c r="AL180" s="132"/>
      <c r="AM180" s="132"/>
      <c r="AN180" s="132"/>
      <c r="AO180" s="132"/>
      <c r="AP180" s="132"/>
      <c r="AQ180" s="132"/>
      <c r="AR180" s="132"/>
      <c r="AS180" s="132"/>
      <c r="AT180" s="132"/>
    </row>
    <row r="181" spans="31:46" x14ac:dyDescent="0.2">
      <c r="AE181" s="212"/>
      <c r="AF181" s="132"/>
      <c r="AG181" s="132"/>
      <c r="AH181" s="132"/>
      <c r="AI181" s="132"/>
      <c r="AJ181" s="132"/>
      <c r="AK181" s="132"/>
      <c r="AL181" s="132"/>
      <c r="AM181" s="132"/>
      <c r="AN181" s="132"/>
      <c r="AO181" s="132"/>
      <c r="AP181" s="132"/>
      <c r="AQ181" s="132"/>
      <c r="AR181" s="132"/>
      <c r="AS181" s="132"/>
      <c r="AT181" s="132"/>
    </row>
    <row r="182" spans="31:46" x14ac:dyDescent="0.2">
      <c r="AE182" s="212"/>
      <c r="AF182" s="132"/>
      <c r="AG182" s="132"/>
      <c r="AH182" s="132"/>
      <c r="AI182" s="132"/>
      <c r="AJ182" s="132"/>
      <c r="AK182" s="132"/>
      <c r="AL182" s="132"/>
      <c r="AM182" s="132"/>
      <c r="AN182" s="132"/>
      <c r="AO182" s="132"/>
      <c r="AP182" s="132"/>
      <c r="AQ182" s="132"/>
      <c r="AR182" s="132"/>
      <c r="AS182" s="132"/>
      <c r="AT182" s="132"/>
    </row>
    <row r="183" spans="31:46" x14ac:dyDescent="0.2">
      <c r="AE183" s="212"/>
      <c r="AF183" s="132"/>
      <c r="AG183" s="132"/>
      <c r="AH183" s="132"/>
      <c r="AI183" s="132"/>
      <c r="AJ183" s="132"/>
      <c r="AK183" s="132"/>
      <c r="AL183" s="132"/>
      <c r="AM183" s="132"/>
      <c r="AN183" s="132"/>
      <c r="AO183" s="132"/>
      <c r="AP183" s="132"/>
      <c r="AQ183" s="132"/>
      <c r="AR183" s="132"/>
      <c r="AS183" s="132"/>
      <c r="AT183" s="132"/>
    </row>
    <row r="184" spans="31:46" x14ac:dyDescent="0.2">
      <c r="AE184" s="212"/>
      <c r="AF184" s="132"/>
      <c r="AG184" s="132"/>
      <c r="AH184" s="132"/>
      <c r="AI184" s="132"/>
      <c r="AJ184" s="132"/>
      <c r="AK184" s="132"/>
      <c r="AL184" s="132"/>
      <c r="AM184" s="132"/>
      <c r="AN184" s="132"/>
      <c r="AO184" s="132"/>
      <c r="AP184" s="132"/>
      <c r="AQ184" s="132"/>
      <c r="AR184" s="132"/>
      <c r="AS184" s="132"/>
      <c r="AT184" s="132"/>
    </row>
    <row r="185" spans="31:46" x14ac:dyDescent="0.2">
      <c r="AE185" s="212"/>
      <c r="AF185" s="132"/>
      <c r="AG185" s="132"/>
      <c r="AH185" s="132"/>
      <c r="AI185" s="132"/>
      <c r="AJ185" s="132"/>
      <c r="AK185" s="132"/>
      <c r="AL185" s="132"/>
      <c r="AM185" s="132"/>
      <c r="AN185" s="132"/>
      <c r="AO185" s="132"/>
      <c r="AP185" s="132"/>
      <c r="AQ185" s="132"/>
      <c r="AR185" s="132"/>
      <c r="AS185" s="132"/>
      <c r="AT185" s="132"/>
    </row>
    <row r="186" spans="31:46" x14ac:dyDescent="0.2">
      <c r="AE186" s="212"/>
      <c r="AG186" s="132"/>
      <c r="AH186" s="132"/>
      <c r="AI186" s="132"/>
      <c r="AJ186" s="132"/>
      <c r="AK186" s="132"/>
      <c r="AL186" s="132"/>
      <c r="AM186" s="132"/>
      <c r="AN186" s="132"/>
    </row>
    <row r="187" spans="31:46" x14ac:dyDescent="0.2">
      <c r="AE187" s="212"/>
      <c r="AF187" s="132"/>
      <c r="AG187" s="132"/>
      <c r="AH187" s="132"/>
      <c r="AI187" s="132"/>
      <c r="AJ187" s="132"/>
      <c r="AK187" s="132"/>
      <c r="AL187" s="132"/>
      <c r="AM187" s="132"/>
      <c r="AN187" s="132"/>
      <c r="AO187" s="132"/>
      <c r="AP187" s="132"/>
      <c r="AQ187" s="132"/>
      <c r="AR187" s="132"/>
      <c r="AS187" s="132"/>
      <c r="AT187" s="132"/>
    </row>
    <row r="188" spans="31:46" x14ac:dyDescent="0.2">
      <c r="AE188" s="212"/>
      <c r="AF188" s="132"/>
      <c r="AG188" s="132"/>
      <c r="AH188" s="132"/>
      <c r="AI188" s="132"/>
      <c r="AJ188" s="132"/>
      <c r="AK188" s="132"/>
      <c r="AL188" s="132"/>
      <c r="AM188" s="132"/>
      <c r="AN188" s="132"/>
      <c r="AO188" s="132"/>
      <c r="AP188" s="132"/>
      <c r="AQ188" s="132"/>
      <c r="AR188" s="132"/>
      <c r="AS188" s="132"/>
      <c r="AT188" s="132"/>
    </row>
    <row r="189" spans="31:46" x14ac:dyDescent="0.2">
      <c r="AE189" s="212"/>
      <c r="AF189" s="132"/>
      <c r="AG189" s="132"/>
      <c r="AH189" s="132"/>
      <c r="AI189" s="132"/>
      <c r="AJ189" s="132"/>
      <c r="AK189" s="132"/>
      <c r="AL189" s="132"/>
      <c r="AM189" s="132"/>
      <c r="AN189" s="132"/>
      <c r="AO189" s="132"/>
      <c r="AP189" s="132"/>
      <c r="AQ189" s="132"/>
      <c r="AR189" s="132"/>
      <c r="AS189" s="132"/>
      <c r="AT189" s="132"/>
    </row>
    <row r="190" spans="31:46" x14ac:dyDescent="0.2">
      <c r="AE190" s="212"/>
      <c r="AF190" s="132"/>
      <c r="AG190" s="132"/>
      <c r="AH190" s="132"/>
      <c r="AI190" s="132"/>
      <c r="AJ190" s="132"/>
      <c r="AK190" s="132"/>
      <c r="AL190" s="132"/>
      <c r="AM190" s="132"/>
      <c r="AN190" s="132"/>
      <c r="AO190" s="132"/>
      <c r="AP190" s="132"/>
      <c r="AQ190" s="132"/>
      <c r="AR190" s="132"/>
      <c r="AS190" s="132"/>
      <c r="AT190" s="132"/>
    </row>
    <row r="191" spans="31:46" x14ac:dyDescent="0.2">
      <c r="AE191" s="212"/>
      <c r="AF191" s="132"/>
      <c r="AG191" s="132"/>
      <c r="AH191" s="132"/>
      <c r="AI191" s="132"/>
      <c r="AJ191" s="132"/>
      <c r="AK191" s="132"/>
      <c r="AL191" s="132"/>
      <c r="AM191" s="132"/>
      <c r="AN191" s="132"/>
      <c r="AO191" s="132"/>
      <c r="AP191" s="132"/>
      <c r="AQ191" s="132"/>
      <c r="AR191" s="132"/>
      <c r="AS191" s="132"/>
      <c r="AT191" s="132"/>
    </row>
    <row r="192" spans="31:46" x14ac:dyDescent="0.2">
      <c r="AE192" s="212"/>
      <c r="AF192" s="132"/>
      <c r="AG192" s="132"/>
      <c r="AH192" s="132"/>
      <c r="AI192" s="132"/>
      <c r="AJ192" s="132"/>
      <c r="AK192" s="132"/>
      <c r="AL192" s="132"/>
      <c r="AM192" s="132"/>
      <c r="AN192" s="132"/>
      <c r="AO192" s="132"/>
      <c r="AP192" s="132"/>
      <c r="AQ192" s="132"/>
      <c r="AR192" s="132"/>
      <c r="AS192" s="132"/>
      <c r="AT192" s="132"/>
    </row>
    <row r="193" spans="31:46" x14ac:dyDescent="0.2">
      <c r="AE193" s="212"/>
      <c r="AF193" s="132"/>
      <c r="AG193" s="132"/>
      <c r="AH193" s="132"/>
      <c r="AI193" s="132"/>
      <c r="AJ193" s="132"/>
      <c r="AK193" s="132"/>
      <c r="AL193" s="132"/>
      <c r="AM193" s="132"/>
      <c r="AN193" s="132"/>
      <c r="AO193" s="132"/>
      <c r="AP193" s="132"/>
      <c r="AQ193" s="132"/>
      <c r="AR193" s="132"/>
      <c r="AS193" s="132"/>
      <c r="AT193" s="132"/>
    </row>
    <row r="194" spans="31:46" x14ac:dyDescent="0.2">
      <c r="AE194" s="212"/>
      <c r="AF194" s="132"/>
      <c r="AG194" s="132"/>
      <c r="AH194" s="132"/>
      <c r="AI194" s="132"/>
      <c r="AJ194" s="132"/>
      <c r="AK194" s="132"/>
      <c r="AL194" s="132"/>
      <c r="AM194" s="132"/>
      <c r="AN194" s="132"/>
      <c r="AO194" s="132"/>
      <c r="AP194" s="132"/>
      <c r="AQ194" s="132"/>
      <c r="AR194" s="132"/>
      <c r="AS194" s="132"/>
      <c r="AT194" s="132"/>
    </row>
    <row r="195" spans="31:46" x14ac:dyDescent="0.2">
      <c r="AE195" s="212"/>
      <c r="AF195" s="132"/>
      <c r="AG195" s="132"/>
      <c r="AH195" s="132"/>
      <c r="AI195" s="132"/>
      <c r="AJ195" s="132"/>
      <c r="AK195" s="132"/>
      <c r="AL195" s="132"/>
      <c r="AM195" s="132"/>
      <c r="AN195" s="132"/>
      <c r="AO195" s="132"/>
      <c r="AP195" s="132"/>
      <c r="AQ195" s="132"/>
      <c r="AR195" s="132"/>
      <c r="AS195" s="132"/>
      <c r="AT195" s="132"/>
    </row>
    <row r="196" spans="31:46" x14ac:dyDescent="0.2">
      <c r="AE196" s="212"/>
      <c r="AF196" s="132"/>
      <c r="AG196" s="132"/>
      <c r="AH196" s="132"/>
      <c r="AI196" s="132"/>
      <c r="AJ196" s="132"/>
      <c r="AK196" s="132"/>
      <c r="AL196" s="132"/>
      <c r="AM196" s="132"/>
      <c r="AN196" s="132"/>
      <c r="AO196" s="132"/>
      <c r="AP196" s="132"/>
      <c r="AQ196" s="132"/>
      <c r="AR196" s="132"/>
      <c r="AS196" s="132"/>
      <c r="AT196" s="132"/>
    </row>
    <row r="197" spans="31:46" x14ac:dyDescent="0.2">
      <c r="AE197" s="212"/>
      <c r="AF197" s="132"/>
      <c r="AG197" s="132"/>
      <c r="AH197" s="132"/>
      <c r="AI197" s="132"/>
      <c r="AJ197" s="132"/>
      <c r="AK197" s="132"/>
      <c r="AL197" s="132"/>
      <c r="AM197" s="132"/>
      <c r="AN197" s="132"/>
      <c r="AO197" s="132"/>
      <c r="AP197" s="132"/>
      <c r="AQ197" s="132"/>
      <c r="AR197" s="132"/>
      <c r="AS197" s="132"/>
      <c r="AT197" s="132"/>
    </row>
    <row r="198" spans="31:46" x14ac:dyDescent="0.2">
      <c r="AE198" s="212"/>
      <c r="AF198" s="132"/>
      <c r="AG198" s="132"/>
      <c r="AH198" s="132"/>
      <c r="AI198" s="132"/>
      <c r="AJ198" s="132"/>
      <c r="AK198" s="132"/>
      <c r="AL198" s="132"/>
      <c r="AM198" s="132"/>
      <c r="AN198" s="132"/>
      <c r="AO198" s="132"/>
      <c r="AP198" s="132"/>
      <c r="AQ198" s="132"/>
      <c r="AR198" s="132"/>
      <c r="AS198" s="132"/>
      <c r="AT198" s="132"/>
    </row>
    <row r="199" spans="31:46" x14ac:dyDescent="0.2">
      <c r="AE199" s="212"/>
      <c r="AF199" s="132"/>
      <c r="AG199" s="132"/>
      <c r="AH199" s="132"/>
      <c r="AI199" s="132"/>
      <c r="AJ199" s="132"/>
      <c r="AK199" s="132"/>
      <c r="AL199" s="132"/>
      <c r="AM199" s="132"/>
      <c r="AN199" s="132"/>
      <c r="AO199" s="132"/>
      <c r="AP199" s="132"/>
      <c r="AQ199" s="132"/>
      <c r="AR199" s="132"/>
      <c r="AS199" s="132"/>
      <c r="AT199" s="132"/>
    </row>
    <row r="200" spans="31:46" x14ac:dyDescent="0.2">
      <c r="AE200" s="212"/>
    </row>
    <row r="201" spans="31:46" x14ac:dyDescent="0.2">
      <c r="AE201" s="212"/>
      <c r="AF201" s="132"/>
      <c r="AG201" s="132"/>
      <c r="AH201" s="132"/>
      <c r="AI201" s="132"/>
      <c r="AJ201" s="132"/>
      <c r="AK201" s="132"/>
      <c r="AL201" s="132"/>
      <c r="AM201" s="132"/>
      <c r="AN201" s="132"/>
      <c r="AO201" s="132"/>
      <c r="AP201" s="132"/>
      <c r="AQ201" s="132"/>
      <c r="AR201" s="132"/>
      <c r="AS201" s="132"/>
      <c r="AT201" s="132"/>
    </row>
    <row r="202" spans="31:46" x14ac:dyDescent="0.2">
      <c r="AE202" s="212"/>
      <c r="AF202" s="132"/>
      <c r="AG202" s="132"/>
      <c r="AH202" s="132"/>
      <c r="AI202" s="132"/>
      <c r="AJ202" s="132"/>
      <c r="AK202" s="132"/>
      <c r="AL202" s="132"/>
      <c r="AM202" s="132"/>
      <c r="AN202" s="132"/>
      <c r="AO202" s="132"/>
      <c r="AP202" s="132"/>
      <c r="AQ202" s="132"/>
      <c r="AR202" s="132"/>
      <c r="AS202" s="132"/>
      <c r="AT202" s="132"/>
    </row>
    <row r="203" spans="31:46" x14ac:dyDescent="0.2">
      <c r="AE203" s="212"/>
      <c r="AF203" s="132"/>
      <c r="AG203" s="132"/>
      <c r="AH203" s="132"/>
      <c r="AI203" s="132"/>
      <c r="AJ203" s="132"/>
      <c r="AK203" s="132"/>
      <c r="AL203" s="132"/>
      <c r="AM203" s="132"/>
      <c r="AN203" s="132"/>
      <c r="AO203" s="132"/>
      <c r="AP203" s="132"/>
      <c r="AQ203" s="132"/>
      <c r="AR203" s="132"/>
      <c r="AS203" s="132"/>
      <c r="AT203" s="132"/>
    </row>
    <row r="204" spans="31:46" x14ac:dyDescent="0.2">
      <c r="AE204" s="212"/>
      <c r="AF204" s="132"/>
      <c r="AG204" s="132"/>
      <c r="AH204" s="132"/>
      <c r="AI204" s="132"/>
      <c r="AJ204" s="132"/>
      <c r="AK204" s="132"/>
      <c r="AL204" s="132"/>
      <c r="AM204" s="132"/>
      <c r="AN204" s="132"/>
      <c r="AO204" s="132"/>
      <c r="AP204" s="132"/>
      <c r="AQ204" s="132"/>
      <c r="AR204" s="132"/>
      <c r="AS204" s="132"/>
      <c r="AT204" s="132"/>
    </row>
    <row r="205" spans="31:46" x14ac:dyDescent="0.2">
      <c r="AE205" s="212"/>
      <c r="AF205" s="132"/>
      <c r="AG205" s="132"/>
      <c r="AH205" s="132"/>
      <c r="AI205" s="132"/>
      <c r="AJ205" s="132"/>
      <c r="AK205" s="132"/>
      <c r="AL205" s="132"/>
      <c r="AM205" s="132"/>
      <c r="AN205" s="132"/>
      <c r="AO205" s="132"/>
      <c r="AP205" s="132"/>
      <c r="AQ205" s="132"/>
      <c r="AR205" s="132"/>
      <c r="AS205" s="132"/>
      <c r="AT205" s="132"/>
    </row>
    <row r="206" spans="31:46" x14ac:dyDescent="0.2">
      <c r="AE206" s="212"/>
      <c r="AF206" s="132"/>
      <c r="AG206" s="132"/>
      <c r="AH206" s="132"/>
      <c r="AI206" s="132"/>
      <c r="AJ206" s="132"/>
      <c r="AK206" s="132"/>
      <c r="AL206" s="132"/>
      <c r="AM206" s="132"/>
      <c r="AN206" s="132"/>
      <c r="AO206" s="132"/>
      <c r="AP206" s="132"/>
      <c r="AQ206" s="132"/>
      <c r="AR206" s="132"/>
      <c r="AS206" s="132"/>
      <c r="AT206" s="132"/>
    </row>
    <row r="207" spans="31:46" x14ac:dyDescent="0.2">
      <c r="AE207" s="212"/>
      <c r="AF207" s="132"/>
      <c r="AG207" s="132"/>
      <c r="AH207" s="132"/>
      <c r="AI207" s="132"/>
      <c r="AJ207" s="132"/>
      <c r="AK207" s="132"/>
      <c r="AL207" s="132"/>
      <c r="AM207" s="132"/>
      <c r="AN207" s="132"/>
      <c r="AO207" s="132"/>
      <c r="AP207" s="132"/>
      <c r="AQ207" s="132"/>
      <c r="AR207" s="132"/>
      <c r="AS207" s="132"/>
      <c r="AT207" s="132"/>
    </row>
    <row r="208" spans="31:46" x14ac:dyDescent="0.2">
      <c r="AE208" s="212"/>
      <c r="AF208" s="132"/>
      <c r="AG208" s="132"/>
      <c r="AH208" s="132"/>
      <c r="AI208" s="132"/>
      <c r="AJ208" s="132"/>
      <c r="AK208" s="132"/>
      <c r="AL208" s="132"/>
      <c r="AM208" s="132"/>
      <c r="AN208" s="132"/>
      <c r="AO208" s="132"/>
      <c r="AP208" s="132"/>
      <c r="AQ208" s="132"/>
      <c r="AR208" s="132"/>
      <c r="AS208" s="132"/>
      <c r="AT208" s="132"/>
    </row>
    <row r="209" spans="31:46" x14ac:dyDescent="0.2">
      <c r="AE209" s="212"/>
      <c r="AF209" s="132"/>
      <c r="AG209" s="132"/>
      <c r="AH209" s="132"/>
      <c r="AI209" s="132"/>
      <c r="AJ209" s="132"/>
      <c r="AK209" s="132"/>
      <c r="AL209" s="132"/>
      <c r="AM209" s="132"/>
      <c r="AN209" s="132"/>
      <c r="AO209" s="132"/>
      <c r="AP209" s="132"/>
      <c r="AQ209" s="132"/>
      <c r="AR209" s="132"/>
      <c r="AS209" s="132"/>
      <c r="AT209" s="132"/>
    </row>
    <row r="210" spans="31:46" x14ac:dyDescent="0.2">
      <c r="AE210" s="212"/>
      <c r="AF210" s="132"/>
      <c r="AG210" s="132"/>
      <c r="AH210" s="132"/>
      <c r="AI210" s="132"/>
      <c r="AJ210" s="132"/>
      <c r="AK210" s="132"/>
      <c r="AL210" s="132"/>
      <c r="AM210" s="132"/>
      <c r="AN210" s="132"/>
      <c r="AO210" s="132"/>
      <c r="AP210" s="132"/>
      <c r="AQ210" s="132"/>
      <c r="AR210" s="132"/>
      <c r="AS210" s="132"/>
      <c r="AT210" s="132"/>
    </row>
    <row r="211" spans="31:46" x14ac:dyDescent="0.2">
      <c r="AE211" s="212"/>
      <c r="AF211" s="132"/>
      <c r="AG211" s="132"/>
      <c r="AH211" s="132"/>
      <c r="AI211" s="132"/>
      <c r="AJ211" s="132"/>
      <c r="AK211" s="132"/>
      <c r="AL211" s="132"/>
      <c r="AM211" s="132"/>
      <c r="AN211" s="132"/>
      <c r="AO211" s="132"/>
      <c r="AP211" s="132"/>
      <c r="AQ211" s="132"/>
      <c r="AR211" s="132"/>
      <c r="AS211" s="132"/>
      <c r="AT211" s="132"/>
    </row>
    <row r="212" spans="31:46" x14ac:dyDescent="0.2">
      <c r="AE212" s="212"/>
      <c r="AF212" s="132"/>
      <c r="AG212" s="132"/>
      <c r="AH212" s="132"/>
      <c r="AI212" s="132"/>
      <c r="AJ212" s="132"/>
      <c r="AK212" s="132"/>
      <c r="AL212" s="132"/>
      <c r="AM212" s="132"/>
      <c r="AN212" s="132"/>
      <c r="AO212" s="132"/>
      <c r="AP212" s="132"/>
      <c r="AQ212" s="132"/>
      <c r="AR212" s="132"/>
      <c r="AS212" s="132"/>
      <c r="AT212" s="132"/>
    </row>
    <row r="213" spans="31:46" x14ac:dyDescent="0.2">
      <c r="AE213" s="212"/>
      <c r="AF213" s="132"/>
      <c r="AG213" s="132"/>
      <c r="AH213" s="132"/>
      <c r="AI213" s="132"/>
      <c r="AJ213" s="132"/>
      <c r="AK213" s="132"/>
      <c r="AL213" s="132"/>
      <c r="AM213" s="132"/>
      <c r="AN213" s="132"/>
      <c r="AO213" s="132"/>
      <c r="AP213" s="132"/>
      <c r="AQ213" s="132"/>
      <c r="AR213" s="132"/>
      <c r="AS213" s="132"/>
      <c r="AT213" s="132"/>
    </row>
    <row r="215" spans="31:46" x14ac:dyDescent="0.2">
      <c r="AE215" s="212"/>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4"/>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5"/>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5"/>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l+hxHISXwoIXGEtBw/2i5PvHNnLJ/20GT9VDWLVEzU6hHnCzJnaqSRILdrBeLD8u7E2KFJ7fbVepc8p/WQM5Iw==" saltValue="pYSTvaZmYC6ABGTap1kuaw==" spinCount="100000" sheet="1" objects="1" scenarios="1"/>
  <mergeCells count="222">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E23:H23"/>
    <mergeCell ref="I23:L23"/>
    <mergeCell ref="M23:P23"/>
    <mergeCell ref="Q23:T23"/>
    <mergeCell ref="U23:X23"/>
    <mergeCell ref="Y23:AB23"/>
    <mergeCell ref="AC23:AF23"/>
    <mergeCell ref="AG23:AJ23"/>
    <mergeCell ref="AK23:AN23"/>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AO23:AR23"/>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C28:AF28"/>
    <mergeCell ref="AG28:AJ28"/>
    <mergeCell ref="AK28:AN28"/>
    <mergeCell ref="AO28:AR28"/>
    <mergeCell ref="AW30:BA32"/>
    <mergeCell ref="AX33:AY33"/>
    <mergeCell ref="E28:H28"/>
    <mergeCell ref="I28:L28"/>
    <mergeCell ref="M28:P28"/>
    <mergeCell ref="Q28:T28"/>
    <mergeCell ref="U28:X28"/>
    <mergeCell ref="Y28:AB28"/>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F72:I72"/>
    <mergeCell ref="L72:O72"/>
    <mergeCell ref="R72:U72"/>
    <mergeCell ref="X72:AA72"/>
    <mergeCell ref="AW48:AX48"/>
    <mergeCell ref="I49:K49"/>
    <mergeCell ref="AM49:AP49"/>
    <mergeCell ref="AE53:AG53"/>
    <mergeCell ref="AI53:AJ53"/>
    <mergeCell ref="AK53:AL53"/>
    <mergeCell ref="AM53:AN53"/>
    <mergeCell ref="AP53:AQ53"/>
    <mergeCell ref="AW76:AW80"/>
    <mergeCell ref="AX76:AX80"/>
    <mergeCell ref="AN78:AP78"/>
    <mergeCell ref="AN79:AP79"/>
    <mergeCell ref="AN80:AS80"/>
    <mergeCell ref="AE84:AL84"/>
    <mergeCell ref="AE55:AN55"/>
    <mergeCell ref="AO55:AP55"/>
    <mergeCell ref="AI57:AS57"/>
    <mergeCell ref="AE70:AL70"/>
    <mergeCell ref="AN70:AS70"/>
    <mergeCell ref="AE90:AS92"/>
    <mergeCell ref="Z91:AB93"/>
    <mergeCell ref="H96:K96"/>
    <mergeCell ref="O96:R96"/>
    <mergeCell ref="V96:Y96"/>
    <mergeCell ref="AQ96:AR96"/>
    <mergeCell ref="H85:K85"/>
    <mergeCell ref="O85:R85"/>
    <mergeCell ref="V85:Y85"/>
    <mergeCell ref="AE85:AL85"/>
    <mergeCell ref="AP86:AR86"/>
    <mergeCell ref="Z87:AB89"/>
    <mergeCell ref="AM87:AO87"/>
    <mergeCell ref="AM88:AR88"/>
    <mergeCell ref="T112:Y112"/>
    <mergeCell ref="T114:U114"/>
    <mergeCell ref="E116:R118"/>
    <mergeCell ref="AW96:AX96"/>
    <mergeCell ref="C98:AO98"/>
    <mergeCell ref="T104:U104"/>
    <mergeCell ref="T106:U106"/>
    <mergeCell ref="T108:U108"/>
    <mergeCell ref="T110:Y110"/>
  </mergeCells>
  <conditionalFormatting sqref="AG45:AL45">
    <cfRule type="expression" dxfId="1275" priority="282">
      <formula>$AC$43="x"</formula>
    </cfRule>
  </conditionalFormatting>
  <conditionalFormatting sqref="AO44:AS44">
    <cfRule type="expression" dxfId="1274" priority="281">
      <formula>$AK$42="x"</formula>
    </cfRule>
  </conditionalFormatting>
  <conditionalFormatting sqref="AP7:AS7">
    <cfRule type="expression" dxfId="1273" priority="280">
      <formula>$AM$5&gt;0</formula>
    </cfRule>
  </conditionalFormatting>
  <conditionalFormatting sqref="E28:AR28">
    <cfRule type="expression" dxfId="1272" priority="265">
      <formula>AND($A$28&lt;&gt;"",F$10&lt;&gt;"")</formula>
    </cfRule>
  </conditionalFormatting>
  <conditionalFormatting sqref="F72:I72">
    <cfRule type="expression" dxfId="1271" priority="304">
      <formula>$F$72=""</formula>
    </cfRule>
  </conditionalFormatting>
  <conditionalFormatting sqref="H85:K85">
    <cfRule type="expression" dxfId="1270" priority="271">
      <formula>$H$85=""</formula>
    </cfRule>
  </conditionalFormatting>
  <conditionalFormatting sqref="O85:R85">
    <cfRule type="expression" dxfId="1269" priority="302">
      <formula>$O$85=""</formula>
    </cfRule>
  </conditionalFormatting>
  <conditionalFormatting sqref="V85:Y85">
    <cfRule type="expression" dxfId="1268" priority="270">
      <formula>$V$85=""</formula>
    </cfRule>
  </conditionalFormatting>
  <conditionalFormatting sqref="O96:R96">
    <cfRule type="expression" dxfId="1267" priority="268">
      <formula>$O$96=""</formula>
    </cfRule>
  </conditionalFormatting>
  <conditionalFormatting sqref="AM49:AP49">
    <cfRule type="expression" dxfId="1266" priority="164">
      <formula>$AM$49=""</formula>
    </cfRule>
  </conditionalFormatting>
  <conditionalFormatting sqref="AH54">
    <cfRule type="expression" dxfId="1265" priority="283">
      <formula>$AE$53=0</formula>
    </cfRule>
  </conditionalFormatting>
  <conditionalFormatting sqref="L72:O72">
    <cfRule type="expression" dxfId="1264" priority="274">
      <formula>$L$72=""</formula>
    </cfRule>
  </conditionalFormatting>
  <conditionalFormatting sqref="R72:U72">
    <cfRule type="expression" dxfId="1263" priority="273">
      <formula>$R$72=""</formula>
    </cfRule>
  </conditionalFormatting>
  <conditionalFormatting sqref="X72:AA72">
    <cfRule type="expression" dxfId="1262" priority="272">
      <formula>$X$72=""</formula>
    </cfRule>
  </conditionalFormatting>
  <conditionalFormatting sqref="AT5">
    <cfRule type="expression" dxfId="1261" priority="138">
      <formula>$AT$5=1</formula>
    </cfRule>
  </conditionalFormatting>
  <conditionalFormatting sqref="AM43:AQ43">
    <cfRule type="expression" dxfId="1260" priority="167">
      <formula>$AM$43=""</formula>
    </cfRule>
  </conditionalFormatting>
  <conditionalFormatting sqref="AR43:AS43">
    <cfRule type="expression" dxfId="1259" priority="137">
      <formula>$AR$43=""</formula>
    </cfRule>
  </conditionalFormatting>
  <conditionalFormatting sqref="AM45:AS45">
    <cfRule type="expression" dxfId="1258" priority="166">
      <formula>$AM$45=""</formula>
    </cfRule>
  </conditionalFormatting>
  <conditionalFormatting sqref="AE70:AL70">
    <cfRule type="expression" dxfId="1257" priority="148">
      <formula>$AE$70=""</formula>
    </cfRule>
  </conditionalFormatting>
  <conditionalFormatting sqref="AN70:AS70">
    <cfRule type="expression" dxfId="1256" priority="133">
      <formula>$AN$70=""</formula>
    </cfRule>
  </conditionalFormatting>
  <conditionalFormatting sqref="AO55:AP55">
    <cfRule type="expression" dxfId="1255" priority="45">
      <formula>$AT$52=1</formula>
    </cfRule>
    <cfRule type="expression" dxfId="1254" priority="131">
      <formula>$AO$55=""</formula>
    </cfRule>
  </conditionalFormatting>
  <conditionalFormatting sqref="AN80:AS80">
    <cfRule type="expression" dxfId="1253" priority="128">
      <formula>$AN$80=""</formula>
    </cfRule>
  </conditionalFormatting>
  <conditionalFormatting sqref="H96:K96">
    <cfRule type="expression" dxfId="1252" priority="288">
      <formula>$H$96=""</formula>
    </cfRule>
  </conditionalFormatting>
  <conditionalFormatting sqref="AM88:AR88">
    <cfRule type="expression" dxfId="1251" priority="121">
      <formula>$AM$88=""</formula>
    </cfRule>
  </conditionalFormatting>
  <conditionalFormatting sqref="Y5:AF5">
    <cfRule type="expression" dxfId="1250" priority="259">
      <formula>$Y$5=""</formula>
    </cfRule>
  </conditionalFormatting>
  <conditionalFormatting sqref="Y6:AF6">
    <cfRule type="expression" dxfId="1249" priority="117">
      <formula>$Y$6=""</formula>
    </cfRule>
  </conditionalFormatting>
  <conditionalFormatting sqref="Y7:AF7">
    <cfRule type="expression" dxfId="1248" priority="116">
      <formula>$Y$7=""</formula>
    </cfRule>
  </conditionalFormatting>
  <conditionalFormatting sqref="AJ5:AL5">
    <cfRule type="expression" dxfId="1247" priority="255">
      <formula>$AJ$5=""</formula>
    </cfRule>
  </conditionalFormatting>
  <conditionalFormatting sqref="AJ6:AL6">
    <cfRule type="expression" dxfId="1246" priority="114">
      <formula>$AJ$6=""</formula>
    </cfRule>
  </conditionalFormatting>
  <conditionalFormatting sqref="AJ7:AL7">
    <cfRule type="expression" dxfId="1245" priority="113">
      <formula>$AJ$7=""</formula>
    </cfRule>
  </conditionalFormatting>
  <conditionalFormatting sqref="I49:K49">
    <cfRule type="expression" dxfId="1244" priority="112">
      <formula>$I$49=""</formula>
    </cfRule>
  </conditionalFormatting>
  <conditionalFormatting sqref="T45:U45">
    <cfRule type="expression" dxfId="1243" priority="111">
      <formula>$T$45=""</formula>
    </cfRule>
  </conditionalFormatting>
  <conditionalFormatting sqref="Z42:Z45">
    <cfRule type="expression" dxfId="1242" priority="110">
      <formula>$Z$42=""</formula>
    </cfRule>
  </conditionalFormatting>
  <conditionalFormatting sqref="AX33:AY42">
    <cfRule type="expression" dxfId="1241" priority="108">
      <formula>AW33=""</formula>
    </cfRule>
  </conditionalFormatting>
  <conditionalFormatting sqref="A9:A11">
    <cfRule type="expression" dxfId="1240" priority="49">
      <formula>$C$11&lt;36</formula>
    </cfRule>
  </conditionalFormatting>
  <conditionalFormatting sqref="A28">
    <cfRule type="expression" dxfId="1239" priority="106">
      <formula>$E$28&gt;0</formula>
    </cfRule>
  </conditionalFormatting>
  <conditionalFormatting sqref="AX33:AY42">
    <cfRule type="expression" dxfId="1238" priority="109">
      <formula>AX33=""</formula>
    </cfRule>
  </conditionalFormatting>
  <conditionalFormatting sqref="R112:Y114">
    <cfRule type="expression" dxfId="1237" priority="56">
      <formula>$T$110=""</formula>
    </cfRule>
  </conditionalFormatting>
  <conditionalFormatting sqref="AE53:AG53">
    <cfRule type="expression" dxfId="1236" priority="46">
      <formula>$AT$52=1</formula>
    </cfRule>
    <cfRule type="expression" dxfId="1235" priority="83">
      <formula>$AE$53=0</formula>
    </cfRule>
  </conditionalFormatting>
  <conditionalFormatting sqref="AW48:AX48">
    <cfRule type="expression" dxfId="1234" priority="82">
      <formula>$AW$48=""</formula>
    </cfRule>
  </conditionalFormatting>
  <conditionalFormatting sqref="AE84:AL84">
    <cfRule type="expression" dxfId="1233" priority="74">
      <formula>$AE$84=""</formula>
    </cfRule>
  </conditionalFormatting>
  <conditionalFormatting sqref="AB102:AB120">
    <cfRule type="expression" dxfId="1232" priority="72">
      <formula>$T$104&lt;&gt;105</formula>
    </cfRule>
  </conditionalFormatting>
  <conditionalFormatting sqref="AB120:AG120">
    <cfRule type="expression" dxfId="1231" priority="71">
      <formula>$T$104&lt;&gt;105</formula>
    </cfRule>
  </conditionalFormatting>
  <conditionalFormatting sqref="AG102:AG120">
    <cfRule type="expression" dxfId="1230" priority="70">
      <formula>AND($T$104&lt;&gt;105,$T$104&lt;&gt;85)</formula>
    </cfRule>
  </conditionalFormatting>
  <conditionalFormatting sqref="AB102:AG102">
    <cfRule type="expression" dxfId="1229" priority="69">
      <formula>$T$104&lt;&gt;105</formula>
    </cfRule>
  </conditionalFormatting>
  <conditionalFormatting sqref="AH120:AM120">
    <cfRule type="expression" dxfId="1228" priority="68">
      <formula>$T$104&lt;&gt;85</formula>
    </cfRule>
  </conditionalFormatting>
  <conditionalFormatting sqref="AH102:AM102">
    <cfRule type="expression" dxfId="1227" priority="67">
      <formula>$T$104&lt;&gt;85</formula>
    </cfRule>
  </conditionalFormatting>
  <conditionalFormatting sqref="AN102:AN120">
    <cfRule type="expression" dxfId="1226" priority="66">
      <formula>AND($T$104&lt;&gt;85,$T$104&lt;&gt;110)</formula>
    </cfRule>
  </conditionalFormatting>
  <conditionalFormatting sqref="AN120:AT120">
    <cfRule type="expression" dxfId="1225" priority="65">
      <formula>$T$104&lt;&gt;110</formula>
    </cfRule>
  </conditionalFormatting>
  <conditionalFormatting sqref="AT102:AT120">
    <cfRule type="expression" dxfId="1224" priority="64">
      <formula>$T$104&lt;&gt;110</formula>
    </cfRule>
  </conditionalFormatting>
  <conditionalFormatting sqref="AN102:AT102">
    <cfRule type="expression" dxfId="1223" priority="63">
      <formula>$T$104&lt;&gt;110</formula>
    </cfRule>
  </conditionalFormatting>
  <conditionalFormatting sqref="T104:U104">
    <cfRule type="expression" dxfId="1222" priority="62">
      <formula>$T$104=""</formula>
    </cfRule>
  </conditionalFormatting>
  <conditionalFormatting sqref="T106:U106">
    <cfRule type="expression" dxfId="1221" priority="61">
      <formula>$T$106=""</formula>
    </cfRule>
  </conditionalFormatting>
  <conditionalFormatting sqref="T108:U108">
    <cfRule type="expression" dxfId="1220" priority="60">
      <formula>$T$108=""</formula>
    </cfRule>
  </conditionalFormatting>
  <conditionalFormatting sqref="T114:U114">
    <cfRule type="expression" dxfId="1219" priority="59">
      <formula>$T$114=""</formula>
    </cfRule>
  </conditionalFormatting>
  <conditionalFormatting sqref="T110:Y110">
    <cfRule type="expression" dxfId="1218" priority="57">
      <formula>$T$110=""</formula>
    </cfRule>
  </conditionalFormatting>
  <conditionalFormatting sqref="T112:Y112">
    <cfRule type="expression" dxfId="1217" priority="58">
      <formula>$T$112=""</formula>
    </cfRule>
  </conditionalFormatting>
  <conditionalFormatting sqref="AI57:AS57">
    <cfRule type="expression" dxfId="1216" priority="163">
      <formula>$AI$57=""</formula>
    </cfRule>
  </conditionalFormatting>
  <conditionalFormatting sqref="AX25:AZ26">
    <cfRule type="expression" dxfId="1215" priority="51">
      <formula>$AX$25=""</formula>
    </cfRule>
  </conditionalFormatting>
  <conditionalFormatting sqref="AM87:AO87">
    <cfRule type="expression" dxfId="1214" priority="47">
      <formula>$AM$87=""</formula>
    </cfRule>
  </conditionalFormatting>
  <conditionalFormatting sqref="AT52">
    <cfRule type="expression" dxfId="1213" priority="44">
      <formula>$AT$52=1</formula>
    </cfRule>
  </conditionalFormatting>
  <conditionalFormatting sqref="AX76:AX80">
    <cfRule type="expression" dxfId="1212" priority="41">
      <formula>$AN$80=""</formula>
    </cfRule>
  </conditionalFormatting>
  <conditionalFormatting sqref="AB62">
    <cfRule type="expression" dxfId="1211" priority="40">
      <formula>$AB$62&gt;0</formula>
    </cfRule>
  </conditionalFormatting>
  <conditionalFormatting sqref="AB73">
    <cfRule type="expression" dxfId="1210" priority="39">
      <formula>$AB$73&gt;0</formula>
    </cfRule>
  </conditionalFormatting>
  <conditionalFormatting sqref="M6:Q6">
    <cfRule type="expression" dxfId="1209" priority="319">
      <formula>$M$6=""</formula>
    </cfRule>
  </conditionalFormatting>
  <conditionalFormatting sqref="AN78:AP78">
    <cfRule type="expression" dxfId="1208" priority="130">
      <formula>$AN$78=""</formula>
    </cfRule>
  </conditionalFormatting>
  <conditionalFormatting sqref="AN79:AP79">
    <cfRule type="expression" dxfId="1207" priority="129">
      <formula>$AN$79=""</formula>
    </cfRule>
  </conditionalFormatting>
  <conditionalFormatting sqref="AM46:AS46">
    <cfRule type="expression" dxfId="1206" priority="134">
      <formula>$AM$46=""</formula>
    </cfRule>
  </conditionalFormatting>
  <conditionalFormatting sqref="AM47:AS47">
    <cfRule type="expression" dxfId="1205" priority="32">
      <formula>$AM$47=""</formula>
    </cfRule>
  </conditionalFormatting>
  <conditionalFormatting sqref="AQ96:AR96">
    <cfRule type="expression" dxfId="1204" priority="18">
      <formula>$AQ$96=""</formula>
    </cfRule>
  </conditionalFormatting>
  <conditionalFormatting sqref="BD2:BI10">
    <cfRule type="expression" dxfId="1203" priority="9">
      <formula>$AW$2=""</formula>
    </cfRule>
  </conditionalFormatting>
  <conditionalFormatting sqref="AZ9:BA9">
    <cfRule type="expression" dxfId="1202" priority="6">
      <formula>$AZ$9=""</formula>
    </cfRule>
  </conditionalFormatting>
  <conditionalFormatting sqref="AZ10:BA10">
    <cfRule type="expression" dxfId="1201" priority="5">
      <formula>$AZ$10=""</formula>
    </cfRule>
  </conditionalFormatting>
  <dataValidations count="8">
    <dataValidation type="whole" allowBlank="1" showInputMessage="1" showErrorMessage="1" sqref="J58:M59 I46:K49" xr:uid="{8DCFAA62-959B-4785-AA7B-8320938F44D0}">
      <formula1>0</formula1>
      <formula2>100000</formula2>
    </dataValidation>
    <dataValidation type="custom" operator="equal" allowBlank="1" showInputMessage="1" showErrorMessage="1" sqref="AA60 E33:E34 E40:E41 Q40:Q41 E6:E7 AN33 AN44 AA47:AA49" xr:uid="{73EA6A90-B4A3-4901-A401-9E8E7F562395}">
      <formula1>E6="X"</formula1>
    </dataValidation>
    <dataValidation type="whole" allowBlank="1" showInputMessage="1" showErrorMessage="1" sqref="H21:I21 AJ21:AK21 L21:M21 P21:Q21 T21:U21 X21:Y21 AB21:AC21 AF21:AG21 AN21:AO21" xr:uid="{883F41F9-5AFB-46A1-8488-64D9036D515E}">
      <formula1>0</formula1>
      <formula2>360</formula2>
    </dataValidation>
    <dataValidation type="whole" allowBlank="1" showInputMessage="1" showErrorMessage="1" sqref="E28:AR28 Z42:Z45" xr:uid="{CAE5BFDE-5026-47D0-9B4C-2239DBF4BEBF}">
      <formula1>0</formula1>
      <formula2>10000</formula2>
    </dataValidation>
    <dataValidation type="whole" allowBlank="1" showInputMessage="1" showErrorMessage="1" sqref="T45:U45" xr:uid="{4FB86A1B-5EF1-4EA7-B1C4-7398FD440263}">
      <formula1>0</formula1>
      <formula2>3000</formula2>
    </dataValidation>
    <dataValidation type="date" operator="greaterThanOrEqual" allowBlank="1" showInputMessage="1" showErrorMessage="1" sqref="Y7:AF7" xr:uid="{8A0A6C6D-1B5C-438D-9B62-8625908F4374}">
      <formula1>TODAY()-3</formula1>
    </dataValidation>
    <dataValidation type="whole" operator="equal" allowBlank="1" showInputMessage="1" showErrorMessage="1" sqref="AB62 AB73" xr:uid="{3A586DB4-2485-4D7C-98C8-153BF59CB239}">
      <formula1>1</formula1>
    </dataValidation>
    <dataValidation type="whole" allowBlank="1" showInputMessage="1" showErrorMessage="1" sqref="AJ6:AL6" xr:uid="{0A9A62F0-4A43-417A-AAAD-D802E481C9C2}">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9218"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9219"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9220"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9221"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9222"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9223"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9224"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9225"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9227" r:id="rId14" name="Check Box 11">
              <controlPr locked="0" defaultSize="0" autoFill="0" autoLine="0" autoPict="0">
                <anchor moveWithCells="1">
                  <from>
                    <xdr:col>40</xdr:col>
                    <xdr:colOff>0</xdr:colOff>
                    <xdr:row>32</xdr:row>
                    <xdr:rowOff>0</xdr:rowOff>
                  </from>
                  <to>
                    <xdr:col>41</xdr:col>
                    <xdr:colOff>0</xdr:colOff>
                    <xdr:row>33</xdr:row>
                    <xdr:rowOff>0</xdr:rowOff>
                  </to>
                </anchor>
              </controlPr>
            </control>
          </mc:Choice>
        </mc:AlternateContent>
        <mc:AlternateContent xmlns:mc="http://schemas.openxmlformats.org/markup-compatibility/2006">
          <mc:Choice Requires="x14">
            <control shapeId="9228" r:id="rId15" name="Check Box 12">
              <controlPr locked="0" defaultSize="0" autoFill="0" autoLine="0" autoPict="0">
                <anchor moveWithCells="1">
                  <from>
                    <xdr:col>42</xdr:col>
                    <xdr:colOff>0</xdr:colOff>
                    <xdr:row>4</xdr:row>
                    <xdr:rowOff>0</xdr:rowOff>
                  </from>
                  <to>
                    <xdr:col>43</xdr:col>
                    <xdr:colOff>0</xdr:colOff>
                    <xdr:row>4</xdr:row>
                    <xdr:rowOff>171450</xdr:rowOff>
                  </to>
                </anchor>
              </controlPr>
            </control>
          </mc:Choice>
        </mc:AlternateContent>
        <mc:AlternateContent xmlns:mc="http://schemas.openxmlformats.org/markup-compatibility/2006">
          <mc:Choice Requires="x14">
            <control shapeId="9229"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9230" r:id="rId17" name="Check Box 14">
              <controlPr locked="0" defaultSize="0" autoFill="0" autoLine="0" autoPict="0">
                <anchor moveWithCells="1">
                  <from>
                    <xdr:col>42</xdr:col>
                    <xdr:colOff>0</xdr:colOff>
                    <xdr:row>6</xdr:row>
                    <xdr:rowOff>0</xdr:rowOff>
                  </from>
                  <to>
                    <xdr:col>43</xdr:col>
                    <xdr:colOff>0</xdr:colOff>
                    <xdr:row>7</xdr:row>
                    <xdr:rowOff>19050</xdr:rowOff>
                  </to>
                </anchor>
              </controlPr>
            </control>
          </mc:Choice>
        </mc:AlternateContent>
        <mc:AlternateContent xmlns:mc="http://schemas.openxmlformats.org/markup-compatibility/2006">
          <mc:Choice Requires="x14">
            <control shapeId="9231" r:id="rId18" name="Check Box 15">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9232" r:id="rId19" name="Check Box 16">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9233" r:id="rId20" name="Check Box 17">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9234" r:id="rId21" name="Check Box 18">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9235" r:id="rId22" name="Check Box 19">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9236" r:id="rId23" name="Check Box 20">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9237" r:id="rId24" name="Check Box 21">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9238" r:id="rId25" name="Check Box 22">
              <controlPr locked="0" defaultSize="0" autoFill="0" autoLine="0" autoPict="0">
                <anchor moveWithCells="1">
                  <from>
                    <xdr:col>9</xdr:col>
                    <xdr:colOff>76200</xdr:colOff>
                    <xdr:row>52</xdr:row>
                    <xdr:rowOff>114300</xdr:rowOff>
                  </from>
                  <to>
                    <xdr:col>10</xdr:col>
                    <xdr:colOff>76200</xdr:colOff>
                    <xdr:row>53</xdr:row>
                    <xdr:rowOff>114300</xdr:rowOff>
                  </to>
                </anchor>
              </controlPr>
            </control>
          </mc:Choice>
        </mc:AlternateContent>
        <mc:AlternateContent xmlns:mc="http://schemas.openxmlformats.org/markup-compatibility/2006">
          <mc:Choice Requires="x14">
            <control shapeId="9239" r:id="rId26" name="Check Box 23">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9240" r:id="rId27" name="Check Box 24">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9241" r:id="rId28" name="Check Box 25">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9242" r:id="rId29" name="Check Box 26">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9243" r:id="rId30" name="Check Box 27">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9244" r:id="rId31" name="Check Box 28">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mc:AlternateContent xmlns:mc="http://schemas.openxmlformats.org/markup-compatibility/2006">
          <mc:Choice Requires="x14">
            <control shapeId="9245" r:id="rId32" name="Check Box 2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9246" r:id="rId33" name="Check Box 3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9247" r:id="rId34" name="Check Box 3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9248" r:id="rId35" name="Check Box 3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9249" r:id="rId36" name="Check Box 33">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9250" r:id="rId37" name="Check Box 34">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9251" r:id="rId38" name="Check Box 35">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9252" r:id="rId39" name="Check Box 36">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9253" r:id="rId40" name="Check Box 37">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9254" r:id="rId41" name="Check Box 38">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9255" r:id="rId42" name="Check Box 39">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9256" r:id="rId43" name="Check Box 40">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9257" r:id="rId44" name="Check Box 4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9258" r:id="rId45" name="Check Box 4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9259" r:id="rId46" name="Check Box 4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9260" r:id="rId47" name="Check Box 4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9261" r:id="rId48" name="Check Box 45">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9262" r:id="rId49" name="Check Box 46">
              <controlPr locked="0" defaultSize="0" autoFill="0" autoLine="0" autoPict="0">
                <anchor moveWithCells="1">
                  <from>
                    <xdr:col>13</xdr:col>
                    <xdr:colOff>28575</xdr:colOff>
                    <xdr:row>62</xdr:row>
                    <xdr:rowOff>57150</xdr:rowOff>
                  </from>
                  <to>
                    <xdr:col>14</xdr:col>
                    <xdr:colOff>38100</xdr:colOff>
                    <xdr:row>63</xdr:row>
                    <xdr:rowOff>57150</xdr:rowOff>
                  </to>
                </anchor>
              </controlPr>
            </control>
          </mc:Choice>
        </mc:AlternateContent>
        <mc:AlternateContent xmlns:mc="http://schemas.openxmlformats.org/markup-compatibility/2006">
          <mc:Choice Requires="x14">
            <control shapeId="9263" r:id="rId50" name="Check Box 47">
              <controlPr locked="0" defaultSize="0" autoFill="0" autoLine="0" autoPict="0">
                <anchor moveWithCells="1">
                  <from>
                    <xdr:col>11</xdr:col>
                    <xdr:colOff>28575</xdr:colOff>
                    <xdr:row>68</xdr:row>
                    <xdr:rowOff>47625</xdr:rowOff>
                  </from>
                  <to>
                    <xdr:col>12</xdr:col>
                    <xdr:colOff>38100</xdr:colOff>
                    <xdr:row>69</xdr:row>
                    <xdr:rowOff>47625</xdr:rowOff>
                  </to>
                </anchor>
              </controlPr>
            </control>
          </mc:Choice>
        </mc:AlternateContent>
        <mc:AlternateContent xmlns:mc="http://schemas.openxmlformats.org/markup-compatibility/2006">
          <mc:Choice Requires="x14">
            <control shapeId="9264" r:id="rId51" name="Check Box 4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9265" r:id="rId52" name="Check Box 4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9266" r:id="rId53" name="Check Box 50">
              <controlPr locked="0" defaultSize="0" autoFill="0" autoLine="0" autoPict="0">
                <anchor moveWithCells="1">
                  <from>
                    <xdr:col>40</xdr:col>
                    <xdr:colOff>0</xdr:colOff>
                    <xdr:row>33</xdr:row>
                    <xdr:rowOff>0</xdr:rowOff>
                  </from>
                  <to>
                    <xdr:col>41</xdr:col>
                    <xdr:colOff>0</xdr:colOff>
                    <xdr:row>34</xdr:row>
                    <xdr:rowOff>0</xdr:rowOff>
                  </to>
                </anchor>
              </controlPr>
            </control>
          </mc:Choice>
        </mc:AlternateContent>
        <mc:AlternateContent xmlns:mc="http://schemas.openxmlformats.org/markup-compatibility/2006">
          <mc:Choice Requires="x14">
            <control shapeId="9267" r:id="rId54" name="Check Box 51">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9268" r:id="rId55" name="Check Box 52">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9269" r:id="rId56" name="Check Box 53">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9270" r:id="rId57" name="Check Box 54">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8" id="{2B35E455-8C85-483F-98DC-E8904CFE065D}">
            <xm:f>$A$9&lt;&gt;'Sprachen &amp; Rückgabewerte(2)'!$H$132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6" id="{D7CBD340-4B2C-494B-8C03-243CEA9A097B}">
            <xm:f>'Sprachen &amp; Rückgabewerte(2)'!$U$49=FALSE</xm:f>
            <x14:dxf>
              <border>
                <bottom style="thin">
                  <color rgb="FFFF0000"/>
                </bottom>
                <vertical/>
                <horizontal/>
              </border>
            </x14:dxf>
          </x14:cfRule>
          <x14:cfRule type="expression" priority="279" id="{3227606F-E0AD-4FF0-BCF5-7D6D4BE750F3}">
            <xm:f>'Sprachen &amp; Rückgabewerte(2)'!$I$12=FALSE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78" id="{916055B0-B302-4FE2-9A75-D59849C53DF7}">
            <xm:f>AND('Sprachen &amp; Rückgabewerte(2)'!$I$11=FALSE,'Sprachen &amp; Rückgabewerte(2)'!$I$12=FALSE)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7" id="{658D4096-B2EA-4B41-B2F0-1DADC648A048}">
            <xm:f>AND('Sprachen &amp; Rückgabewerte(2)'!$I$10=FALSE,'Sprachen &amp; Rückgabewerte(2)'!$I$11=FALSE,'Sprachen &amp; Rückgabewerte(2)'!$I$12=FALSE)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D13C42E1-494E-4052-95C6-1E00D6CE6A1E}">
            <xm:f>AND($AP$86="",'Sprachen &amp; Rückgabewerte(2)'!$I$51=TRUE)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6" id="{2BFDA323-777A-4B47-AC48-81A63F2902A5}">
            <xm:f>'Sprachen &amp; Rückgabewerte(2)'!$I$51=TRUE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5" id="{F5A4D7C7-78A2-4240-A0A1-01C0C43F4053}">
            <xm:f>'Sprachen &amp; Rückgabewerte(2)'!$C$41=FALSE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9" id="{25CA20F1-5A3A-4F23-A77A-E06324C964CC}">
            <xm:f>'Sprachen &amp; Rückgabewerte(2)'!$C$42=FALSE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4" id="{8298A4C3-217D-4EEE-96DB-B1C46F757E18}">
            <xm:f>'Sprachen &amp; Rückgabewerte(2)'!$C$43=FALSE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3" id="{A6D2D9B0-B66E-46FF-B74C-6068D8FDF937}">
            <xm:f>'Sprachen &amp; Rückgabewerte(2)'!$C$44=FALSE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1" id="{4E0856D9-DD80-44C7-BD38-8858090ACC2F}">
            <xm:f>'Sprachen &amp; Rückgabewerte(2)'!$C$45=FALSE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6" id="{88BC520B-2066-4290-AAE4-5183CA2EF1C2}">
            <xm:f>'Sprachen &amp; Rückgabewerte(2)'!$C$46=FALSE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9" id="{DFA63067-569C-4076-972C-ACF5D899E4C2}">
            <xm:f>'Sprachen &amp; Rückgabewerte(2)'!$C$47=FALSE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40" id="{80611048-A8B2-4689-9D0E-328A1E3A511E}">
            <xm:f>'Sprachen &amp; Rückgabewerte(2)'!$C$49=FALSE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6" id="{FF8FB202-2668-4058-B46B-DFBFC5CF0121}">
            <xm:f>G$20='Sprachen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7" id="{1CAC1D2D-2026-4FC9-80C1-A484479D1A95}">
            <xm:f>G$20='Sprachen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4" id="{65F65592-D0A4-4F3D-A768-328BFB5A0232}">
            <xm:f>'Sprachen &amp; Rückgabewerte(2)'!$L$41=0</xm:f>
            <x14:dxf>
              <border>
                <left style="thin">
                  <color rgb="FFFF0000"/>
                </left>
                <vertical/>
                <horizontal/>
              </border>
            </x14:dxf>
          </x14:cfRule>
          <xm:sqref>C5:C8</xm:sqref>
        </x14:conditionalFormatting>
        <x14:conditionalFormatting xmlns:xm="http://schemas.microsoft.com/office/excel/2006/main">
          <x14:cfRule type="expression" priority="263" id="{2058D5DD-FF85-4194-AD04-F8F3241E0218}">
            <xm:f>'Sprachen &amp; Rückgabewerte(2)'!$L$41=0</xm:f>
            <x14:dxf>
              <border>
                <top style="thin">
                  <color rgb="FFFF0000"/>
                </top>
                <vertical/>
                <horizontal/>
              </border>
            </x14:dxf>
          </x14:cfRule>
          <xm:sqref>C5:R5</xm:sqref>
        </x14:conditionalFormatting>
        <x14:conditionalFormatting xmlns:xm="http://schemas.microsoft.com/office/excel/2006/main">
          <x14:cfRule type="expression" priority="262" id="{8038BD56-DC7A-4223-A690-8D93A23722D2}">
            <xm:f>'Sprachen &amp; Rückgabewerte(2)'!$L$41=0</xm:f>
            <x14:dxf>
              <border>
                <right style="thin">
                  <color rgb="FFFF0000"/>
                </right>
                <vertical/>
                <horizontal/>
              </border>
            </x14:dxf>
          </x14:cfRule>
          <xm:sqref>R5:R8</xm:sqref>
        </x14:conditionalFormatting>
        <x14:conditionalFormatting xmlns:xm="http://schemas.microsoft.com/office/excel/2006/main">
          <x14:cfRule type="expression" priority="261" id="{ADDB86B3-6B96-4EA4-B150-FC0810EBED83}">
            <xm:f>'Sprachen &amp; Rückgabewerte(2)'!$L$41=0</xm:f>
            <x14:dxf>
              <border>
                <bottom style="thin">
                  <color rgb="FFFF0000"/>
                </bottom>
                <vertical/>
                <horizontal/>
              </border>
            </x14:dxf>
          </x14:cfRule>
          <xm:sqref>C8:R8</xm:sqref>
        </x14:conditionalFormatting>
        <x14:conditionalFormatting xmlns:xm="http://schemas.microsoft.com/office/excel/2006/main">
          <x14:cfRule type="expression" priority="260" id="{A888159D-8572-4CD7-AAC8-7E930D4B5A3B}">
            <xm:f>'Sprachen &amp; Rückgabewerte(2)'!$L$42=0</xm:f>
            <x14:dxf>
              <border>
                <left style="thin">
                  <color rgb="FFFF0000"/>
                </left>
                <vertical/>
                <horizontal/>
              </border>
            </x14:dxf>
          </x14:cfRule>
          <xm:sqref>S5:S8</xm:sqref>
        </x14:conditionalFormatting>
        <x14:conditionalFormatting xmlns:xm="http://schemas.microsoft.com/office/excel/2006/main">
          <x14:cfRule type="expression" priority="118" id="{9A3B7AC6-CA0C-4568-B2EF-6C9AE685932A}">
            <xm:f>'Sprachen &amp; Rückgabewerte(2)'!$L$42=0</xm:f>
            <x14:dxf>
              <border>
                <top style="thin">
                  <color rgb="FFFF0000"/>
                </top>
                <vertical/>
                <horizontal/>
              </border>
            </x14:dxf>
          </x14:cfRule>
          <xm:sqref>S5:AG5</xm:sqref>
        </x14:conditionalFormatting>
        <x14:conditionalFormatting xmlns:xm="http://schemas.microsoft.com/office/excel/2006/main">
          <x14:cfRule type="expression" priority="258" id="{DF06C1A2-1035-4461-9B3D-A0E1159772BD}">
            <xm:f>'Sprachen &amp; Rückgabewerte(2)'!$L$42=0</xm:f>
            <x14:dxf>
              <border>
                <right style="thin">
                  <color rgb="FFFF0000"/>
                </right>
                <vertical/>
                <horizontal/>
              </border>
            </x14:dxf>
          </x14:cfRule>
          <xm:sqref>AG5:AG8</xm:sqref>
        </x14:conditionalFormatting>
        <x14:conditionalFormatting xmlns:xm="http://schemas.microsoft.com/office/excel/2006/main">
          <x14:cfRule type="expression" priority="257" id="{70B707AA-A4F2-41D7-AE0E-364FE7003C7F}">
            <xm:f>'Sprachen &amp; Rückgabewerte(2)'!$L$42=0</xm:f>
            <x14:dxf>
              <border>
                <bottom style="thin">
                  <color rgb="FFFF0000"/>
                </bottom>
                <vertical/>
                <horizontal/>
              </border>
            </x14:dxf>
          </x14:cfRule>
          <xm:sqref>S8:AG8</xm:sqref>
        </x14:conditionalFormatting>
        <x14:conditionalFormatting xmlns:xm="http://schemas.microsoft.com/office/excel/2006/main">
          <x14:cfRule type="expression" priority="256" id="{FD7E676A-D7C5-42D1-84B5-9312F50A39C8}">
            <xm:f>'Sprachen &amp; Rückgabewerte(2)'!$L$43=0</xm:f>
            <x14:dxf>
              <border>
                <left style="thin">
                  <color rgb="FFFF0000"/>
                </left>
                <vertical/>
                <horizontal/>
              </border>
            </x14:dxf>
          </x14:cfRule>
          <xm:sqref>AH5:AH8</xm:sqref>
        </x14:conditionalFormatting>
        <x14:conditionalFormatting xmlns:xm="http://schemas.microsoft.com/office/excel/2006/main">
          <x14:cfRule type="expression" priority="115" id="{4711DD96-9B5E-442B-AC9E-950F5C1A8C48}">
            <xm:f>'Sprachen &amp; Rückgabewerte(2)'!$L$43=0</xm:f>
            <x14:dxf>
              <border>
                <top style="thin">
                  <color rgb="FFFF0000"/>
                </top>
                <vertical/>
                <horizontal/>
              </border>
            </x14:dxf>
          </x14:cfRule>
          <xm:sqref>AH5:AM5</xm:sqref>
        </x14:conditionalFormatting>
        <x14:conditionalFormatting xmlns:xm="http://schemas.microsoft.com/office/excel/2006/main">
          <x14:cfRule type="expression" priority="254" id="{4A96DBFA-E855-4A41-AC17-B5656A5EDECE}">
            <xm:f>'Sprachen &amp; Rückgabewerte(2)'!$L$43=0</xm:f>
            <x14:dxf>
              <border>
                <right style="thin">
                  <color rgb="FFFF0000"/>
                </right>
                <vertical/>
                <horizontal/>
              </border>
            </x14:dxf>
          </x14:cfRule>
          <xm:sqref>AM5:AM8</xm:sqref>
        </x14:conditionalFormatting>
        <x14:conditionalFormatting xmlns:xm="http://schemas.microsoft.com/office/excel/2006/main">
          <x14:cfRule type="expression" priority="253" id="{96F5586F-94E4-4D83-ACE3-3C40C76D0383}">
            <xm:f>'Sprachen &amp; Rückgabewerte(2)'!$L$43=0</xm:f>
            <x14:dxf>
              <border>
                <bottom style="thin">
                  <color rgb="FFFF0000"/>
                </bottom>
                <vertical/>
                <horizontal/>
              </border>
            </x14:dxf>
          </x14:cfRule>
          <xm:sqref>AH8:AM8</xm:sqref>
        </x14:conditionalFormatting>
        <x14:conditionalFormatting xmlns:xm="http://schemas.microsoft.com/office/excel/2006/main">
          <x14:cfRule type="expression" priority="252" id="{A0A56CD7-344E-46F5-813F-2E9166BCE1FB}">
            <xm:f>'Sprachen &amp; Rückgabewerte(2)'!$L$44=0</xm:f>
            <x14:dxf>
              <border>
                <left style="thin">
                  <color rgb="FFFF0000"/>
                </left>
                <vertical/>
                <horizontal/>
              </border>
            </x14:dxf>
          </x14:cfRule>
          <xm:sqref>AN5:AN8</xm:sqref>
        </x14:conditionalFormatting>
        <x14:conditionalFormatting xmlns:xm="http://schemas.microsoft.com/office/excel/2006/main">
          <x14:cfRule type="expression" priority="251" id="{B2EFA78F-2D5A-43AF-A139-8C6FC10893D1}">
            <xm:f>'Sprachen &amp; Rückgabewerte(2)'!$L$44=0</xm:f>
            <x14:dxf>
              <border>
                <top style="thin">
                  <color rgb="FFFF0000"/>
                </top>
                <vertical/>
                <horizontal/>
              </border>
            </x14:dxf>
          </x14:cfRule>
          <xm:sqref>AN5:AT5</xm:sqref>
        </x14:conditionalFormatting>
        <x14:conditionalFormatting xmlns:xm="http://schemas.microsoft.com/office/excel/2006/main">
          <x14:cfRule type="expression" priority="250" id="{A1F325E2-4A62-4515-8644-8B383C211467}">
            <xm:f>'Sprachen &amp; Rückgabewerte(2)'!$L$44=0</xm:f>
            <x14:dxf>
              <border>
                <right style="thin">
                  <color rgb="FFFF0000"/>
                </right>
                <vertical/>
                <horizontal/>
              </border>
            </x14:dxf>
          </x14:cfRule>
          <xm:sqref>AT5:AT8</xm:sqref>
        </x14:conditionalFormatting>
        <x14:conditionalFormatting xmlns:xm="http://schemas.microsoft.com/office/excel/2006/main">
          <x14:cfRule type="expression" priority="249" id="{FFBF572B-96AC-4C1E-A5D5-042BDF6A83C6}">
            <xm:f>'Sprachen &amp; Rückgabewerte(2)'!$L$44=0</xm:f>
            <x14:dxf>
              <border>
                <bottom style="thin">
                  <color rgb="FFFF0000"/>
                </bottom>
                <vertical/>
                <horizontal/>
              </border>
            </x14:dxf>
          </x14:cfRule>
          <xm:sqref>AN8:AT8</xm:sqref>
        </x14:conditionalFormatting>
        <x14:conditionalFormatting xmlns:xm="http://schemas.microsoft.com/office/excel/2006/main">
          <x14:cfRule type="expression" priority="248" id="{1EFED1D7-B0A2-45FC-9F17-02364A402475}">
            <xm:f>'Sprachen &amp; Rückgabewerte(2)'!$L$45=0</xm:f>
            <x14:dxf>
              <border>
                <left style="thin">
                  <color rgb="FFFF0000"/>
                </left>
                <vertical/>
                <horizontal/>
              </border>
            </x14:dxf>
          </x14:cfRule>
          <xm:sqref>C9:C30</xm:sqref>
        </x14:conditionalFormatting>
        <x14:conditionalFormatting xmlns:xm="http://schemas.microsoft.com/office/excel/2006/main">
          <x14:cfRule type="expression" priority="241" id="{A9A4037B-E229-4298-81EE-59D272368385}">
            <xm:f>'Sprachen &amp; Rückgabewerte(2)'!$L$46=0</xm:f>
            <x14:dxf>
              <border>
                <bottom style="thin">
                  <color rgb="FFFF0000"/>
                </bottom>
                <vertical/>
                <horizontal/>
              </border>
            </x14:dxf>
          </x14:cfRule>
          <x14:cfRule type="expression" priority="247" id="{106A3801-B2CB-4ADA-B7AD-BB6412BA91E9}">
            <xm:f>'Sprachen &amp; Rückgabewerte(2)'!$L$45=0</xm:f>
            <x14:dxf>
              <border>
                <bottom style="thin">
                  <color rgb="FFFF0000"/>
                </bottom>
                <vertical/>
                <horizontal/>
              </border>
            </x14:dxf>
          </x14:cfRule>
          <xm:sqref>C30:AT30</xm:sqref>
        </x14:conditionalFormatting>
        <x14:conditionalFormatting xmlns:xm="http://schemas.microsoft.com/office/excel/2006/main">
          <x14:cfRule type="expression" priority="246" id="{0D736535-B5CD-4303-8257-85DD7722E7CF}">
            <xm:f>'Sprachen &amp; Rückgabewerte(2)'!$L$45=0</xm:f>
            <x14:dxf>
              <border>
                <top style="thin">
                  <color rgb="FFFF0000"/>
                </top>
                <vertical/>
                <horizontal/>
              </border>
            </x14:dxf>
          </x14:cfRule>
          <xm:sqref>C9:AT9</xm:sqref>
        </x14:conditionalFormatting>
        <x14:conditionalFormatting xmlns:xm="http://schemas.microsoft.com/office/excel/2006/main">
          <x14:cfRule type="expression" priority="245" id="{AD198FA5-ADD1-44F3-B8E0-BDF08FF0614B}">
            <xm:f>'Sprachen &amp; Rückgabewerte(2)'!$L$45=0</xm:f>
            <x14:dxf>
              <border>
                <right style="thin">
                  <color rgb="FFFF0000"/>
                </right>
                <vertical/>
                <horizontal/>
              </border>
            </x14:dxf>
          </x14:cfRule>
          <xm:sqref>AT9:AT30</xm:sqref>
        </x14:conditionalFormatting>
        <x14:conditionalFormatting xmlns:xm="http://schemas.microsoft.com/office/excel/2006/main">
          <x14:cfRule type="expression" priority="244" id="{D7013730-DD72-4642-A253-3118E5DD3FF4}">
            <xm:f>'Sprachen &amp; Rückgabewerte(2)'!$L$46=0</xm:f>
            <x14:dxf>
              <border>
                <left style="thin">
                  <color rgb="FFFF0000"/>
                </left>
                <vertical/>
                <horizontal/>
              </border>
            </x14:dxf>
          </x14:cfRule>
          <xm:sqref>C27:C30</xm:sqref>
        </x14:conditionalFormatting>
        <x14:conditionalFormatting xmlns:xm="http://schemas.microsoft.com/office/excel/2006/main">
          <x14:cfRule type="expression" priority="243" id="{664B3DC8-E5DE-4EA8-B04D-043384D371EF}">
            <xm:f>'Sprachen &amp; Rückgabewerte(2)'!$L$46=0</xm:f>
            <x14:dxf>
              <border>
                <top style="thin">
                  <color rgb="FFFF0000"/>
                </top>
                <vertical/>
                <horizontal/>
              </border>
            </x14:dxf>
          </x14:cfRule>
          <xm:sqref>C27:AT27</xm:sqref>
        </x14:conditionalFormatting>
        <x14:conditionalFormatting xmlns:xm="http://schemas.microsoft.com/office/excel/2006/main">
          <x14:cfRule type="expression" priority="242" id="{78308249-CDC0-4C20-9DDA-68825D8C2BCE}">
            <xm:f>'Sprachen &amp; Rückgabewerte(2)'!$L$46=0</xm:f>
            <x14:dxf>
              <border>
                <right style="thin">
                  <color rgb="FFFF0000"/>
                </right>
                <vertical/>
                <horizontal/>
              </border>
            </x14:dxf>
          </x14:cfRule>
          <xm:sqref>AT27:AT30</xm:sqref>
        </x14:conditionalFormatting>
        <x14:conditionalFormatting xmlns:xm="http://schemas.microsoft.com/office/excel/2006/main">
          <x14:cfRule type="expression" priority="240" id="{76091F58-B8D8-4FCE-A32D-2A355CDC24FB}">
            <xm:f>'Sprachen &amp; Rückgabewerte(2)'!$L$47=0</xm:f>
            <x14:dxf>
              <border>
                <left style="thin">
                  <color rgb="FFFF0000"/>
                </left>
                <vertical/>
                <horizontal/>
              </border>
            </x14:dxf>
          </x14:cfRule>
          <xm:sqref>C32:C35</xm:sqref>
        </x14:conditionalFormatting>
        <x14:conditionalFormatting xmlns:xm="http://schemas.microsoft.com/office/excel/2006/main">
          <x14:cfRule type="expression" priority="239" id="{67FDF3FC-1BD1-41D5-97D9-13C7ED0D7678}">
            <xm:f>'Sprachen &amp; Rückgabewerte(2)'!$L$47=0</xm:f>
            <x14:dxf>
              <border>
                <top style="thin">
                  <color rgb="FFFF0000"/>
                </top>
                <vertical/>
                <horizontal/>
              </border>
            </x14:dxf>
          </x14:cfRule>
          <xm:sqref>C32:AB32</xm:sqref>
        </x14:conditionalFormatting>
        <x14:conditionalFormatting xmlns:xm="http://schemas.microsoft.com/office/excel/2006/main">
          <x14:cfRule type="expression" priority="238" id="{1C51FE5E-B34E-4E2F-95B3-029FB3D74DEC}">
            <xm:f>'Sprachen &amp; Rückgabewerte(2)'!$L$47=0</xm:f>
            <x14:dxf>
              <border>
                <right style="thin">
                  <color rgb="FFFF0000"/>
                </right>
                <vertical/>
                <horizontal/>
              </border>
            </x14:dxf>
          </x14:cfRule>
          <xm:sqref>AB32:AB35</xm:sqref>
        </x14:conditionalFormatting>
        <x14:conditionalFormatting xmlns:xm="http://schemas.microsoft.com/office/excel/2006/main">
          <x14:cfRule type="expression" priority="237" id="{6FA643FC-FE0A-4F9A-B8D6-F509011A18ED}">
            <xm:f>'Sprachen &amp; Rückgabewerte(2)'!$L$47=0</xm:f>
            <x14:dxf>
              <border>
                <bottom style="thin">
                  <color rgb="FFFF0000"/>
                </bottom>
                <vertical/>
                <horizontal/>
              </border>
            </x14:dxf>
          </x14:cfRule>
          <xm:sqref>C35:AB35</xm:sqref>
        </x14:conditionalFormatting>
        <x14:conditionalFormatting xmlns:xm="http://schemas.microsoft.com/office/excel/2006/main">
          <x14:cfRule type="expression" priority="236" id="{865A41F6-D88E-4EED-8E6F-E15AD31807B9}">
            <xm:f>'Sprachen &amp; Rückgabewerte(2)'!$M$49=0</xm:f>
            <x14:dxf>
              <border>
                <left style="thin">
                  <color rgb="FFFF0000"/>
                </left>
                <vertical/>
                <horizontal/>
              </border>
            </x14:dxf>
          </x14:cfRule>
          <xm:sqref>C36:C60</xm:sqref>
        </x14:conditionalFormatting>
        <x14:conditionalFormatting xmlns:xm="http://schemas.microsoft.com/office/excel/2006/main">
          <x14:cfRule type="expression" priority="235" id="{1A476EF8-D99C-4DA2-ACF5-1EEBD24DD77B}">
            <xm:f>'Sprachen &amp; Rückgabewerte(2)'!$M$49=0</xm:f>
            <x14:dxf>
              <border>
                <top style="thin">
                  <color rgb="FFFF0000"/>
                </top>
                <vertical/>
                <horizontal/>
              </border>
            </x14:dxf>
          </x14:cfRule>
          <xm:sqref>C36:O36</xm:sqref>
        </x14:conditionalFormatting>
        <x14:conditionalFormatting xmlns:xm="http://schemas.microsoft.com/office/excel/2006/main">
          <x14:cfRule type="expression" priority="234" id="{FDA9A378-0E03-4024-8C79-C9B2537CD0B0}">
            <xm:f>'Sprachen &amp; Rückgabewerte(2)'!$M$49=0</xm:f>
            <x14:dxf>
              <border>
                <right style="thin">
                  <color rgb="FFFF0000"/>
                </right>
                <vertical/>
                <horizontal/>
              </border>
            </x14:dxf>
          </x14:cfRule>
          <xm:sqref>O36:O60</xm:sqref>
        </x14:conditionalFormatting>
        <x14:conditionalFormatting xmlns:xm="http://schemas.microsoft.com/office/excel/2006/main">
          <x14:cfRule type="expression" priority="233" id="{87BBCD66-9449-408D-9A2B-21C7184A23C8}">
            <xm:f>'Sprachen &amp; Rückgabewerte(2)'!$M$49=0</xm:f>
            <x14:dxf>
              <border>
                <bottom style="thin">
                  <color rgb="FFFF0000"/>
                </bottom>
                <vertical/>
                <horizontal/>
              </border>
            </x14:dxf>
          </x14:cfRule>
          <xm:sqref>C60:O60</xm:sqref>
        </x14:conditionalFormatting>
        <x14:conditionalFormatting xmlns:xm="http://schemas.microsoft.com/office/excel/2006/main">
          <x14:cfRule type="expression" priority="232" id="{6EF05A04-BEA0-4706-B930-8B96963C27D4}">
            <xm:f>'Sprachen &amp; Rückgabewerte(2)'!$L$50=0</xm:f>
            <x14:dxf>
              <border>
                <top style="thin">
                  <color rgb="FFFF0000"/>
                </top>
                <vertical/>
                <horizontal/>
              </border>
            </x14:dxf>
          </x14:cfRule>
          <xm:sqref>P36:AB36</xm:sqref>
        </x14:conditionalFormatting>
        <x14:conditionalFormatting xmlns:xm="http://schemas.microsoft.com/office/excel/2006/main">
          <x14:cfRule type="expression" priority="231" id="{6DAA7EB9-4FCD-4EF6-8C97-E1018780B8CB}">
            <xm:f>'Sprachen &amp; Rückgabewerte(2)'!$L$50=0</xm:f>
            <x14:dxf>
              <border>
                <right style="thin">
                  <color rgb="FFFF0000"/>
                </right>
              </border>
            </x14:dxf>
          </x14:cfRule>
          <xm:sqref>AB36:AB60</xm:sqref>
        </x14:conditionalFormatting>
        <x14:conditionalFormatting xmlns:xm="http://schemas.microsoft.com/office/excel/2006/main">
          <x14:cfRule type="expression" priority="230" id="{4C9D1296-C33B-43DC-A364-D722507CBB06}">
            <xm:f>'Sprachen &amp; Rückgabewerte(2)'!$L$50=0</xm:f>
            <x14:dxf>
              <border>
                <bottom style="thin">
                  <color rgb="FFFF0000"/>
                </bottom>
                <vertical/>
                <horizontal/>
              </border>
            </x14:dxf>
          </x14:cfRule>
          <xm:sqref>P60:AB60</xm:sqref>
        </x14:conditionalFormatting>
        <x14:conditionalFormatting xmlns:xm="http://schemas.microsoft.com/office/excel/2006/main">
          <x14:cfRule type="expression" priority="229" id="{D6DEA014-AE24-4A14-A2C6-7244D2B6FFD0}">
            <xm:f>'Sprachen &amp; Rückgabewerte(2)'!$L$50=0</xm:f>
            <x14:dxf>
              <border>
                <left style="thin">
                  <color rgb="FFFF0000"/>
                </left>
                <vertical/>
                <horizontal/>
              </border>
            </x14:dxf>
          </x14:cfRule>
          <xm:sqref>P36:P43</xm:sqref>
        </x14:conditionalFormatting>
        <x14:conditionalFormatting xmlns:xm="http://schemas.microsoft.com/office/excel/2006/main">
          <x14:cfRule type="expression" priority="228" id="{DC521FFB-ED56-4B97-806E-7FB60A82A6D5}">
            <xm:f>'Sprachen &amp; Rückgabewerte(2)'!$L$50=0</xm:f>
            <x14:dxf>
              <border>
                <left style="thin">
                  <color rgb="FFFF0000"/>
                </left>
                <vertical/>
                <horizontal/>
              </border>
            </x14:dxf>
          </x14:cfRule>
          <xm:sqref>P44:S45</xm:sqref>
        </x14:conditionalFormatting>
        <x14:conditionalFormatting xmlns:xm="http://schemas.microsoft.com/office/excel/2006/main">
          <x14:cfRule type="expression" priority="227" id="{2C72A283-353E-488E-B9DB-AFA255D1E4AF}">
            <xm:f>'Sprachen &amp; Rückgabewerte(2)'!$L$50=0</xm:f>
            <x14:dxf>
              <border>
                <left style="thin">
                  <color rgb="FFFF0000"/>
                </left>
                <vertical/>
                <horizontal/>
              </border>
            </x14:dxf>
          </x14:cfRule>
          <xm:sqref>P46:P60</xm:sqref>
        </x14:conditionalFormatting>
        <x14:conditionalFormatting xmlns:xm="http://schemas.microsoft.com/office/excel/2006/main">
          <x14:cfRule type="expression" priority="226" id="{3F9A4299-3560-4582-B4E8-665E38D945BD}">
            <xm:f>'Sprachen &amp; Rückgabewerte(2)'!$L$51=0</xm:f>
            <x14:dxf>
              <border>
                <top style="thin">
                  <color rgb="FFFF0000"/>
                </top>
                <vertical/>
                <horizontal/>
              </border>
            </x14:dxf>
          </x14:cfRule>
          <xm:sqref>AE32:AT32</xm:sqref>
        </x14:conditionalFormatting>
        <x14:conditionalFormatting xmlns:xm="http://schemas.microsoft.com/office/excel/2006/main">
          <x14:cfRule type="expression" priority="97" id="{674CDF7F-B4D5-4AFB-ADDB-F1400D50228E}">
            <xm:f>AND($AY$43&lt;&gt;0,'Sprachen &amp; Rückgabewerte(2)'!$I$19=TRUE)</xm:f>
            <x14:dxf>
              <border>
                <right style="thin">
                  <color rgb="FFFF0000"/>
                </right>
                <vertical/>
                <horizontal/>
              </border>
            </x14:dxf>
          </x14:cfRule>
          <x14:cfRule type="expression" priority="225" id="{7FABCCB0-2087-49FB-A822-64574C1768E5}">
            <xm:f>'Sprachen &amp; Rückgabewerte(2)'!$L$51=0</xm:f>
            <x14:dxf>
              <border>
                <right style="thin">
                  <color rgb="FFFF0000"/>
                </right>
                <vertical/>
                <horizontal/>
              </border>
            </x14:dxf>
          </x14:cfRule>
          <xm:sqref>AT32:AT40</xm:sqref>
        </x14:conditionalFormatting>
        <x14:conditionalFormatting xmlns:xm="http://schemas.microsoft.com/office/excel/2006/main">
          <x14:cfRule type="expression" priority="224" id="{631A42FC-87A0-44CB-B58C-9F92AD8A3581}">
            <xm:f>'Sprachen &amp; Rückgabewerte(2)'!$L$51=0</xm:f>
            <x14:dxf>
              <border>
                <bottom style="thin">
                  <color rgb="FFFF0000"/>
                </bottom>
                <vertical/>
                <horizontal/>
              </border>
            </x14:dxf>
          </x14:cfRule>
          <xm:sqref>AE40:AT40</xm:sqref>
        </x14:conditionalFormatting>
        <x14:conditionalFormatting xmlns:xm="http://schemas.microsoft.com/office/excel/2006/main">
          <x14:cfRule type="expression" priority="223" id="{181C9004-0098-494F-949C-413A72BBEAE3}">
            <xm:f>'Sprachen &amp; Rückgabewerte(2)'!$L$52=0</xm:f>
            <x14:dxf>
              <border>
                <top style="thin">
                  <color rgb="FFFF0000"/>
                </top>
                <vertical/>
                <horizontal/>
              </border>
            </x14:dxf>
          </x14:cfRule>
          <xm:sqref>AE42:AT42</xm:sqref>
        </x14:conditionalFormatting>
        <x14:conditionalFormatting xmlns:xm="http://schemas.microsoft.com/office/excel/2006/main">
          <x14:cfRule type="expression" priority="222" id="{05A0371D-47A1-4C06-B9EF-CBC8FF02F764}">
            <xm:f>'Sprachen &amp; Rückgabewerte(2)'!$L$52=0</xm:f>
            <x14:dxf>
              <border>
                <right style="thin">
                  <color rgb="FFFF0000"/>
                </right>
                <vertical/>
                <horizontal/>
              </border>
            </x14:dxf>
          </x14:cfRule>
          <xm:sqref>AT42:AT50</xm:sqref>
        </x14:conditionalFormatting>
        <x14:conditionalFormatting xmlns:xm="http://schemas.microsoft.com/office/excel/2006/main">
          <x14:cfRule type="expression" priority="221" id="{E430B441-F8FF-4F54-928E-0E3700B8054C}">
            <xm:f>'Sprachen &amp; Rückgabewerte(2)'!$L$52=0</xm:f>
            <x14:dxf>
              <border>
                <bottom style="thin">
                  <color rgb="FFFF0000"/>
                </bottom>
                <vertical/>
                <horizontal/>
              </border>
            </x14:dxf>
          </x14:cfRule>
          <xm:sqref>AM50:AT50</xm:sqref>
        </x14:conditionalFormatting>
        <x14:conditionalFormatting xmlns:xm="http://schemas.microsoft.com/office/excel/2006/main">
          <x14:cfRule type="expression" priority="165" id="{B5BDD7AD-73F6-4BB2-88C4-66E2AF0A3D16}">
            <xm:f>OR('Sprachen &amp; Rückgabewerte(2)'!$I$36=TRUE,'Sprachen &amp; Rückgabewerte(2)'!$I$39=TRUE)</xm:f>
            <x14:dxf>
              <font>
                <color theme="1"/>
              </font>
            </x14:dxf>
          </x14:cfRule>
          <x14:cfRule type="expression" priority="220" id="{8096FEC5-EF65-4FE8-9F42-648C00B5E32C}">
            <xm:f>'Sprachen &amp; Rückgabewerte(2)'!$L$52=0</xm:f>
            <x14:dxf>
              <border>
                <bottom style="thin">
                  <color rgb="FFFF0000"/>
                </bottom>
                <vertical/>
                <horizontal/>
              </border>
            </x14:dxf>
          </x14:cfRule>
          <xm:sqref>AF48:AL50</xm:sqref>
        </x14:conditionalFormatting>
        <x14:conditionalFormatting xmlns:xm="http://schemas.microsoft.com/office/excel/2006/main">
          <x14:cfRule type="expression" priority="219" id="{2D4143CB-12FD-44F9-A133-7A700465D415}">
            <xm:f>'Sprachen &amp; Rückgabewerte(2)'!$L$52=0</xm:f>
            <x14:dxf>
              <border>
                <bottom style="thin">
                  <color rgb="FFFF0000"/>
                </bottom>
                <vertical/>
                <horizontal/>
              </border>
            </x14:dxf>
          </x14:cfRule>
          <xm:sqref>AE50</xm:sqref>
        </x14:conditionalFormatting>
        <x14:conditionalFormatting xmlns:xm="http://schemas.microsoft.com/office/excel/2006/main">
          <x14:cfRule type="expression" priority="218" id="{F9CF68A2-20EE-43BE-87A6-8783905C971C}">
            <xm:f>'Sprachen &amp; Rückgabewerte(2)'!$L$53=0</xm:f>
            <x14:dxf>
              <border>
                <top style="thin">
                  <color rgb="FFFF0000"/>
                </top>
                <vertical/>
                <horizontal/>
              </border>
            </x14:dxf>
          </x14:cfRule>
          <xm:sqref>AE52:AT52</xm:sqref>
        </x14:conditionalFormatting>
        <x14:conditionalFormatting xmlns:xm="http://schemas.microsoft.com/office/excel/2006/main">
          <x14:cfRule type="expression" priority="217" id="{3868C837-9AF7-4F4C-99C4-4613E2CEE2B4}">
            <xm:f>'Sprachen &amp; Rückgabewerte(2)'!$L$53=0</xm:f>
            <x14:dxf>
              <border>
                <right style="thin">
                  <color rgb="FFFF0000"/>
                </right>
                <vertical/>
                <horizontal/>
              </border>
            </x14:dxf>
          </x14:cfRule>
          <xm:sqref>AT52:AT58</xm:sqref>
        </x14:conditionalFormatting>
        <x14:conditionalFormatting xmlns:xm="http://schemas.microsoft.com/office/excel/2006/main">
          <x14:cfRule type="expression" priority="216" id="{A24716F6-EA10-45A4-BE54-F52719069712}">
            <xm:f>'Sprachen &amp; Rückgabewerte(2)'!$L$53=0</xm:f>
            <x14:dxf>
              <border>
                <bottom style="thin">
                  <color rgb="FFFF0000"/>
                </bottom>
                <vertical/>
                <horizontal/>
              </border>
            </x14:dxf>
          </x14:cfRule>
          <xm:sqref>AE58:AT58</xm:sqref>
        </x14:conditionalFormatting>
        <x14:conditionalFormatting xmlns:xm="http://schemas.microsoft.com/office/excel/2006/main">
          <x14:cfRule type="expression" priority="215" id="{71B816C7-37EF-4EF9-9CF6-406CDFC09B5E}">
            <xm:f>'Sprachen &amp; Rückgabewerte(2)'!$L$54=0</xm:f>
            <x14:dxf>
              <border>
                <top style="thin">
                  <color rgb="FFFF0000"/>
                </top>
                <vertical/>
                <horizontal/>
              </border>
            </x14:dxf>
          </x14:cfRule>
          <xm:sqref>AE60:AT60</xm:sqref>
        </x14:conditionalFormatting>
        <x14:conditionalFormatting xmlns:xm="http://schemas.microsoft.com/office/excel/2006/main">
          <x14:cfRule type="expression" priority="214" id="{D4420859-161E-4977-A39E-7FC3A16A5E8D}">
            <xm:f>'Sprachen &amp; Rückgabewerte(2)'!$L$54=0</xm:f>
            <x14:dxf>
              <border>
                <right style="thin">
                  <color rgb="FFFF0000"/>
                </right>
                <vertical/>
                <horizontal/>
              </border>
            </x14:dxf>
          </x14:cfRule>
          <xm:sqref>AT60:AT71</xm:sqref>
        </x14:conditionalFormatting>
        <x14:conditionalFormatting xmlns:xm="http://schemas.microsoft.com/office/excel/2006/main">
          <x14:cfRule type="expression" priority="213" id="{C4F51391-60CC-4240-9656-ABD78BF4A21B}">
            <xm:f>'Sprachen &amp; Rückgabewerte(2)'!$L$54=0</xm:f>
            <x14:dxf>
              <border>
                <bottom style="thin">
                  <color rgb="FFFF0000"/>
                </bottom>
                <vertical/>
                <horizontal/>
              </border>
            </x14:dxf>
          </x14:cfRule>
          <xm:sqref>AE71:AT71</xm:sqref>
        </x14:conditionalFormatting>
        <x14:conditionalFormatting xmlns:xm="http://schemas.microsoft.com/office/excel/2006/main">
          <x14:cfRule type="expression" priority="212" id="{5AB94E4A-7939-4086-B8CD-AC8F400BA7E1}">
            <xm:f>'Sprachen &amp; Rückgabewerte(2)'!$L$55=0</xm:f>
            <x14:dxf>
              <border>
                <top style="thin">
                  <color rgb="FFFF0000"/>
                </top>
                <vertical/>
                <horizontal/>
              </border>
            </x14:dxf>
          </x14:cfRule>
          <xm:sqref>AE83:AT83</xm:sqref>
        </x14:conditionalFormatting>
        <x14:conditionalFormatting xmlns:xm="http://schemas.microsoft.com/office/excel/2006/main">
          <x14:cfRule type="expression" priority="211" id="{13D4F9AF-29BF-4EAC-96C7-64D95B9F8FC9}">
            <xm:f>'Sprachen &amp; Rückgabewerte(2)'!$L$55=0</xm:f>
            <x14:dxf>
              <border>
                <right style="thin">
                  <color rgb="FFFF0000"/>
                </right>
                <vertical/>
                <horizontal/>
              </border>
            </x14:dxf>
          </x14:cfRule>
          <xm:sqref>AT83:AT93</xm:sqref>
        </x14:conditionalFormatting>
        <x14:conditionalFormatting xmlns:xm="http://schemas.microsoft.com/office/excel/2006/main">
          <x14:cfRule type="expression" priority="210" id="{7FEFB3DF-9464-44B7-A1B6-14D1C383C2DB}">
            <xm:f>'Sprachen &amp; Rückgabewerte(2)'!$L$55=0</xm:f>
            <x14:dxf>
              <border>
                <bottom style="thin">
                  <color rgb="FFFF0000"/>
                </bottom>
                <vertical/>
                <horizontal/>
              </border>
            </x14:dxf>
          </x14:cfRule>
          <xm:sqref>AE93:AT93</xm:sqref>
        </x14:conditionalFormatting>
        <x14:conditionalFormatting xmlns:xm="http://schemas.microsoft.com/office/excel/2006/main">
          <x14:cfRule type="expression" priority="208" id="{22B4628D-DA45-4199-BF0B-4ED11EA6E243}">
            <xm:f>'Sprachen &amp; Rückgabewerte(2)'!$M$59=0</xm:f>
            <x14:dxf>
              <border>
                <right style="thin">
                  <color rgb="FFFF0000"/>
                </right>
                <vertical/>
                <horizontal/>
              </border>
            </x14:dxf>
          </x14:cfRule>
          <xm:sqref>AB86</xm:sqref>
        </x14:conditionalFormatting>
        <x14:conditionalFormatting xmlns:xm="http://schemas.microsoft.com/office/excel/2006/main">
          <x14:cfRule type="expression" priority="207" id="{715CD7D9-7420-48C0-B7E8-5F2F766DC123}">
            <xm:f>'Sprachen &amp; Rückgabewerte(2)'!$M$59=0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4" id="{3A21014D-B087-4CC4-BF0C-CEA66DF38E20}">
            <xm:f>K$20='Sprachen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5" id="{A17F9362-F0A4-4407-82B4-10D181D440CD}">
            <xm:f>K$20='Sprachen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2" id="{C5C6BD92-49AD-42E1-ABC4-8C3F2FB652ED}">
            <xm:f>O$20='Sprachen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3" id="{6A48B0E1-939A-4B18-9C06-ADF6A0208614}">
            <xm:f>O$20='Sprachen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00" id="{6DCEFDA7-B238-4289-AEE4-C25625CD6AB6}">
            <xm:f>S$20='Sprachen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1" id="{1023D4EE-3E30-4F2E-B5EB-CC8D737B6197}">
            <xm:f>S$20='Sprachen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8" id="{7BB087A4-2B21-43C2-A06C-80B21F4B7BE7}">
            <xm:f>W$20='Sprachen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9" id="{807C8925-6C42-4E34-9966-0CCF1184449B}">
            <xm:f>W$20='Sprachen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6" id="{868F4EA5-F21B-48C9-8FF1-86D714D18C3A}">
            <xm:f>AA$20='Sprachen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7" id="{7AEF2141-FE81-4911-AF48-5210D8DFB386}">
            <xm:f>AA$20='Sprachen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4" id="{F81907C6-7B25-4E09-A5F4-C39144193FE8}">
            <xm:f>AE$20='Sprachen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5" id="{DF7BBFD8-B3A6-414B-9EE0-20DD27AB7776}">
            <xm:f>AE$20='Sprachen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2" id="{EDCBEADA-E2A3-480F-8399-C289DADEF06E}">
            <xm:f>AI$20='Sprachen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3" id="{F1A30C36-6281-4D01-B7F7-E5B8BA2DFFEF}">
            <xm:f>AI$20='Sprachen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90" id="{4CEE4830-3D35-4026-8C0E-D0AB26510F61}">
            <xm:f>AM$20='Sprachen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1" id="{589E5B5C-577A-4CB2-AD34-3E57699D6F72}">
            <xm:f>AM$20='Sprachen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9" id="{D02C9FA4-94CB-483C-AB80-AB0B0C0D5859}">
            <xm:f>'Sprachen &amp; Rückgabewerte(2)'!$M$59=0</xm:f>
            <x14:dxf>
              <border>
                <top style="thin">
                  <color rgb="FFFF0000"/>
                </top>
                <vertical/>
                <horizontal/>
              </border>
            </x14:dxf>
          </x14:cfRule>
          <xm:sqref>L86:AB86</xm:sqref>
        </x14:conditionalFormatting>
        <x14:conditionalFormatting xmlns:xm="http://schemas.microsoft.com/office/excel/2006/main">
          <x14:cfRule type="expression" priority="188" id="{82AA147D-9AD9-49A0-9975-C87DE3389B5A}">
            <xm:f>'Sprachen &amp; Rückgabewerte(2)'!$M$59=0</xm:f>
            <x14:dxf>
              <border>
                <bottom style="thin">
                  <color rgb="FFFF0000"/>
                </bottom>
                <vertical/>
                <horizontal/>
              </border>
            </x14:dxf>
          </x14:cfRule>
          <xm:sqref>L97:AB97</xm:sqref>
        </x14:conditionalFormatting>
        <x14:conditionalFormatting xmlns:xm="http://schemas.microsoft.com/office/excel/2006/main">
          <x14:cfRule type="expression" priority="187" id="{7DEB9FB8-8A84-4708-9CCC-928298A1D462}">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6" id="{EBA7EC84-787A-4471-B304-53B841B23DB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5" id="{A5A0477C-A9EF-4675-84A1-4891376E72B6}">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4" id="{D61E318C-25EC-431C-BFFB-E8FB62BE7D84}">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3" id="{2382E877-523B-43F0-840D-B485C413AAA5}">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2" id="{0D00D7D8-E31D-4ABB-B341-A67793CC626B}">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1" id="{8F2B98A1-9F2F-4CAF-9B1D-1EB3CD5DB2EF}">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80" id="{E91B9268-4771-4B79-A5DF-9C82BB3303CA}">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9" id="{D103D5F9-5E9A-4AAA-A828-91B58EE87C1B}">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8" id="{A8E096F2-7162-4603-8EBD-48DAAAC95372}">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7" id="{749FFAAD-A1E3-4A1D-8A74-71EB4DD4E229}">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6" id="{AB7B857B-4564-4569-B87F-4B5C262D087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5" id="{77DD823D-873F-4469-A5C6-D056B95D4B53}">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4" id="{44584891-7343-4262-8864-8117FEB7E0F8}">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3" id="{17717C1E-282B-485C-9E89-652FC2213B72}">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2" id="{FC000878-0F44-4FF6-B12A-794CF9011FA9}">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1" id="{31CC9E2F-5F5F-43DE-A9D6-8210333C1F4E}">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38" id="{9731D601-1EC5-4C8A-8FF0-0DA79A630315}">
            <xm:f>'Sprachen &amp; Rückgabewerte(2)'!$U$49=FALSE</xm:f>
            <x14:dxf>
              <border>
                <top style="thin">
                  <color rgb="FFFF0000"/>
                </top>
                <vertical/>
                <horizontal/>
              </border>
            </x14:dxf>
          </x14:cfRule>
          <x14:cfRule type="expression" priority="169" id="{22F86CBA-44A7-4ED6-AA13-9A200DFB7ECF}">
            <xm:f>'Sprachen &amp; Rückgabewerte(2)'!$I$133=TRUE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CF18A1B5-1AF9-4007-9DEF-19D2AFCA4A1B}">
            <xm:f>AND($AL$39="",'Sprachen &amp; Rückgabewerte(2)'!$I$22=TRUE)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8" id="{41B9081B-1E38-4522-99F0-7366693D3E03}">
            <xm:f>'Sprachen &amp; Rückgabewerte(2)'!$I$22=FALSE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6" id="{6169FA74-2435-4270-8631-B0083571C904}">
            <xm:f>'Sprachen &amp; Rückgabewerte(2)'!$I$36=FALSE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3" id="{3F9D9928-94B9-40F2-B1A8-13730CD2BC37}">
            <xm:f>'Sprachen &amp; Rückgabewerte(2)'!$I$39=FALSE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5" id="{3BEC220F-8F3B-4B75-961B-28A21442375E}">
            <xm:f>AND('Sprachen &amp; Rückgabewerte(2)'!$I$36=FALSE,'Sprachen &amp; Rückgabewerte(2)'!$I$39=FALSE)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2" id="{052EDCD8-AE0D-47E9-99D4-03554D0AF3B7}">
            <xm:f>'Sprachen &amp; Rückgabewerte(2)'!$I$45=FALSE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2" id="{F049A6AD-FD13-4025-A982-7CAEDF8BB575}">
            <xm:f>'Sprachen &amp; Rückgabewerte(2)'!$L$67=TRUE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1" id="{1C98C04D-8663-47BB-8E61-26329F273337}">
            <xm:f>'Sprachen &amp; Rückgabewerte(2)'!$L$68=TRUE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5" id="{CB350032-E429-47B9-AF9A-97A8F96B52D4}">
            <xm:f>AND($AY$43&lt;&gt;0,'Sprachen &amp; Rückgabewerte(2)'!$I$19=TRUE)</xm:f>
            <x14:dxf>
              <border>
                <left style="thin">
                  <color rgb="FFFF0000"/>
                </left>
                <bottom/>
                <vertical/>
                <horizontal/>
              </border>
            </x14:dxf>
          </x14:cfRule>
          <x14:cfRule type="expression" priority="160" id="{7297DF14-56E5-41B6-A847-7BD02E4C2475}">
            <xm:f>'Sprachen &amp; Rückgabewerte(2)'!$L$51=0</xm:f>
            <x14:dxf>
              <border>
                <left style="thin">
                  <color rgb="FFFF0000"/>
                </left>
                <vertical/>
                <horizontal/>
              </border>
            </x14:dxf>
          </x14:cfRule>
          <xm:sqref>AD32:AD40</xm:sqref>
        </x14:conditionalFormatting>
        <x14:conditionalFormatting xmlns:xm="http://schemas.microsoft.com/office/excel/2006/main">
          <x14:cfRule type="expression" priority="94" id="{68FE1FD1-3F64-4EF4-B119-5C76AF8D88CF}">
            <xm:f>AND($AY$43&lt;&gt;0,'Sprachen &amp; Rückgabewerte(2)'!$I$19=TRUE)</xm:f>
            <x14:dxf>
              <border>
                <bottom style="thin">
                  <color rgb="FFFF0000"/>
                </bottom>
                <vertical/>
                <horizontal/>
              </border>
            </x14:dxf>
          </x14:cfRule>
          <x14:cfRule type="expression" priority="159" id="{1B6766DF-CFBB-48DF-A155-97F0ADF07EA6}">
            <xm:f>'Sprachen &amp; Rückgabewerte(2)'!$L$51=0</xm:f>
            <x14:dxf>
              <border>
                <bottom style="thin">
                  <color rgb="FFFF0000"/>
                </bottom>
                <vertical/>
                <horizontal/>
              </border>
            </x14:dxf>
          </x14:cfRule>
          <xm:sqref>AD40</xm:sqref>
        </x14:conditionalFormatting>
        <x14:conditionalFormatting xmlns:xm="http://schemas.microsoft.com/office/excel/2006/main">
          <x14:cfRule type="expression" priority="158" id="{D179D698-2D6A-4D1D-AF1D-B18124144051}">
            <xm:f>'Sprachen &amp; Rückgabewerte(2)'!$L$51=0</xm:f>
            <x14:dxf>
              <border>
                <top style="thin">
                  <color rgb="FFFF0000"/>
                </top>
                <vertical/>
                <horizontal/>
              </border>
            </x14:dxf>
          </x14:cfRule>
          <xm:sqref>AD32</xm:sqref>
        </x14:conditionalFormatting>
        <x14:conditionalFormatting xmlns:xm="http://schemas.microsoft.com/office/excel/2006/main">
          <x14:cfRule type="expression" priority="157" id="{0C5C7D60-5D92-4DC2-BBDC-98273412238D}">
            <xm:f>'Sprachen &amp; Rückgabewerte(2)'!$L$52=0</xm:f>
            <x14:dxf>
              <border>
                <left style="thin">
                  <color rgb="FFFF0000"/>
                </left>
                <vertical/>
                <horizontal/>
              </border>
            </x14:dxf>
          </x14:cfRule>
          <xm:sqref>AD42:AD50</xm:sqref>
        </x14:conditionalFormatting>
        <x14:conditionalFormatting xmlns:xm="http://schemas.microsoft.com/office/excel/2006/main">
          <x14:cfRule type="expression" priority="156" id="{148CE0FA-236D-4018-B4CB-24066005D29F}">
            <xm:f>'Sprachen &amp; Rückgabewerte(2)'!$L$52=0</xm:f>
            <x14:dxf>
              <border>
                <top style="thin">
                  <color rgb="FFFF0000"/>
                </top>
                <vertical/>
                <horizontal/>
              </border>
            </x14:dxf>
          </x14:cfRule>
          <xm:sqref>AD42</xm:sqref>
        </x14:conditionalFormatting>
        <x14:conditionalFormatting xmlns:xm="http://schemas.microsoft.com/office/excel/2006/main">
          <x14:cfRule type="expression" priority="155" id="{22F9DE79-1588-4E46-B350-6F978497487F}">
            <xm:f>'Sprachen &amp; Rückgabewerte(2)'!$L$52=0</xm:f>
            <x14:dxf>
              <border>
                <bottom style="thin">
                  <color rgb="FFFF0000"/>
                </bottom>
                <vertical/>
                <horizontal/>
              </border>
            </x14:dxf>
          </x14:cfRule>
          <xm:sqref>AD50</xm:sqref>
        </x14:conditionalFormatting>
        <x14:conditionalFormatting xmlns:xm="http://schemas.microsoft.com/office/excel/2006/main">
          <x14:cfRule type="expression" priority="154" id="{777FF83B-0CDD-44EA-91D5-A2ABABE4FCCD}">
            <xm:f>'Sprachen &amp; Rückgabewerte(2)'!$L$53=0</xm:f>
            <x14:dxf>
              <border>
                <left style="thin">
                  <color rgb="FFFF0000"/>
                </left>
                <vertical/>
                <horizontal/>
              </border>
            </x14:dxf>
          </x14:cfRule>
          <xm:sqref>AD52:AD58</xm:sqref>
        </x14:conditionalFormatting>
        <x14:conditionalFormatting xmlns:xm="http://schemas.microsoft.com/office/excel/2006/main">
          <x14:cfRule type="expression" priority="153" id="{55B614B4-3031-49FD-95A9-DB954AA20C59}">
            <xm:f>'Sprachen &amp; Rückgabewerte(2)'!$L$53=0</xm:f>
            <x14:dxf>
              <border>
                <top style="thin">
                  <color rgb="FFFF0000"/>
                </top>
                <vertical/>
                <horizontal/>
              </border>
            </x14:dxf>
          </x14:cfRule>
          <xm:sqref>AD52</xm:sqref>
        </x14:conditionalFormatting>
        <x14:conditionalFormatting xmlns:xm="http://schemas.microsoft.com/office/excel/2006/main">
          <x14:cfRule type="expression" priority="152" id="{4C29EF71-9ED9-4B93-A127-52E8B644B4A8}">
            <xm:f>'Sprachen &amp; Rückgabewerte(2)'!$L$53=0</xm:f>
            <x14:dxf>
              <border>
                <bottom style="thin">
                  <color rgb="FFFF0000"/>
                </bottom>
                <vertical/>
                <horizontal/>
              </border>
            </x14:dxf>
          </x14:cfRule>
          <xm:sqref>AD58</xm:sqref>
        </x14:conditionalFormatting>
        <x14:conditionalFormatting xmlns:xm="http://schemas.microsoft.com/office/excel/2006/main">
          <x14:cfRule type="expression" priority="151" id="{163ECD52-C7FA-4A81-85EB-62E1D0E6B234}">
            <xm:f>'Sprachen &amp; Rückgabewerte(2)'!$L$54=0</xm:f>
            <x14:dxf>
              <border>
                <left style="thin">
                  <color rgb="FFFF0000"/>
                </left>
                <vertical/>
                <horizontal/>
              </border>
            </x14:dxf>
          </x14:cfRule>
          <xm:sqref>AD60:AD71</xm:sqref>
        </x14:conditionalFormatting>
        <x14:conditionalFormatting xmlns:xm="http://schemas.microsoft.com/office/excel/2006/main">
          <x14:cfRule type="expression" priority="150" id="{C3BC905F-03FA-4474-A095-7E71CB502B58}">
            <xm:f>'Sprachen &amp; Rückgabewerte(2)'!$L$54=0</xm:f>
            <x14:dxf>
              <border>
                <top style="thin">
                  <color rgb="FFFF0000"/>
                </top>
                <vertical/>
                <horizontal/>
              </border>
            </x14:dxf>
          </x14:cfRule>
          <xm:sqref>AD60</xm:sqref>
        </x14:conditionalFormatting>
        <x14:conditionalFormatting xmlns:xm="http://schemas.microsoft.com/office/excel/2006/main">
          <x14:cfRule type="expression" priority="149" id="{FA3E14C2-127D-441A-8AB7-09F067D02479}">
            <xm:f>'Sprachen &amp; Rückgabewerte(2)'!$L$54=0</xm:f>
            <x14:dxf>
              <border>
                <bottom style="thin">
                  <color rgb="FFFF0000"/>
                </bottom>
                <vertical/>
                <horizontal/>
              </border>
            </x14:dxf>
          </x14:cfRule>
          <xm:sqref>AD71</xm:sqref>
        </x14:conditionalFormatting>
        <x14:conditionalFormatting xmlns:xm="http://schemas.microsoft.com/office/excel/2006/main">
          <x14:cfRule type="expression" priority="132" id="{05733A74-7B0B-46E9-BAF4-611900EE0F07}">
            <xm:f>'Sprachen &amp; Rückgabewerte(2)'!$C$64=0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7" id="{3EF49DD6-0BFC-417B-B80A-EABAE7465376}">
            <xm:f>'Sprachen &amp; Rückgabewerte(2)'!$L$55=0</xm:f>
            <x14:dxf>
              <border>
                <left style="thin">
                  <color rgb="FFFF0000"/>
                </left>
                <vertical/>
                <horizontal/>
              </border>
            </x14:dxf>
          </x14:cfRule>
          <xm:sqref>AD83:AD93</xm:sqref>
        </x14:conditionalFormatting>
        <x14:conditionalFormatting xmlns:xm="http://schemas.microsoft.com/office/excel/2006/main">
          <x14:cfRule type="expression" priority="146" id="{B24D2F45-A98E-4588-8E0D-F2710C06EA47}">
            <xm:f>'Sprachen &amp; Rückgabewerte(2)'!$L$55=0</xm:f>
            <x14:dxf>
              <border>
                <top style="thin">
                  <color rgb="FFFF0000"/>
                </top>
                <vertical/>
                <horizontal/>
              </border>
            </x14:dxf>
          </x14:cfRule>
          <xm:sqref>AD83</xm:sqref>
        </x14:conditionalFormatting>
        <x14:conditionalFormatting xmlns:xm="http://schemas.microsoft.com/office/excel/2006/main">
          <x14:cfRule type="expression" priority="145" id="{78DCBF09-8541-4A99-8514-B2BAF41A872A}">
            <xm:f>'Sprachen &amp; Rückgabewerte(2)'!$L$55=0</xm:f>
            <x14:dxf>
              <border>
                <bottom style="thin">
                  <color rgb="FFFF0000"/>
                </bottom>
                <vertical/>
                <horizontal/>
              </border>
            </x14:dxf>
          </x14:cfRule>
          <xm:sqref>AD93</xm:sqref>
        </x14:conditionalFormatting>
        <x14:conditionalFormatting xmlns:xm="http://schemas.microsoft.com/office/excel/2006/main">
          <x14:cfRule type="expression" priority="122" id="{5F66D1F7-123E-4F18-8F21-7E19091405A0}">
            <xm:f>AND($AE$85="",$AE$84='Sprachen &amp; Rückgabewerte(2)'!$H$89)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9" id="{1703893D-0C71-4D54-8199-BCA00953EF94}">
            <xm:f>$AE$84='Sprachen &amp; Rückgabewerte(2)'!$H$89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4" id="{5F1973CE-2931-49D9-83C5-BA5BF8F1D3E8}">
            <xm:f>'Sprachen &amp; Rückgabewerte(2)'!$M$62=2</xm:f>
            <x14:dxf>
              <border>
                <left style="thin">
                  <color rgb="FFFF0000"/>
                </left>
                <vertical/>
                <horizontal/>
              </border>
            </x14:dxf>
          </x14:cfRule>
          <x14:cfRule type="expression" priority="285" id="{14AAC47F-0C8B-4B37-9DFE-2BC2D689D0EB}">
            <xm:f>'Sprachen &amp; Rückgabewerte(2)'!$M$62=3</xm:f>
            <x14:dxf>
              <border>
                <left style="thin">
                  <color rgb="FFFF0000"/>
                </left>
                <vertical/>
                <horizontal/>
              </border>
            </x14:dxf>
          </x14:cfRule>
          <x14:cfRule type="expression" priority="286" id="{B77E8367-08B9-4D32-8DF3-661F594D40C6}">
            <xm:f>'Sprachen &amp; Rückgabewerte(2)'!$M$59=0</xm:f>
            <x14:dxf>
              <border>
                <left style="thin">
                  <color rgb="FFFF0000"/>
                </left>
                <vertical/>
                <horizontal/>
              </border>
            </x14:dxf>
          </x14:cfRule>
          <xm:sqref>L86:L97</xm:sqref>
        </x14:conditionalFormatting>
        <x14:conditionalFormatting xmlns:xm="http://schemas.microsoft.com/office/excel/2006/main">
          <x14:cfRule type="expression" priority="287" id="{30196E89-4B76-41A1-9C03-56B54A3ED572}">
            <xm:f>'Sprachen &amp; Rückgabewerte(2)'!$C$48=FALSE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9" id="{3D3A578A-1886-4B86-9237-5108F6A6979F}">
            <xm:f>'Sprachen &amp; Rückgabewerte(2)'!$M$62=3</xm:f>
            <x14:dxf>
              <border>
                <left style="thin">
                  <color rgb="FFFF0000"/>
                </left>
                <vertical/>
                <horizontal/>
              </border>
            </x14:dxf>
          </x14:cfRule>
          <x14:cfRule type="expression" priority="290" id="{CFE519AA-B109-4C36-8AAF-56E0D6582F95}">
            <xm:f>'Sprachen &amp; Rückgabewerte(2)'!$M$62=2</xm:f>
            <x14:dxf>
              <border>
                <left style="thin">
                  <color rgb="FFFF0000"/>
                </left>
                <vertical/>
                <horizontal/>
              </border>
            </x14:dxf>
          </x14:cfRule>
          <xm:sqref>C73:C97</xm:sqref>
        </x14:conditionalFormatting>
        <x14:conditionalFormatting xmlns:xm="http://schemas.microsoft.com/office/excel/2006/main">
          <x14:cfRule type="expression" priority="291" id="{74A728B8-6B70-43DB-B80C-5205E2A6A6B6}">
            <xm:f>'Sprachen &amp; Rückgabewerte(2)'!$M$62=2</xm:f>
            <x14:dxf>
              <border>
                <top style="thin">
                  <color rgb="FFFF0000"/>
                </top>
                <vertical/>
                <horizontal/>
              </border>
            </x14:dxf>
          </x14:cfRule>
          <x14:cfRule type="expression" priority="292" id="{BD1E27B2-34DD-4D09-ACD6-FE788161E578}">
            <xm:f>'Sprachen &amp; Rückgabewerte(2)'!$M$62=3</xm:f>
            <x14:dxf>
              <border>
                <top style="thin">
                  <color rgb="FFFF0000"/>
                </top>
                <vertical/>
                <horizontal/>
              </border>
            </x14:dxf>
          </x14:cfRule>
          <xm:sqref>C73:AB73</xm:sqref>
        </x14:conditionalFormatting>
        <x14:conditionalFormatting xmlns:xm="http://schemas.microsoft.com/office/excel/2006/main">
          <x14:cfRule type="expression" priority="293" id="{4228B508-C718-4EF7-8F7A-E92AA3174CC9}">
            <xm:f>'Sprachen &amp; Rückgabewerte(2)'!$M$62=2</xm:f>
            <x14:dxf>
              <border>
                <right style="thin">
                  <color rgb="FFFF0000"/>
                </right>
                <vertical/>
                <horizontal/>
              </border>
            </x14:dxf>
          </x14:cfRule>
          <x14:cfRule type="expression" priority="294" id="{7E1C38A3-1F34-40B3-9099-2301CA20DB78}">
            <xm:f>'Sprachen &amp; Rückgabewerte(2)'!$M$62=3</xm:f>
            <x14:dxf>
              <border>
                <right style="thin">
                  <color rgb="FFFF0000"/>
                </right>
                <vertical/>
                <horizontal/>
              </border>
            </x14:dxf>
          </x14:cfRule>
          <xm:sqref>AB73:AB85</xm:sqref>
        </x14:conditionalFormatting>
        <x14:conditionalFormatting xmlns:xm="http://schemas.microsoft.com/office/excel/2006/main">
          <x14:cfRule type="expression" priority="170" id="{46DE58FA-8C28-47B5-BA6E-92080D38E5FB}">
            <xm:f>'Sprachen &amp; Rückgabewerte(2)'!$M$62=2</xm:f>
            <x14:dxf>
              <border>
                <bottom style="thin">
                  <color rgb="FFFF0000"/>
                </bottom>
                <vertical/>
                <horizontal/>
              </border>
            </x14:dxf>
          </x14:cfRule>
          <x14:cfRule type="expression" priority="206" id="{75F5A1E2-1B9F-4E24-AA79-2256F9C68258}">
            <xm:f>'Sprachen &amp; Rückgabewerte(2)'!$M$62=3</xm:f>
            <x14:dxf>
              <border>
                <bottom style="thin">
                  <color rgb="FFFF0000"/>
                </bottom>
                <vertical/>
                <horizontal/>
              </border>
            </x14:dxf>
          </x14:cfRule>
          <xm:sqref>L85:AB85</xm:sqref>
        </x14:conditionalFormatting>
        <x14:conditionalFormatting xmlns:xm="http://schemas.microsoft.com/office/excel/2006/main">
          <x14:cfRule type="expression" priority="297" id="{F94F6A11-81C3-437F-AFFE-315C0281149A}">
            <xm:f>'Sprachen &amp; Rückgabewerte(2)'!$M$62=3</xm:f>
            <x14:dxf>
              <border>
                <bottom style="thin">
                  <color rgb="FFFF0000"/>
                </bottom>
                <vertical/>
                <horizontal/>
              </border>
            </x14:dxf>
          </x14:cfRule>
          <x14:cfRule type="expression" priority="298" id="{E4001892-6460-4EEF-9C47-301422524936}">
            <xm:f>'Sprachen &amp; Rückgabewerte(2)'!$M$62=2</xm:f>
            <x14:dxf>
              <border>
                <bottom style="thin">
                  <color rgb="FFFF0000"/>
                </bottom>
                <vertical/>
                <horizontal/>
              </border>
            </x14:dxf>
          </x14:cfRule>
          <xm:sqref>C97:K97</xm:sqref>
        </x14:conditionalFormatting>
        <x14:conditionalFormatting xmlns:xm="http://schemas.microsoft.com/office/excel/2006/main">
          <x14:cfRule type="expression" priority="299" id="{536BE2B9-7D41-414B-9218-9632B69C3655}">
            <xm:f>'Sprachen &amp; Rückgabewerte(2)'!$M$60=0</xm:f>
            <x14:dxf>
              <border>
                <left style="thin">
                  <color rgb="FFFF0000"/>
                </left>
                <vertical/>
                <horizontal/>
              </border>
            </x14:dxf>
          </x14:cfRule>
          <xm:sqref>M73:M85</xm:sqref>
        </x14:conditionalFormatting>
        <x14:conditionalFormatting xmlns:xm="http://schemas.microsoft.com/office/excel/2006/main">
          <x14:cfRule type="expression" priority="300" id="{D8697569-3EB4-44F4-85B1-7C03C0DC951D}">
            <xm:f>'Sprachen &amp; Rückgabewerte(2)'!$M$60=0</xm:f>
            <x14:dxf>
              <border>
                <top style="thin">
                  <color rgb="FFFF0000"/>
                </top>
                <vertical/>
                <horizontal/>
              </border>
            </x14:dxf>
          </x14:cfRule>
          <xm:sqref>M73:S73</xm:sqref>
        </x14:conditionalFormatting>
        <x14:conditionalFormatting xmlns:xm="http://schemas.microsoft.com/office/excel/2006/main">
          <x14:cfRule type="expression" priority="301" id="{1A4576E7-65CD-4EFE-ACFA-7E0389556656}">
            <xm:f>'Sprachen &amp; Rückgabewerte(2)'!$M$60=0</xm:f>
            <x14:dxf>
              <border>
                <right style="thin">
                  <color rgb="FFFF0000"/>
                </right>
                <vertical/>
                <horizontal/>
              </border>
            </x14:dxf>
          </x14:cfRule>
          <xm:sqref>S73:S85</xm:sqref>
        </x14:conditionalFormatting>
        <x14:conditionalFormatting xmlns:xm="http://schemas.microsoft.com/office/excel/2006/main">
          <x14:cfRule type="expression" priority="295" id="{8E4B6075-7960-4ED7-A6D9-156088813E19}">
            <xm:f>'Sprachen &amp; Rückgabewerte(2)'!$M$60=0</xm:f>
            <x14:dxf>
              <border>
                <bottom style="thin">
                  <color rgb="FFFF0000"/>
                </bottom>
                <vertical/>
                <horizontal/>
              </border>
            </x14:dxf>
          </x14:cfRule>
          <xm:sqref>M85:S85</xm:sqref>
        </x14:conditionalFormatting>
        <x14:conditionalFormatting xmlns:xm="http://schemas.microsoft.com/office/excel/2006/main">
          <x14:cfRule type="expression" priority="303" id="{911BBDFB-6A89-4032-BA85-1D609ABDCA25}">
            <xm:f>'Sprachen &amp; Rückgabewerte(2)'!$M$56=0</xm:f>
            <x14:dxf>
              <border>
                <left style="thin">
                  <color rgb="FFFF0000"/>
                </left>
                <vertical/>
                <horizontal/>
              </border>
            </x14:dxf>
          </x14:cfRule>
          <xm:sqref>C62:C72</xm:sqref>
        </x14:conditionalFormatting>
        <x14:conditionalFormatting xmlns:xm="http://schemas.microsoft.com/office/excel/2006/main">
          <x14:cfRule type="expression" priority="142" id="{60926EBE-3937-4397-A29A-F7875F55523B}">
            <xm:f>'Sprachen &amp; Rückgabewerte(2)'!$M$56=0</xm:f>
            <x14:dxf>
              <border>
                <bottom style="thin">
                  <color rgb="FFFF0000"/>
                </bottom>
                <vertical/>
                <horizontal/>
              </border>
            </x14:dxf>
          </x14:cfRule>
          <xm:sqref>C72:AB72</xm:sqref>
        </x14:conditionalFormatting>
        <x14:conditionalFormatting xmlns:xm="http://schemas.microsoft.com/office/excel/2006/main">
          <x14:cfRule type="expression" priority="305" id="{5FABE53A-61D9-49F7-9D1F-E1A80E4C09FC}">
            <xm:f>'Sprachen &amp; Rückgabewerte(2)'!$M$56=0</xm:f>
            <x14:dxf>
              <border>
                <right style="thin">
                  <color rgb="FFFF0000"/>
                </right>
                <vertical/>
                <horizontal/>
              </border>
            </x14:dxf>
          </x14:cfRule>
          <xm:sqref>AB62:AB72</xm:sqref>
        </x14:conditionalFormatting>
        <x14:conditionalFormatting xmlns:xm="http://schemas.microsoft.com/office/excel/2006/main">
          <x14:cfRule type="expression" priority="306" id="{E89E4D55-B2A6-403A-8613-A47B6F998709}">
            <xm:f>'Sprachen &amp; Rückgabewerte(2)'!$M$56=0</xm:f>
            <x14:dxf>
              <border>
                <top style="thin">
                  <color rgb="FFFF0000"/>
                </top>
                <vertical/>
                <horizontal/>
              </border>
            </x14:dxf>
          </x14:cfRule>
          <xm:sqref>C62:AB62</xm:sqref>
        </x14:conditionalFormatting>
        <x14:conditionalFormatting xmlns:xm="http://schemas.microsoft.com/office/excel/2006/main">
          <x14:cfRule type="expression" priority="127" id="{FE3D475D-86AF-42EC-AD72-84E7B5DB51DE}">
            <xm:f>'Sprachen &amp; Rückgabewerte(2)'!$M$66=FALSE</xm:f>
            <x14:dxf>
              <border>
                <left style="thin">
                  <color rgb="FFFF0000"/>
                </left>
                <vertical/>
                <horizontal/>
              </border>
            </x14:dxf>
          </x14:cfRule>
          <xm:sqref>AD73:AD81</xm:sqref>
        </x14:conditionalFormatting>
        <x14:conditionalFormatting xmlns:xm="http://schemas.microsoft.com/office/excel/2006/main">
          <x14:cfRule type="expression" priority="126" id="{6A87BC4D-23DA-4EC1-921F-2B6CFA58760C}">
            <xm:f>'Sprachen &amp; Rückgabewerte(2)'!$M$66=FALSE</xm:f>
            <x14:dxf>
              <border>
                <top style="thin">
                  <color rgb="FFFF0000"/>
                </top>
                <vertical/>
                <horizontal/>
              </border>
            </x14:dxf>
          </x14:cfRule>
          <xm:sqref>AD73:AT73</xm:sqref>
        </x14:conditionalFormatting>
        <x14:conditionalFormatting xmlns:xm="http://schemas.microsoft.com/office/excel/2006/main">
          <x14:cfRule type="expression" priority="125" id="{68689FAF-5439-4781-9B2E-DC58236B67B8}">
            <xm:f>'Sprachen &amp; Rückgabewerte(2)'!$M$66=FALSE</xm:f>
            <x14:dxf>
              <border>
                <right style="thin">
                  <color rgb="FFFF0000"/>
                </right>
                <vertical/>
                <horizontal/>
              </border>
            </x14:dxf>
          </x14:cfRule>
          <xm:sqref>AT73:AT81</xm:sqref>
        </x14:conditionalFormatting>
        <x14:conditionalFormatting xmlns:xm="http://schemas.microsoft.com/office/excel/2006/main">
          <x14:cfRule type="expression" priority="124" id="{01F1D0C4-A28A-45F0-AC0F-FB89977A5FFC}">
            <xm:f>'Sprachen &amp; Rückgabewerte(2)'!$M$66=FALSE</xm:f>
            <x14:dxf>
              <border>
                <bottom style="thin">
                  <color rgb="FFFF0000"/>
                </bottom>
                <vertical/>
                <horizontal/>
              </border>
            </x14:dxf>
          </x14:cfRule>
          <xm:sqref>AD81:AT81</xm:sqref>
        </x14:conditionalFormatting>
        <x14:conditionalFormatting xmlns:xm="http://schemas.microsoft.com/office/excel/2006/main">
          <x14:cfRule type="expression" priority="119" id="{472C710B-A1CD-43AA-8B96-B0C14BDA8F72}">
            <xm:f>'Sprachen &amp; Rückgabewerte(2)'!$I$5=FALSE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100" id="{F30B125C-0D85-42EE-90AB-081F493C0059}">
            <xm:f>'Sprachen &amp; Rückgabewerte(2)'!$I$19=FALSE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7" id="{349EFE07-9A00-4DBA-A87A-2BD6E75DB343}">
            <xm:f>'Sprachen &amp; Rückgabewerte(2)'!$I$13=FALSE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99" id="{B07AB22C-CDCB-4DBB-A5D9-1C2F75445523}">
            <xm:f>AND($AY$43&lt;&gt;0,'Sprachen &amp; Rückgabewerte(2)'!$I$19=TRUE)</xm:f>
            <x14:dxf>
              <border>
                <top style="thin">
                  <color rgb="FFFF0000"/>
                </top>
                <vertical/>
                <horizontal/>
              </border>
            </x14:dxf>
          </x14:cfRule>
          <x14:cfRule type="expression" priority="104" id="{F6ED1B52-93C8-4FB6-B146-920184A0E156}">
            <xm:f>'Sprachen &amp; Rückgabewerte(2)'!$I$19=FALSE</xm:f>
            <x14:dxf>
              <border>
                <top/>
                <vertical/>
                <horizontal/>
              </border>
            </x14:dxf>
          </x14:cfRule>
          <xm:sqref>AU32:AV32</xm:sqref>
        </x14:conditionalFormatting>
        <x14:conditionalFormatting xmlns:xm="http://schemas.microsoft.com/office/excel/2006/main">
          <x14:cfRule type="expression" priority="103" id="{5D10C255-1C10-46D3-9F38-B679E1398E1D}">
            <xm:f>AND($AY$43&lt;&gt;0,'Sprachen &amp; Rückgabewerte(2)'!$I$19=TRUE)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2" id="{DCF280DB-45E8-42B3-9AD4-4F2B9C0C6EA0}">
            <xm:f>AND($AY$43&lt;&gt;0,'Sprachen &amp; Rückgabewerte(2)'!$I$19=TRUE)</xm:f>
            <x14:dxf>
              <border>
                <right style="thin">
                  <color rgb="FFFF0000"/>
                </right>
                <vertical/>
                <horizontal/>
              </border>
            </x14:dxf>
          </x14:cfRule>
          <xm:sqref>BA33:BA43</xm:sqref>
        </x14:conditionalFormatting>
        <x14:conditionalFormatting xmlns:xm="http://schemas.microsoft.com/office/excel/2006/main">
          <x14:cfRule type="expression" priority="101" id="{40E1A078-AB71-4063-9F80-FCF08A7AEECE}">
            <xm:f>AND($AY$43&lt;&gt;0,'Sprachen &amp; Rückgabewerte(2)'!$I$19=TRUE)</xm:f>
            <x14:dxf>
              <border>
                <bottom style="thin">
                  <color rgb="FFFF0000"/>
                </bottom>
                <vertical/>
                <horizontal/>
              </border>
            </x14:dxf>
          </x14:cfRule>
          <xm:sqref>AW43:BA43</xm:sqref>
        </x14:conditionalFormatting>
        <x14:conditionalFormatting xmlns:xm="http://schemas.microsoft.com/office/excel/2006/main">
          <x14:cfRule type="expression" priority="105" id="{88B3FDD3-1C37-4A18-81FD-AE8FF54C60C5}">
            <xm:f>AND($AY$43&lt;&gt;0,'Sprachen &amp; Rückgabewerte(2)'!$I$19=TRUE)</xm:f>
            <x14:dxf>
              <border>
                <left style="thin">
                  <color rgb="FFFF0000"/>
                </left>
                <vertical/>
                <horizontal/>
              </border>
            </x14:dxf>
          </x14:cfRule>
          <xm:sqref>AW33:AW43</xm:sqref>
        </x14:conditionalFormatting>
        <x14:conditionalFormatting xmlns:xm="http://schemas.microsoft.com/office/excel/2006/main">
          <x14:cfRule type="expression" priority="98" id="{DE6C41CA-6E37-47EA-9C50-B6B3CFB5C464}">
            <xm:f>AND($AY$43&lt;&gt;0,'Sprachen &amp; Rückgabewerte(2)'!$I$19=TRUE)</xm:f>
            <x14:dxf>
              <border>
                <top style="thin">
                  <color rgb="FFFF0000"/>
                </top>
                <vertical/>
                <horizontal/>
              </border>
            </x14:dxf>
          </x14:cfRule>
          <xm:sqref>AD32:AT32</xm:sqref>
        </x14:conditionalFormatting>
        <x14:conditionalFormatting xmlns:xm="http://schemas.microsoft.com/office/excel/2006/main">
          <x14:cfRule type="expression" priority="96" id="{391EDAFF-FBCA-4FDE-B9AC-1A58B7E3D7B0}">
            <xm:f>AND($AY$43&lt;&gt;0,'Sprachen &amp; Rückgabewerte(2)'!$I$19=TRUE)</xm:f>
            <x14:dxf>
              <border>
                <bottom style="thin">
                  <color rgb="FFFF0000"/>
                </bottom>
                <vertical/>
                <horizontal/>
              </border>
            </x14:dxf>
          </x14:cfRule>
          <xm:sqref>AD40:AT40</xm:sqref>
        </x14:conditionalFormatting>
        <x14:conditionalFormatting xmlns:xm="http://schemas.microsoft.com/office/excel/2006/main">
          <x14:cfRule type="expression" priority="93" id="{95A8BB92-A21B-4173-A599-73B5329960C0}">
            <xm:f>AND('Sprachen &amp; Rückgabewerte(2)'!$I$50=TRUE,'Sprachen &amp; Rückgabewerte(2)'!$C$95&lt;&gt;0)</xm:f>
            <x14:dxf>
              <border>
                <top style="thin">
                  <color rgb="FFFF0000"/>
                </top>
                <vertical/>
                <horizontal/>
              </border>
            </x14:dxf>
          </x14:cfRule>
          <xm:sqref>B101:AU101</xm:sqref>
        </x14:conditionalFormatting>
        <x14:conditionalFormatting xmlns:xm="http://schemas.microsoft.com/office/excel/2006/main">
          <x14:cfRule type="expression" priority="92" id="{16121903-FBB6-4D1B-9555-E3362E30419F}">
            <xm:f>AND('Sprachen &amp; Rückgabewerte(2)'!$I$50=TRUE,'Sprachen &amp; Rückgabewerte(2)'!$C$95&lt;&gt;0)</xm:f>
            <x14:dxf>
              <border>
                <right style="thin">
                  <color rgb="FFFF0000"/>
                </right>
                <vertical/>
                <horizontal/>
              </border>
            </x14:dxf>
          </x14:cfRule>
          <xm:sqref>AU101:AU136</xm:sqref>
        </x14:conditionalFormatting>
        <x14:conditionalFormatting xmlns:xm="http://schemas.microsoft.com/office/excel/2006/main">
          <x14:cfRule type="expression" priority="91" id="{7071DDA5-4BAC-417B-89B7-8AA487384FF2}">
            <xm:f>AND('Sprachen &amp; Rückgabewerte(2)'!$I$50=TRUE,'Sprachen &amp; Rückgabewerte(2)'!$C$95&lt;&gt;0)</xm:f>
            <x14:dxf>
              <border>
                <bottom style="thin">
                  <color rgb="FFFF0000"/>
                </bottom>
                <vertical/>
                <horizontal/>
              </border>
            </x14:dxf>
          </x14:cfRule>
          <xm:sqref>B136:AU136</xm:sqref>
        </x14:conditionalFormatting>
        <x14:conditionalFormatting xmlns:xm="http://schemas.microsoft.com/office/excel/2006/main">
          <x14:cfRule type="expression" priority="90" id="{82F01A41-AC74-4874-9619-1EA31C2B8B34}">
            <xm:f>AND('Sprachen &amp; Rückgabewerte(2)'!$I$50=TRUE,'Sprachen &amp; Rückgabewerte(2)'!$C$95&lt;&gt;0)</xm:f>
            <x14:dxf>
              <border>
                <left style="thin">
                  <color rgb="FFFF0000"/>
                </left>
                <vertical/>
                <horizontal/>
              </border>
            </x14:dxf>
          </x14:cfRule>
          <xm:sqref>B101:B136</xm:sqref>
        </x14:conditionalFormatting>
        <x14:conditionalFormatting xmlns:xm="http://schemas.microsoft.com/office/excel/2006/main">
          <x14:cfRule type="expression" priority="89" id="{6F7603BD-FF1D-4604-A188-CE0F0E36E9ED}">
            <xm:f>AND('Sprachen &amp; Rückgabewerte(2)'!$I$50=TRUE,'Sprachen &amp; Rückgabewerte(2)'!$C$95&lt;&gt;0)</xm:f>
            <x14:dxf>
              <border>
                <top style="thin">
                  <color rgb="FFFF0000"/>
                </top>
                <bottom/>
                <vertical/>
                <horizontal/>
              </border>
            </x14:dxf>
          </x14:cfRule>
          <xm:sqref>AV101</xm:sqref>
        </x14:conditionalFormatting>
        <x14:conditionalFormatting xmlns:xm="http://schemas.microsoft.com/office/excel/2006/main">
          <x14:cfRule type="expression" priority="85" id="{89FBFD2C-362D-40EC-804A-F4E5A11E4314}">
            <xm:f>'Sprachen &amp; Rückgabewerte(2)'!$I$50=FALSE</xm:f>
            <x14:dxf>
              <border>
                <right/>
                <vertical/>
                <horizontal/>
              </border>
            </x14:dxf>
          </x14:cfRule>
          <x14:cfRule type="expression" priority="88" id="{8EAA828A-B90D-4337-BF98-7D409105B322}">
            <xm:f>AND('Sprachen &amp; Rückgabewerte(2)'!$I$50=TRUE,'Sprachen &amp; Rückgabewerte(2)'!$C$95&lt;&gt;0)</xm:f>
            <x14:dxf>
              <border>
                <right style="thin">
                  <color rgb="FFFF0000"/>
                </right>
                <vertical/>
                <horizontal/>
              </border>
            </x14:dxf>
          </x14:cfRule>
          <xm:sqref>AV84:AV100</xm:sqref>
        </x14:conditionalFormatting>
        <x14:conditionalFormatting xmlns:xm="http://schemas.microsoft.com/office/excel/2006/main">
          <x14:cfRule type="expression" priority="86" id="{3B45D7F8-FF1E-4F19-9F83-3E7B29B2AE2B}">
            <xm:f>'Sprachen &amp; Rückgabewerte(2)'!$I$50=FALSE</xm:f>
            <x14:dxf>
              <border>
                <top/>
                <vertical/>
                <horizontal/>
              </border>
            </x14:dxf>
          </x14:cfRule>
          <x14:cfRule type="expression" priority="87" id="{AC62D109-B942-423E-A8D1-E41B0D0D85A1}">
            <xm:f>AND('Sprachen &amp; Rückgabewerte(2)'!$I$50=TRUE,'Sprachen &amp; Rückgabewerte(2)'!$C$95&lt;&gt;0)</xm:f>
            <x14:dxf>
              <border>
                <top style="thin">
                  <color rgb="FFFF0000"/>
                </top>
                <vertical/>
                <horizontal/>
              </border>
            </x14:dxf>
          </x14:cfRule>
          <xm:sqref>AU84:AV84</xm:sqref>
        </x14:conditionalFormatting>
        <x14:conditionalFormatting xmlns:xm="http://schemas.microsoft.com/office/excel/2006/main">
          <x14:cfRule type="expression" priority="84" id="{8DDF5134-11CE-4C12-B363-11B18F0CE7CE}">
            <xm:f>'Sprachen &amp; Rückgabewerte(2)'!$I$50=FALSE</xm:f>
            <x14:dxf>
              <border>
                <bottom/>
                <vertical/>
                <horizontal/>
              </border>
            </x14:dxf>
          </x14:cfRule>
          <xm:sqref>AV100</xm:sqref>
        </x14:conditionalFormatting>
        <x14:conditionalFormatting xmlns:xm="http://schemas.microsoft.com/office/excel/2006/main">
          <x14:cfRule type="expression" priority="73" id="{DAFFED27-A670-457A-B6E9-62F15BB3845A}">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FCDAD344-543F-4788-981B-6F49EF216E9A}">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8" id="{994A92B2-6446-428D-A098-8ADEB697B201}">
            <xm:f>'Sprachen &amp; Rückgabewerte(2)'!$S$41=1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9" id="{2178097F-9B79-4A09-978F-045D7CAC05CE}">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10" id="{000B320B-EAC7-46F5-8653-3CA673BF53FF}">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1" id="{76D214D2-A953-4460-90F5-ABB11A0AF2D8}">
            <xm:f>'Sprachen &amp; Rückgabewerte(2)'!$S$41=3</xm:f>
            <x14:dxf>
              <font>
                <b/>
                <i val="0"/>
                <color theme="1"/>
              </font>
            </x14:dxf>
          </x14:cfRule>
          <x14:cfRule type="expression" priority="312" id="{733B7196-8960-47E1-A22A-9E193ED1B49C}">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3" id="{A440DBE7-A44E-4D31-B973-491A2B1F2205}">
            <xm:f>'Sprachen &amp; Rückgabewerte(2)'!$S$41=3</xm:f>
            <x14:dxf>
              <font>
                <b/>
                <i val="0"/>
                <color theme="1"/>
              </font>
            </x14:dxf>
          </x14:cfRule>
          <xm:sqref>L46</xm:sqref>
        </x14:conditionalFormatting>
        <x14:conditionalFormatting xmlns:xm="http://schemas.microsoft.com/office/excel/2006/main">
          <x14:cfRule type="expression" priority="314" id="{0F739643-DBE2-4665-B20C-BC6FB1EA3DD2}">
            <xm:f>'Sprachen &amp; Rückgabewerte(2)'!$S$41=2</xm:f>
            <x14:dxf>
              <font>
                <b/>
                <i val="0"/>
                <color theme="1"/>
              </font>
            </x14:dxf>
          </x14:cfRule>
          <x14:cfRule type="expression" priority="315" id="{51664281-2EB1-4A09-AA13-6CC4EEA52C33}">
            <xm:f>'Sprachen &amp; Rückgabewerte(2)'!$S$41=3</xm:f>
            <x14:dxf>
              <font>
                <b/>
                <i val="0"/>
                <color theme="1"/>
              </font>
            </x14:dxf>
          </x14:cfRule>
          <xm:sqref>L47</xm:sqref>
        </x14:conditionalFormatting>
        <x14:conditionalFormatting xmlns:xm="http://schemas.microsoft.com/office/excel/2006/main">
          <x14:cfRule type="expression" priority="316" id="{D9AF99CF-2755-458C-A949-40A017CA04D9}">
            <xm:f>'Sprachen &amp; Rückgabewerte(2)'!$S$41=3</xm:f>
            <x14:dxf>
              <font>
                <b/>
                <i val="0"/>
                <color theme="1"/>
              </font>
            </x14:dxf>
          </x14:cfRule>
          <x14:cfRule type="expression" priority="317" id="{6D4E390C-4A01-48C2-9CE7-36C19799C672}">
            <xm:f>'Sprachen &amp; Rückgabewerte(2)'!$S$41=2</xm:f>
            <x14:dxf>
              <font>
                <b/>
                <i val="0"/>
                <color theme="1"/>
              </font>
            </x14:dxf>
          </x14:cfRule>
          <x14:cfRule type="expression" priority="318" id="{95D2C1B1-479B-460F-8CD0-293D9E9600ED}">
            <xm:f>'Sprachen &amp; Rückgabewerte(2)'!$S$41=1</xm:f>
            <x14:dxf>
              <font>
                <b/>
                <i val="0"/>
                <color theme="1"/>
              </font>
            </x14:dxf>
          </x14:cfRule>
          <xm:sqref>L48</xm:sqref>
        </x14:conditionalFormatting>
        <x14:conditionalFormatting xmlns:xm="http://schemas.microsoft.com/office/excel/2006/main">
          <x14:cfRule type="expression" priority="81" id="{25462FEB-B311-478F-A879-D47ECED85752}">
            <xm:f>'Sprachen &amp; Rückgabewerte(2)'!$M$71=0</xm:f>
            <x14:dxf>
              <border>
                <top style="thin">
                  <color rgb="FFFF0000"/>
                </top>
                <vertical/>
                <horizontal/>
              </border>
            </x14:dxf>
          </x14:cfRule>
          <xm:sqref>AW45:AX45</xm:sqref>
        </x14:conditionalFormatting>
        <x14:conditionalFormatting xmlns:xm="http://schemas.microsoft.com/office/excel/2006/main">
          <x14:cfRule type="expression" priority="80" id="{45CA14FD-9321-452D-8ABD-03BBA4D6D58A}">
            <xm:f>'Sprachen &amp; Rückgabewerte(2)'!$M$71=0</xm:f>
            <x14:dxf>
              <border>
                <right style="thin">
                  <color rgb="FFFF0000"/>
                </right>
                <vertical/>
                <horizontal/>
              </border>
            </x14:dxf>
          </x14:cfRule>
          <xm:sqref>AX45:AX47 AW48:AX48 AX49</xm:sqref>
        </x14:conditionalFormatting>
        <x14:conditionalFormatting xmlns:xm="http://schemas.microsoft.com/office/excel/2006/main">
          <x14:cfRule type="expression" priority="79" id="{B6725042-6065-4396-A8F7-636FEC6DF24A}">
            <xm:f>'Sprachen &amp; Rückgabewerte(2)'!$M$71=0</xm:f>
            <x14:dxf>
              <border>
                <bottom style="thin">
                  <color rgb="FFFF0000"/>
                </bottom>
                <vertical/>
                <horizontal/>
              </border>
            </x14:dxf>
          </x14:cfRule>
          <xm:sqref>AW49:AX49</xm:sqref>
        </x14:conditionalFormatting>
        <x14:conditionalFormatting xmlns:xm="http://schemas.microsoft.com/office/excel/2006/main">
          <x14:cfRule type="expression" priority="78" id="{A8D2D58A-EAF9-4E3E-A1A9-EDF28FC1AA55}">
            <xm:f>'Sprachen &amp; Rückgabewerte(2)'!$M$71=0</xm:f>
            <x14:dxf>
              <border>
                <left style="thin">
                  <color rgb="FFFF0000"/>
                </left>
                <vertical/>
                <horizontal/>
              </border>
            </x14:dxf>
          </x14:cfRule>
          <xm:sqref>AW49 AW48:AX48 AW45:AW47</xm:sqref>
        </x14:conditionalFormatting>
        <x14:conditionalFormatting xmlns:xm="http://schemas.microsoft.com/office/excel/2006/main">
          <x14:cfRule type="expression" priority="75" id="{01BC706B-9A50-4367-BE0A-D3C1F344E394}">
            <xm:f>'Sprachen &amp; Rückgabewerte(2)'!$L$71=1</xm:f>
            <x14:dxf>
              <font>
                <color theme="0" tint="-0.14996795556505021"/>
              </font>
              <fill>
                <patternFill>
                  <bgColor theme="0" tint="-0.14996795556505021"/>
                </patternFill>
              </fill>
              <border>
                <top/>
                <vertical/>
                <horizontal/>
              </border>
            </x14:dxf>
          </x14:cfRule>
          <x14:cfRule type="expression" priority="77" id="{045220DE-D8DC-4766-9D6B-1AD9AE1E7468}">
            <xm:f>'Sprachen &amp; Rückgabewerte(2)'!$M$71=0</xm:f>
            <x14:dxf>
              <border>
                <top style="thin">
                  <color rgb="FFFF0000"/>
                </top>
                <vertical/>
                <horizontal/>
              </border>
            </x14:dxf>
          </x14:cfRule>
          <xm:sqref>AU45:AV45</xm:sqref>
        </x14:conditionalFormatting>
        <x14:conditionalFormatting xmlns:xm="http://schemas.microsoft.com/office/excel/2006/main">
          <x14:cfRule type="expression" priority="76" id="{4D60FCD3-29B0-4022-B0D6-AABDCE411B2F}">
            <xm:f>'Sprachen &amp; Rückgabewerte(2)'!$L$71=1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5" id="{A086CA53-08C5-4DF3-AC1F-CCD0E6CE41E9}">
            <xm:f>'Sprachen &amp; Rückgabewerte(2)'!$I$50=FALSE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4" id="{08E4A804-E2CA-4D13-B2DD-E61039328B48}">
            <xm:f>'Sprachen &amp; Rückgabewerte(2)'!$I$50=FALSE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3" id="{F0A86A75-FD7F-4313-BC49-BADAF8D04519}">
            <xm:f>$AX$19='Sprachen &amp; Rückgabewerte(2)'!$H$155</xm:f>
            <x14:dxf>
              <font>
                <color rgb="FFFF0000"/>
              </font>
            </x14:dxf>
          </x14:cfRule>
          <xm:sqref>AX19:BA20</xm:sqref>
        </x14:conditionalFormatting>
        <x14:conditionalFormatting xmlns:xm="http://schemas.microsoft.com/office/excel/2006/main">
          <x14:cfRule type="expression" priority="50" id="{70F94E11-91D5-45AD-AAE0-3BF162F30E27}">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3" id="{EB93E03A-1889-471C-A5E2-5C6664712BC1}">
            <xm:f>$AN$80&lt;&gt;'Sprachen &amp; Rückgabewerte(2)'!$H$85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2" id="{57BB7CB3-AAF2-4197-9D4D-D01E817AB14E}">
            <xm:f>$AN$80&lt;&gt;'Sprachen &amp; Rückgabewerte(2)'!$H$86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7" id="{F5B61A82-EF7E-4F53-8740-FD9F1B0C711B}">
            <xm:f>'Sprachen &amp; Rückgabewerte(2)'!$U$49=FALSE</xm:f>
            <x14:dxf>
              <border>
                <left style="thin">
                  <color rgb="FFFF0000"/>
                </left>
                <vertical/>
                <horizontal/>
              </border>
            </x14:dxf>
          </x14:cfRule>
          <xm:sqref>E22:H26</xm:sqref>
        </x14:conditionalFormatting>
        <x14:conditionalFormatting xmlns:xm="http://schemas.microsoft.com/office/excel/2006/main">
          <x14:cfRule type="expression" priority="35" id="{C85A371B-B467-4CE2-8AF6-FF2B282B86D1}">
            <xm:f>'Sprachen &amp; Rückgabewerte(2)'!$U$49=FALSE</xm:f>
            <x14:dxf>
              <border>
                <right style="thin">
                  <color rgb="FFFF0000"/>
                </right>
                <vertical/>
                <horizontal/>
              </border>
            </x14:dxf>
          </x14:cfRule>
          <xm:sqref>AO22:AR26</xm:sqref>
        </x14:conditionalFormatting>
        <x14:conditionalFormatting xmlns:xm="http://schemas.microsoft.com/office/excel/2006/main">
          <x14:cfRule type="expression" priority="34" id="{5530940F-26C7-425E-A53B-DE0F7F7D0895}">
            <xm:f>'Sprachen &amp; Rückgabewerte(2)'!$I$39=FALSE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1" id="{60949EAF-17AB-4D22-BB05-6C522A557F96}">
            <xm:f>'Sprachen &amp; Rückgabewerte(2)'!$I$39=FALSE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0" id="{533DBC72-BA80-4557-9F2C-BE049C99DD81}">
            <xm:f>AND('Sprachen &amp; Rückgabewerte(2)'!$C$16=1,$F$16="")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9" id="{4B424B84-3493-4064-BDC8-05FC868E3A26}">
            <xm:f>AND('Sprachen &amp; Rückgabewerte(2)'!$C$17=1,$J$16="")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8" id="{6A21C5F7-20A0-4E85-B215-F8FD371498D1}">
            <xm:f>AND('Sprachen &amp; Rückgabewerte(2)'!$C$18=1,$N$16="")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7" id="{92920804-0622-4774-9889-3624277D60EF}">
            <xm:f>AND('Sprachen &amp; Rückgabewerte(2)'!$C$19=1,$R$16="")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6" id="{AA4D7CEF-DAA7-40AE-BF3F-D76C610BEF34}">
            <xm:f>AND('Sprachen &amp; Rückgabewerte(2)'!$C$20=1,$V$16="")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5" id="{A09593E1-BD80-4178-BD7F-77E4E21C0AD5}">
            <xm:f>AND('Sprachen &amp; Rückgabewerte(2)'!$C$21=1,$Z$16="")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4" id="{DB0AEED8-1BDE-4678-BB21-720C98492172}">
            <xm:f>AND('Sprachen &amp; Rückgabewerte(2)'!$C$22=1,$AD$16="")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3" id="{A74D97A8-5D6B-4838-A167-03BA0C831157}">
            <xm:f>AND('Sprachen &amp; Rückgabewerte(2)'!$C$23=1,$AH$16="")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2" id="{465978DC-29CF-44C5-B553-B5505D4F33C6}">
            <xm:f>AND('Sprachen &amp; Rückgabewerte(2)'!$C$24=1,$AL$16="")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1" id="{1E99E6AE-762F-449D-A285-1EEAD7B50A6E}">
            <xm:f>AND('Sprachen &amp; Rückgabewerte(2)'!$C$25=1,$AP$16="")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0" id="{6A21A64C-73F8-4C34-9CDE-DEB19C81CB70}">
            <xm:f>'Sprachen &amp; Rückgabewerte(2)'!$I$71=FALSE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9" id="{B2BF40D9-F38C-4876-B984-3D5BBA40F7A8}">
            <xm:f>AND('Sprachen &amp; Rückgabewerte(2)'!$I$71=TRUE,$AP$74="",$AP$75="",$AP$76="")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A10A22EE-81E6-42D1-8DFC-A0E541F04A1A}">
            <xm:f>OR($AQ$96='Sprachen &amp; Rückgabewerte(2)'!$H$96,$AQ$96="")</xm:f>
            <x14:dxf>
              <border>
                <bottom/>
                <vertical/>
                <horizontal/>
              </border>
            </x14:dxf>
          </x14:cfRule>
          <x14:cfRule type="expression" priority="17" id="{1DBCCCAA-AD22-4E7E-A86F-3820DEB37722}">
            <xm:f>AND($AQ$96='Sprachen &amp; Rückgabewerte(2)'!$H$95,$AW$96="")</xm:f>
            <x14:dxf>
              <border>
                <bottom style="thin">
                  <color rgb="FFFF0000"/>
                </bottom>
                <vertical/>
                <horizontal/>
              </border>
            </x14:dxf>
          </x14:cfRule>
          <xm:sqref>AS96:AV96</xm:sqref>
        </x14:conditionalFormatting>
        <x14:conditionalFormatting xmlns:xm="http://schemas.microsoft.com/office/excel/2006/main">
          <x14:cfRule type="expression" priority="15" id="{449B027F-1E3E-4E89-843B-F83D60999F8B}">
            <xm:f>AND($AQ$96='Sprachen &amp; Rückgabewerte(2)'!$H$95,$AW$96="")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4" id="{75309878-0DC7-40FB-9A30-0623C9EE47B1}">
            <xm:f>OR($AQ$96='Sprachen &amp; Rückgabewerte(2)'!$H$96,$AQ$96="")</xm:f>
            <x14:dxf>
              <font>
                <color theme="0" tint="-0.14996795556505021"/>
              </font>
              <fill>
                <patternFill>
                  <bgColor theme="0" tint="-0.14996795556505021"/>
                </patternFill>
              </fill>
              <border>
                <left/>
                <right/>
                <top/>
                <bottom/>
                <vertical/>
                <horizontal/>
              </border>
            </x14:dxf>
          </x14:cfRule>
          <xm:sqref>AW95:AX96</xm:sqref>
        </x14:conditionalFormatting>
        <x14:conditionalFormatting xmlns:xm="http://schemas.microsoft.com/office/excel/2006/main">
          <x14:cfRule type="expression" priority="13" id="{42C56351-DADD-4DB1-AFA0-33A3EB32212D}">
            <xm:f>'Sprachen &amp; Rückgabewerte(2)'!$W$68&gt;0</xm:f>
            <x14:dxf>
              <border>
                <bottom style="thin">
                  <color rgb="FFFF0000"/>
                </bottom>
                <vertical/>
                <horizontal/>
              </border>
            </x14:dxf>
          </x14:cfRule>
          <xm:sqref>AD97:AT97</xm:sqref>
        </x14:conditionalFormatting>
        <x14:conditionalFormatting xmlns:xm="http://schemas.microsoft.com/office/excel/2006/main">
          <x14:cfRule type="expression" priority="12" id="{ECBD48D5-037A-44F3-85A4-FBC975949790}">
            <xm:f>'Sprachen &amp; Rückgabewerte(2)'!$W$68&gt;0</xm:f>
            <x14:dxf>
              <border>
                <top style="thin">
                  <color rgb="FFFF0000"/>
                </top>
                <vertical/>
                <horizontal/>
              </border>
            </x14:dxf>
          </x14:cfRule>
          <xm:sqref>AD95:AT95</xm:sqref>
        </x14:conditionalFormatting>
        <x14:conditionalFormatting xmlns:xm="http://schemas.microsoft.com/office/excel/2006/main">
          <x14:cfRule type="expression" priority="11" id="{6554C2FF-9895-45C1-A142-DBB3C7371AF2}">
            <xm:f>'Sprachen &amp; Rückgabewerte(2)'!$W$68&gt;0</xm:f>
            <x14:dxf>
              <border>
                <left style="thin">
                  <color rgb="FFFF0000"/>
                </left>
                <vertical/>
                <horizontal/>
              </border>
            </x14:dxf>
          </x14:cfRule>
          <xm:sqref>AD95:AD97</xm:sqref>
        </x14:conditionalFormatting>
        <x14:conditionalFormatting xmlns:xm="http://schemas.microsoft.com/office/excel/2006/main">
          <x14:cfRule type="expression" priority="10" id="{6A96862E-0958-449B-9C80-5ADB2FD8BFAE}">
            <xm:f>'Sprachen &amp; Rückgabewerte(2)'!$W$68&gt;0</xm:f>
            <x14:dxf>
              <border>
                <right style="thin">
                  <color rgb="FFFF0000"/>
                </right>
                <vertical/>
                <horizontal/>
              </border>
            </x14:dxf>
          </x14:cfRule>
          <xm:sqref>AT95:AT97</xm:sqref>
        </x14:conditionalFormatting>
        <x14:conditionalFormatting xmlns:xm="http://schemas.microsoft.com/office/excel/2006/main">
          <x14:cfRule type="expression" priority="7" id="{E13B1012-7E05-414A-B221-2B352298F40E}">
            <xm:f>'Sprachen &amp; Rückgabewerte(2)'!$C$51=FALSE</xm:f>
            <x14:dxf>
              <font>
                <color theme="0" tint="-0.14996795556505021"/>
              </font>
              <fill>
                <patternFill>
                  <bgColor theme="0" tint="-0.14996795556505021"/>
                </patternFill>
              </fill>
              <border>
                <left/>
                <right/>
                <top/>
                <bottom/>
                <vertical/>
                <horizontal/>
              </border>
            </x14:dxf>
          </x14:cfRule>
          <x14:cfRule type="expression" priority="8" id="{B39EE5C0-F0BB-4A6A-9521-1F900F80D45E}">
            <xm:f>'Sprachen &amp; Rückgabewerte(2)'!$U$65=FALSE</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V96:Y96</xm:sqref>
        </x14:conditionalFormatting>
        <x14:conditionalFormatting xmlns:xm="http://schemas.microsoft.com/office/excel/2006/main">
          <x14:cfRule type="expression" priority="4" id="{C06632A8-F440-4647-972C-896E88BF5780}">
            <xm:f>'Sprachen &amp; Rückgabewerte(2)'!$W$78&lt;&gt;0</xm:f>
            <x14:dxf>
              <border>
                <bottom style="thin">
                  <color rgb="FFFF0000"/>
                </bottom>
                <vertical/>
                <horizontal/>
              </border>
            </x14:dxf>
          </x14:cfRule>
          <xm:sqref>AW11:BB11</xm:sqref>
        </x14:conditionalFormatting>
        <x14:conditionalFormatting xmlns:xm="http://schemas.microsoft.com/office/excel/2006/main">
          <x14:cfRule type="expression" priority="3" id="{ED10E85C-2EBC-4B02-B7EB-E6E11AFB47AB}">
            <xm:f>'Sprachen &amp; Rückgabewerte(2)'!$W$78&lt;&gt;0</xm:f>
            <x14:dxf>
              <border>
                <top style="thin">
                  <color rgb="FFFF0000"/>
                </top>
                <vertical/>
                <horizontal/>
              </border>
            </x14:dxf>
          </x14:cfRule>
          <xm:sqref>AW6:BB6</xm:sqref>
        </x14:conditionalFormatting>
        <x14:conditionalFormatting xmlns:xm="http://schemas.microsoft.com/office/excel/2006/main">
          <x14:cfRule type="expression" priority="2" id="{2B9A9ED3-2467-42CD-9227-63CB8D16E282}">
            <xm:f>'Sprachen &amp; Rückgabewerte(2)'!$W$78&lt;&gt;0</xm:f>
            <x14:dxf>
              <border>
                <left style="thin">
                  <color rgb="FFFF0000"/>
                </left>
                <vertical/>
                <horizontal/>
              </border>
            </x14:dxf>
          </x14:cfRule>
          <xm:sqref>AW6:AW11</xm:sqref>
        </x14:conditionalFormatting>
        <x14:conditionalFormatting xmlns:xm="http://schemas.microsoft.com/office/excel/2006/main">
          <x14:cfRule type="expression" priority="1" id="{389C1588-4A64-4E5D-BE7D-4EFBE5F34DEA}">
            <xm:f>'Sprachen &amp; Rückgabewerte(2)'!$W$78&lt;&gt;0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4">
        <x14:dataValidation type="list" allowBlank="1" showInputMessage="1" showErrorMessage="1" xr:uid="{DD01D1B4-123D-4B70-9272-32A930A5B43F}">
          <x14:formula1>
            <xm:f>'Sprachen &amp; Rückgabewerte(2)'!$M$86:$M$138</xm:f>
          </x14:formula1>
          <xm:sqref>AM88:AR88</xm:sqref>
        </x14:dataValidation>
        <x14:dataValidation type="list" showInputMessage="1" showErrorMessage="1" xr:uid="{92B69124-22C7-4034-AAF9-1CAE3B8EFB72}">
          <x14:formula1>
            <xm:f>'Sprachen &amp; Rückgabewerte(2)'!$B$70:$B$72</xm:f>
          </x14:formula1>
          <xm:sqref>H85:K85 V85:Y85 O85:R85 X72:AA72</xm:sqref>
        </x14:dataValidation>
        <x14:dataValidation type="list" allowBlank="1" showInputMessage="1" showErrorMessage="1" xr:uid="{9E8C429B-4447-44F7-B12B-4DF318A5B2A7}">
          <x14:formula1>
            <xm:f>'Sprachen &amp; Rückgabewerte(2)'!$H$103:$H$107</xm:f>
          </x14:formula1>
          <xm:sqref>G20:AP20</xm:sqref>
        </x14:dataValidation>
        <x14:dataValidation type="list" showInputMessage="1" showErrorMessage="1" xr:uid="{3C9D3633-CDC5-4282-9C7F-BBFEF62B4671}">
          <x14:formula1>
            <xm:f>'Sprachen &amp; Rückgabewerte(2)'!$B$33:$B$34</xm:f>
          </x14:formula1>
          <xm:sqref>E23:AR26</xm:sqref>
        </x14:dataValidation>
        <x14:dataValidation type="list" showInputMessage="1" showErrorMessage="1" xr:uid="{4606938E-75A0-4C10-A2DE-75A030C48D9E}">
          <x14:formula1>
            <xm:f>'Sprachen &amp; Rückgabewerte(2)'!$A$11:$A$18</xm:f>
          </x14:formula1>
          <xm:sqref>AM43:AQ43</xm:sqref>
        </x14:dataValidation>
        <x14:dataValidation type="list" showInputMessage="1" showErrorMessage="1" xr:uid="{1FBF573A-56D3-4DC3-B9C3-0813670C2357}">
          <x14:formula1>
            <xm:f>'Sprachen &amp; Rückgabewerte(2)'!$A$19:$A$21</xm:f>
          </x14:formula1>
          <xm:sqref>AR43:AS43</xm:sqref>
        </x14:dataValidation>
        <x14:dataValidation type="list" allowBlank="1" showInputMessage="1" showErrorMessage="1" xr:uid="{E018F925-6B2C-46CE-B61F-7D30B224BF69}">
          <x14:formula1>
            <xm:f>'Sprachen &amp; Rückgabewerte(2)'!$J$67:$J$69</xm:f>
          </x14:formula1>
          <xm:sqref>AN70:AS70</xm:sqref>
        </x14:dataValidation>
        <x14:dataValidation type="list" allowBlank="1" showInputMessage="1" showErrorMessage="1" xr:uid="{9087B067-FFD1-40E5-B52C-5D378576F516}">
          <x14:formula1>
            <xm:f>'Sprachen &amp; Rückgabewerte(2)'!$J$77:$J$79</xm:f>
          </x14:formula1>
          <xm:sqref>AN78:AP78</xm:sqref>
        </x14:dataValidation>
        <x14:dataValidation type="list" allowBlank="1" showInputMessage="1" showErrorMessage="1" xr:uid="{0E88170F-D30A-476A-9C45-655D83472CAD}">
          <x14:formula1>
            <xm:f>'Sprachen &amp; Rückgabewerte(2)'!$J$80:$J$82</xm:f>
          </x14:formula1>
          <xm:sqref>AN79:AP79</xm:sqref>
        </x14:dataValidation>
        <x14:dataValidation type="list" allowBlank="1" showInputMessage="1" showErrorMessage="1" xr:uid="{0EECD93F-7DE3-4A77-966B-12232D94B9A9}">
          <x14:formula1>
            <xm:f>'Sprachen &amp; Rückgabewerte(2)'!$J$84:$J$86</xm:f>
          </x14:formula1>
          <xm:sqref>AN80:AS80</xm:sqref>
        </x14:dataValidation>
        <x14:dataValidation type="list" allowBlank="1" showInputMessage="1" showErrorMessage="1" xr:uid="{91E2EEB1-C770-47EA-9621-156A78811026}">
          <x14:formula1>
            <xm:f>'Sprachen &amp; Rückgabewerte(2)'!$J$94:$J$96</xm:f>
          </x14:formula1>
          <xm:sqref>AO55:AP55</xm:sqref>
        </x14:dataValidation>
        <x14:dataValidation type="list" showInputMessage="1" showErrorMessage="1" xr:uid="{C83E1F84-7479-41F8-9698-A2808EFD1EE3}">
          <x14:formula1>
            <xm:f>'Sprachen &amp; Rückgabewerte(2)'!$B$73:$B$75</xm:f>
          </x14:formula1>
          <xm:sqref>H96:K96</xm:sqref>
        </x14:dataValidation>
        <x14:dataValidation type="list" showInputMessage="1" showErrorMessage="1" xr:uid="{0E7959F5-B3D1-4330-B425-1CF8EF04CD2E}">
          <x14:formula1>
            <xm:f>'Sprachen &amp; Rückgabewerte(2)'!$B$76:$B$78</xm:f>
          </x14:formula1>
          <xm:sqref>O96:R96</xm:sqref>
        </x14:dataValidation>
        <x14:dataValidation type="list" allowBlank="1" showInputMessage="1" showErrorMessage="1" xr:uid="{0F23E568-ABC1-4BFC-A2B5-1075A48FA346}">
          <x14:formula1>
            <xm:f>'Sprachen &amp; Rückgabewerte(2)'!$B$9:$B$14</xm:f>
          </x14:formula1>
          <xm:sqref>F10:G10 J10:K10 N10:O10 R10:S10 V10:W10 Z10:AA10 AD10:AE10 AH10:AI10 AL10:AM10 AP10:AQ10</xm:sqref>
        </x14:dataValidation>
        <x14:dataValidation type="list" allowBlank="1" showInputMessage="1" showErrorMessage="1" xr:uid="{A428D8A3-C94B-4820-BA58-4F6222B2C635}">
          <x14:formula1>
            <xm:f>'Sprachen &amp; Rückgabewerte(2)'!$B$33:$B$34</xm:f>
          </x14:formula1>
          <xm:sqref>E22:AR22</xm:sqref>
        </x14:dataValidation>
        <x14:dataValidation type="list" showInputMessage="1" showErrorMessage="1" xr:uid="{2BCAC036-3023-4863-9DE6-A5EC82E68F40}">
          <x14:formula1>
            <xm:f>'Sprachen &amp; Rückgabewerte(2)'!$B$67:$B$69</xm:f>
          </x14:formula1>
          <xm:sqref>F72:I72 L72:O72 R72:U72</xm:sqref>
        </x14:dataValidation>
        <x14:dataValidation type="list" allowBlank="1" showInputMessage="1" showErrorMessage="1" xr:uid="{D098DAD5-7FA1-4BB7-AD5E-35C3CA9681CA}">
          <x14:formula1>
            <xm:f>'Sprachen &amp; Rückgabewerte(2)'!$J$91:$J$93</xm:f>
          </x14:formula1>
          <xm:sqref>AM49:AP49</xm:sqref>
        </x14:dataValidation>
        <x14:dataValidation type="list" allowBlank="1" showInputMessage="1" showErrorMessage="1" xr:uid="{216D7C4A-AB86-4095-9E4B-3A3690D101CE}">
          <x14:formula1>
            <xm:f>'Sprachen &amp; Rückgabewerte(2)'!$N$78:$N$80</xm:f>
          </x14:formula1>
          <xm:sqref>AE70:AL70</xm:sqref>
        </x14:dataValidation>
        <x14:dataValidation type="list" allowBlank="1" showInputMessage="1" showErrorMessage="1" xr:uid="{2D2DC255-D7E0-4BF2-98FA-4B99C37FA3F3}">
          <x14:formula1>
            <xm:f>'Sprachen &amp; Rückgabewerte(2)'!$J$133:$J$136</xm:f>
          </x14:formula1>
          <xm:sqref>AX33:AY42</xm:sqref>
        </x14:dataValidation>
        <x14:dataValidation type="list" allowBlank="1" showInputMessage="1" showErrorMessage="1" xr:uid="{3462D2DC-A0F1-42DA-AEC2-6FF8062B8A02}">
          <x14:formula1>
            <xm:f>'Sprachen &amp; Rückgabewerte(2)'!$B$81:$B$84</xm:f>
          </x14:formula1>
          <xm:sqref>T104</xm:sqref>
        </x14:dataValidation>
        <x14:dataValidation type="list" allowBlank="1" showInputMessage="1" showErrorMessage="1" xr:uid="{378BF63E-3A96-482A-BA34-BA15F9D0A4C6}">
          <x14:formula1>
            <xm:f>'Sprachen &amp; Rückgabewerte(2)'!$J$142:$J$144</xm:f>
          </x14:formula1>
          <xm:sqref>T110</xm:sqref>
        </x14:dataValidation>
        <x14:dataValidation type="list" allowBlank="1" showInputMessage="1" showErrorMessage="1" xr:uid="{6D955F2D-C3D6-46A0-804C-5CCD0624E088}">
          <x14:formula1>
            <xm:f>'Sprachen &amp; Rückgabewerte(2)'!$J$145:$J$147</xm:f>
          </x14:formula1>
          <xm:sqref>T114</xm:sqref>
        </x14:dataValidation>
        <x14:dataValidation type="list" showInputMessage="1" showErrorMessage="1" xr:uid="{D5996E90-AB7F-4AE3-83F5-08BEC765131D}">
          <x14:formula1>
            <xm:f>'Sprachen &amp; Rückgabewerte(2)'!$R$41:$R$43</xm:f>
          </x14:formula1>
          <xm:sqref>AF11:AG11 AN11:AO11 X11:Y11 T11:U11 P11:Q11 L11:M11 AB11:AC11 AJ11:AK11 H11:I11</xm:sqref>
        </x14:dataValidation>
        <x14:dataValidation type="list" allowBlank="1" showInputMessage="1" showErrorMessage="1" xr:uid="{A7DE752A-446D-4E90-B1B6-0378458F4180}">
          <x14:formula1>
            <xm:f>'Sprachen &amp; Rückgabewerte(2)'!$Q$41:$Q$51</xm:f>
          </x14:formula1>
          <xm:sqref>AP74:AP76</xm:sqref>
        </x14:dataValidation>
        <x14:dataValidation type="list" showInputMessage="1" showErrorMessage="1" errorTitle="SG-Typ auswählen" error="Bitte wählen Sie einen Sky-Glass Typ aus. Spezialaufbau bitte im Feld Speziell eingeben!" xr:uid="{B7F6A23A-6D0A-43B3-8448-273CA3E32D18}">
          <x14:formula1>
            <xm:f>'Sprachen &amp; Rückgabewerte(2)'!$V$3:$V$35</xm:f>
          </x14:formula1>
          <xm:sqref>AE53:AG53</xm:sqref>
        </x14:dataValidation>
        <x14:dataValidation type="list" allowBlank="1" showInputMessage="1" showErrorMessage="1" xr:uid="{8011D96D-2718-4F8B-9695-0CBF91E9964B}">
          <x14:formula1>
            <xm:f>'Sprachen &amp; Rückgabewerte(2)'!$J$150:$J$153</xm:f>
          </x14:formula1>
          <xm:sqref>AW48:AX48</xm:sqref>
        </x14:dataValidation>
        <x14:dataValidation type="list" allowBlank="1" showInputMessage="1" showErrorMessage="1" xr:uid="{31147923-1C33-48C7-9437-EF296E272DDC}">
          <x14:formula1>
            <xm:f>'Sprachen &amp; Rückgabewerte(2)'!$J$87:$J$89</xm:f>
          </x14:formula1>
          <xm:sqref>AE84:AL84</xm:sqref>
        </x14:dataValidation>
        <x14:dataValidation type="list" allowBlank="1" showInputMessage="1" showErrorMessage="1" xr:uid="{2806F194-05FB-429A-90BF-B7FD554D8A14}">
          <x14:formula1>
            <xm:f>'Sprachen &amp; Rückgabewerte(2)'!$J$174:$J$175</xm:f>
          </x14:formula1>
          <xm:sqref>AM46:AS46</xm:sqref>
        </x14:dataValidation>
        <x14:dataValidation type="list" allowBlank="1" showInputMessage="1" showErrorMessage="1" xr:uid="{3D0B4434-B366-43CA-B556-E4F6176945CE}">
          <x14:formula1>
            <xm:f>'Sprachen &amp; Rückgabewerte(2)'!$J$177:$J$178</xm:f>
          </x14:formula1>
          <xm:sqref>AM47:AS47</xm:sqref>
        </x14:dataValidation>
        <x14:dataValidation type="list" allowBlank="1" showInputMessage="1" showErrorMessage="1" xr:uid="{9727845F-B314-45CB-A63D-E5C02689E216}">
          <x14:formula1>
            <xm:f>'Sprachen &amp; Rückgabewerte(2)'!$A$28:$A$30</xm:f>
          </x14:formula1>
          <xm:sqref>F16:G17 AL16:AM17 J16:K17 N16:O17 R16:S17 V16:W17 Z16:AA17 AD16:AE17 AH16:AI17 AP16:AQ17</xm:sqref>
        </x14:dataValidation>
        <x14:dataValidation type="list" allowBlank="1" showInputMessage="1" showErrorMessage="1" xr:uid="{C674DE91-E2DE-4CAB-800F-FDCD153220DA}">
          <x14:formula1>
            <xm:f>'Sprachen &amp; Rückgabewerte(2)'!$H$95:$H$96</xm:f>
          </x14:formula1>
          <xm:sqref>AQ96:AR96</xm:sqref>
        </x14:dataValidation>
        <x14:dataValidation type="list" allowBlank="1" showInputMessage="1" showErrorMessage="1" xr:uid="{107609D8-9399-4A00-9076-725CE9B078DB}">
          <x14:formula1>
            <xm:f>'Sprachen &amp; Rückgabewerte(2)'!$H$191:$H$192</xm:f>
          </x14:formula1>
          <xm:sqref>V96:Y96</xm:sqref>
        </x14:dataValidation>
        <x14:dataValidation type="list" allowBlank="1" showInputMessage="1" showErrorMessage="1" xr:uid="{FDF0464D-D6A8-451B-92CB-AB963197E45A}">
          <x14:formula1>
            <xm:f>'Sprachen &amp; Rückgabewerte(2)'!$H$198:$H$199</xm:f>
          </x14:formula1>
          <xm:sqref>AZ9:BA9</xm:sqref>
        </x14:dataValidation>
        <x14:dataValidation type="list" allowBlank="1" showInputMessage="1" showErrorMessage="1" xr:uid="{DEFD45FE-E5F5-4C30-B9F9-AAF427B09B93}">
          <x14:formula1>
            <xm:f>'Sprachen &amp; Rückgabewerte(2)'!$H$196:$H$197</xm:f>
          </x14:formula1>
          <xm:sqref>AZ10:BA10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B9BB-418A-44D6-BE53-C9FD102A54B1}">
  <dimension ref="A1:AF205"/>
  <sheetViews>
    <sheetView showGridLines="0" topLeftCell="A170" zoomScale="70" zoomScaleNormal="70" workbookViewId="0">
      <selection activeCell="P78" sqref="P78"/>
    </sheetView>
  </sheetViews>
  <sheetFormatPr baseColWidth="10" defaultColWidth="11.42578125" defaultRowHeight="12.75" x14ac:dyDescent="0.2"/>
  <cols>
    <col min="1" max="1" width="19.140625" style="280" customWidth="1"/>
    <col min="2" max="2" width="16.7109375" style="280" customWidth="1"/>
    <col min="3" max="3" width="11.42578125" style="280" customWidth="1"/>
    <col min="4" max="7" width="40.7109375" style="280" customWidth="1"/>
    <col min="8" max="8" width="34.28515625" style="280" customWidth="1"/>
    <col min="9" max="9" width="30.42578125" style="280" customWidth="1"/>
    <col min="10" max="10" width="25.7109375" style="280" customWidth="1"/>
    <col min="11" max="11" width="15.5703125" style="280" customWidth="1"/>
    <col min="12" max="12" width="13.42578125" style="280" customWidth="1"/>
    <col min="13" max="13" width="16.140625" style="280" customWidth="1"/>
    <col min="14" max="17" width="11.42578125" style="280"/>
    <col min="18" max="18" width="12.5703125" style="280" customWidth="1"/>
    <col min="19" max="19" width="10.140625" style="280" customWidth="1"/>
    <col min="20" max="20" width="10.28515625" style="280" customWidth="1"/>
    <col min="21" max="21" width="21.5703125" style="280" customWidth="1"/>
    <col min="22" max="26" width="11.42578125" style="280"/>
    <col min="27" max="27" width="12.28515625" style="280" customWidth="1"/>
    <col min="28" max="28" width="11.42578125" style="280"/>
    <col min="29" max="31" width="26.42578125" style="280" customWidth="1"/>
    <col min="32" max="16384" width="11.42578125" style="280"/>
  </cols>
  <sheetData>
    <row r="1" spans="1:32" ht="13.5" thickBot="1" x14ac:dyDescent="0.25">
      <c r="H1" s="46" t="s">
        <v>214</v>
      </c>
      <c r="L1" s="280" t="s">
        <v>181</v>
      </c>
      <c r="M1" s="280" t="s">
        <v>182</v>
      </c>
      <c r="N1" s="280" t="s">
        <v>183</v>
      </c>
      <c r="R1" s="280" t="s">
        <v>623</v>
      </c>
      <c r="S1" s="280" t="s">
        <v>624</v>
      </c>
      <c r="T1" s="280" t="s">
        <v>625</v>
      </c>
      <c r="W1" s="316" t="str">
        <f>IF($I$125=TRUE,R1,L1)</f>
        <v>Ug=</v>
      </c>
      <c r="X1" s="371" t="str">
        <f>IF($I$125=TRUE,S1,M1)</f>
        <v>Lt=</v>
      </c>
      <c r="Y1" s="371" t="str">
        <f>IF($I$125=TRUE,T1,N1)</f>
        <v>g=</v>
      </c>
    </row>
    <row r="2" spans="1:32" x14ac:dyDescent="0.2">
      <c r="B2" s="29" t="s">
        <v>178</v>
      </c>
      <c r="C2" s="30" t="s">
        <v>91</v>
      </c>
      <c r="D2" s="16" t="s">
        <v>457</v>
      </c>
      <c r="E2" s="17" t="s">
        <v>458</v>
      </c>
      <c r="F2" s="17" t="s">
        <v>459</v>
      </c>
      <c r="G2" s="18" t="s">
        <v>460</v>
      </c>
      <c r="H2" s="444" t="str">
        <f>IF($B$3=$A$3,D2,IF($B$3=$A$4,E2,IF($B$3=$A$5,F2,IF($B$3=$A$6,G2,""))))</f>
        <v>Sprache:</v>
      </c>
      <c r="I2" s="46" t="s">
        <v>194</v>
      </c>
      <c r="K2" s="34" t="s">
        <v>626</v>
      </c>
      <c r="L2" s="365"/>
      <c r="M2" s="365"/>
      <c r="N2" s="365"/>
      <c r="O2" s="365"/>
      <c r="P2" s="366"/>
      <c r="Q2" s="34" t="s">
        <v>627</v>
      </c>
      <c r="R2" s="365"/>
      <c r="S2" s="365"/>
      <c r="T2" s="365"/>
      <c r="U2" s="366"/>
      <c r="V2" s="34" t="s">
        <v>628</v>
      </c>
      <c r="W2" s="365"/>
      <c r="X2" s="365"/>
      <c r="Y2" s="365"/>
      <c r="Z2" s="365"/>
      <c r="AA2" s="366"/>
      <c r="AB2" s="445"/>
      <c r="AC2" s="445"/>
      <c r="AD2" s="445"/>
      <c r="AE2" s="445"/>
      <c r="AF2" s="445"/>
    </row>
    <row r="3" spans="1:32" x14ac:dyDescent="0.2">
      <c r="A3" s="280">
        <v>1</v>
      </c>
      <c r="B3" s="446">
        <v>1</v>
      </c>
      <c r="C3" s="447" t="s">
        <v>92</v>
      </c>
      <c r="D3" s="448" t="s">
        <v>92</v>
      </c>
      <c r="E3" s="449" t="s">
        <v>93</v>
      </c>
      <c r="F3" s="449" t="s">
        <v>94</v>
      </c>
      <c r="G3" s="450" t="s">
        <v>95</v>
      </c>
      <c r="H3" s="444" t="str">
        <f>IF($B$3=$A$3,D3,IF($B$3=$A$4,E3,IF($B$3=$A$5,F3,IF($B$3=$A$6,G3,""))))</f>
        <v>DEUTSCH</v>
      </c>
      <c r="I3" s="451"/>
      <c r="K3" s="357" t="s">
        <v>232</v>
      </c>
      <c r="L3" s="371">
        <v>1.1000000000000001</v>
      </c>
      <c r="M3" s="371">
        <v>81</v>
      </c>
      <c r="N3" s="371">
        <v>64</v>
      </c>
      <c r="O3" s="371" t="s">
        <v>233</v>
      </c>
      <c r="P3" s="372"/>
      <c r="Q3" s="357" t="s">
        <v>232</v>
      </c>
      <c r="R3" s="452">
        <v>0.34</v>
      </c>
      <c r="S3" s="371">
        <v>0.49</v>
      </c>
      <c r="T3" s="371">
        <v>0.67</v>
      </c>
      <c r="U3" s="372" t="s">
        <v>658</v>
      </c>
      <c r="V3" s="357" t="str">
        <f t="shared" ref="V3:Z25" si="0">IF($I$125=TRUE,Q3,K3)</f>
        <v>SG-01</v>
      </c>
      <c r="W3" s="316">
        <f t="shared" si="0"/>
        <v>1.1000000000000001</v>
      </c>
      <c r="X3" s="371">
        <f t="shared" si="0"/>
        <v>81</v>
      </c>
      <c r="Y3" s="371">
        <f t="shared" si="0"/>
        <v>64</v>
      </c>
      <c r="Z3" s="371" t="str">
        <f t="shared" si="0"/>
        <v>ESG 6 / 18 / ESG 6</v>
      </c>
      <c r="AA3" s="372"/>
      <c r="AB3" s="445"/>
      <c r="AC3" s="453"/>
      <c r="AD3" s="453"/>
      <c r="AE3" s="453"/>
      <c r="AF3" s="445"/>
    </row>
    <row r="4" spans="1:32" x14ac:dyDescent="0.2">
      <c r="A4" s="280">
        <v>2</v>
      </c>
      <c r="B4" s="454"/>
      <c r="C4" s="455" t="s">
        <v>93</v>
      </c>
      <c r="D4" s="357" t="s">
        <v>96</v>
      </c>
      <c r="E4" s="456" t="s">
        <v>97</v>
      </c>
      <c r="F4" s="456" t="s">
        <v>98</v>
      </c>
      <c r="G4" s="457" t="s">
        <v>99</v>
      </c>
      <c r="H4" s="444" t="str">
        <f>IF($B$3=$A$3,D4,IF($B$3=$A$4,E4,IF($B$3=$A$5,F4,IF($B$3=$A$6,G4,""))))</f>
        <v>BESTELLUNG</v>
      </c>
      <c r="I4" s="451"/>
      <c r="K4" s="281" t="s">
        <v>234</v>
      </c>
      <c r="L4" s="316">
        <v>1.1000000000000001</v>
      </c>
      <c r="M4" s="316">
        <v>80</v>
      </c>
      <c r="N4" s="316">
        <v>63</v>
      </c>
      <c r="O4" s="316" t="s">
        <v>235</v>
      </c>
      <c r="P4" s="317"/>
      <c r="Q4" s="281" t="s">
        <v>234</v>
      </c>
      <c r="R4" s="316">
        <v>0.34</v>
      </c>
      <c r="S4" s="316">
        <v>0.48</v>
      </c>
      <c r="T4" s="316">
        <v>0.66</v>
      </c>
      <c r="U4" s="317" t="s">
        <v>659</v>
      </c>
      <c r="V4" s="281" t="str">
        <f t="shared" si="0"/>
        <v>SG-02</v>
      </c>
      <c r="W4" s="316">
        <f t="shared" si="0"/>
        <v>1.1000000000000001</v>
      </c>
      <c r="X4" s="316">
        <f t="shared" si="0"/>
        <v>80</v>
      </c>
      <c r="Y4" s="316">
        <f t="shared" si="0"/>
        <v>63</v>
      </c>
      <c r="Z4" s="316" t="str">
        <f t="shared" si="0"/>
        <v>ESG 8 / 14 / ESG 8</v>
      </c>
      <c r="AA4" s="317"/>
      <c r="AB4" s="722"/>
      <c r="AC4" s="458"/>
      <c r="AD4" s="458"/>
      <c r="AE4" s="458"/>
      <c r="AF4" s="445"/>
    </row>
    <row r="5" spans="1:32" x14ac:dyDescent="0.2">
      <c r="A5" s="280">
        <v>3</v>
      </c>
      <c r="B5" s="454"/>
      <c r="C5" s="455" t="s">
        <v>94</v>
      </c>
      <c r="D5" s="281" t="s">
        <v>0</v>
      </c>
      <c r="E5" s="316" t="s">
        <v>1</v>
      </c>
      <c r="F5" s="316" t="s">
        <v>101</v>
      </c>
      <c r="G5" s="317" t="s">
        <v>100</v>
      </c>
      <c r="H5" s="444" t="str">
        <f>IF($B$3=$A$3,D5,IF($B$3=$A$4,E5,IF($B$3=$A$5,F5,IF($B$3=$A$6,G5,""))))</f>
        <v>Gemäss Zeichnung Nr.:</v>
      </c>
      <c r="I5" s="451" t="b">
        <v>0</v>
      </c>
      <c r="K5" s="281" t="s">
        <v>236</v>
      </c>
      <c r="L5" s="316">
        <v>1.1000000000000001</v>
      </c>
      <c r="M5" s="316">
        <v>80</v>
      </c>
      <c r="N5" s="316">
        <v>64</v>
      </c>
      <c r="O5" s="316" t="s">
        <v>237</v>
      </c>
      <c r="P5" s="317"/>
      <c r="Q5" s="281" t="s">
        <v>236</v>
      </c>
      <c r="R5" s="316">
        <v>0.34</v>
      </c>
      <c r="S5" s="316">
        <v>0.49</v>
      </c>
      <c r="T5" s="316">
        <v>0.68</v>
      </c>
      <c r="U5" s="317" t="s">
        <v>660</v>
      </c>
      <c r="V5" s="281" t="str">
        <f t="shared" si="0"/>
        <v>SG-03</v>
      </c>
      <c r="W5" s="316">
        <f t="shared" si="0"/>
        <v>1.1000000000000001</v>
      </c>
      <c r="X5" s="316">
        <f t="shared" si="0"/>
        <v>80</v>
      </c>
      <c r="Y5" s="316">
        <f t="shared" si="0"/>
        <v>64</v>
      </c>
      <c r="Z5" s="316" t="str">
        <f t="shared" si="0"/>
        <v>ESG 8 / 16 / ESG 6</v>
      </c>
      <c r="AA5" s="317"/>
      <c r="AB5" s="722"/>
      <c r="AC5" s="458"/>
      <c r="AD5" s="458"/>
      <c r="AE5" s="458"/>
      <c r="AF5" s="445"/>
    </row>
    <row r="6" spans="1:32" ht="13.5" thickBot="1" x14ac:dyDescent="0.25">
      <c r="A6" s="280">
        <v>4</v>
      </c>
      <c r="B6" s="459"/>
      <c r="C6" s="460" t="s">
        <v>95</v>
      </c>
      <c r="D6" s="281" t="s">
        <v>102</v>
      </c>
      <c r="E6" s="316" t="s">
        <v>103</v>
      </c>
      <c r="F6" s="316" t="s">
        <v>104</v>
      </c>
      <c r="G6" s="317" t="s">
        <v>376</v>
      </c>
      <c r="H6" s="444" t="str">
        <f>IF($B$3=$A$3,D6,IF($B$3=$A$4,E6,IF($B$3=$A$5,F6,IF($B$3=$A$6,G6,""))))</f>
        <v>Gemäss Skizze: (Ansicht von Aussen)</v>
      </c>
      <c r="I6" s="451" t="b">
        <v>0</v>
      </c>
      <c r="K6" s="281" t="s">
        <v>238</v>
      </c>
      <c r="L6" s="316">
        <v>1.1000000000000001</v>
      </c>
      <c r="M6" s="316">
        <v>80</v>
      </c>
      <c r="N6" s="316">
        <v>62</v>
      </c>
      <c r="O6" s="316" t="s">
        <v>239</v>
      </c>
      <c r="P6" s="317"/>
      <c r="Q6" s="281" t="s">
        <v>238</v>
      </c>
      <c r="R6" s="316">
        <v>0.34</v>
      </c>
      <c r="S6" s="316">
        <v>0.48</v>
      </c>
      <c r="T6" s="316">
        <v>0.66</v>
      </c>
      <c r="U6" s="317" t="s">
        <v>661</v>
      </c>
      <c r="V6" s="281" t="str">
        <f t="shared" si="0"/>
        <v>SG-04</v>
      </c>
      <c r="W6" s="316">
        <f t="shared" si="0"/>
        <v>1.1000000000000001</v>
      </c>
      <c r="X6" s="316">
        <f t="shared" si="0"/>
        <v>80</v>
      </c>
      <c r="Y6" s="316">
        <f t="shared" si="0"/>
        <v>62</v>
      </c>
      <c r="Z6" s="316" t="str">
        <f t="shared" si="0"/>
        <v>ESG 10 / 14 / ESG 6</v>
      </c>
      <c r="AA6" s="317"/>
      <c r="AB6" s="722"/>
      <c r="AC6" s="458"/>
      <c r="AD6" s="458"/>
      <c r="AE6" s="458"/>
      <c r="AF6" s="445"/>
    </row>
    <row r="7" spans="1:32" ht="13.5" thickBot="1" x14ac:dyDescent="0.25">
      <c r="D7" s="281" t="s">
        <v>513</v>
      </c>
      <c r="E7" s="316" t="s">
        <v>514</v>
      </c>
      <c r="F7" s="316" t="s">
        <v>515</v>
      </c>
      <c r="G7" s="317" t="s">
        <v>516</v>
      </c>
      <c r="H7" s="444" t="str">
        <f t="shared" ref="H7:H71" si="1">IF($B$3=$A$3,D7,IF($B$3=$A$4,E7,IF($B$3=$A$5,F7,IF($B$3=$A$6,G7,""))))</f>
        <v xml:space="preserve">Objekt: </v>
      </c>
      <c r="I7" s="451"/>
      <c r="K7" s="281" t="s">
        <v>240</v>
      </c>
      <c r="L7" s="316">
        <v>1.1000000000000001</v>
      </c>
      <c r="M7" s="316">
        <v>80</v>
      </c>
      <c r="N7" s="316" t="s">
        <v>800</v>
      </c>
      <c r="O7" s="316" t="s">
        <v>241</v>
      </c>
      <c r="P7" s="317"/>
      <c r="Q7" s="281" t="s">
        <v>240</v>
      </c>
      <c r="R7" s="316">
        <v>0.34</v>
      </c>
      <c r="S7" s="316">
        <v>0.47</v>
      </c>
      <c r="T7" s="316">
        <v>0.66</v>
      </c>
      <c r="U7" s="317" t="s">
        <v>662</v>
      </c>
      <c r="V7" s="281" t="str">
        <f t="shared" si="0"/>
        <v>SG-05</v>
      </c>
      <c r="W7" s="316">
        <f t="shared" si="0"/>
        <v>1.1000000000000001</v>
      </c>
      <c r="X7" s="316">
        <f t="shared" si="0"/>
        <v>80</v>
      </c>
      <c r="Y7" s="316" t="str">
        <f t="shared" si="0"/>
        <v>59/64</v>
      </c>
      <c r="Z7" s="316" t="str">
        <f t="shared" si="0"/>
        <v>V-F 8-2 / 14 / ESG 6</v>
      </c>
      <c r="AA7" s="317"/>
      <c r="AB7" s="722"/>
      <c r="AC7" s="458"/>
      <c r="AD7" s="458"/>
      <c r="AE7" s="458"/>
      <c r="AF7" s="445"/>
    </row>
    <row r="8" spans="1:32" x14ac:dyDescent="0.2">
      <c r="B8" s="16" t="s">
        <v>186</v>
      </c>
      <c r="C8" s="18" t="s">
        <v>190</v>
      </c>
      <c r="D8" s="281" t="s">
        <v>184</v>
      </c>
      <c r="E8" s="316" t="s">
        <v>185</v>
      </c>
      <c r="F8" s="316" t="s">
        <v>105</v>
      </c>
      <c r="G8" s="317" t="s">
        <v>106</v>
      </c>
      <c r="H8" s="444" t="str">
        <f t="shared" si="1"/>
        <v>Bestelldatum:</v>
      </c>
      <c r="I8" s="451"/>
      <c r="K8" s="281" t="s">
        <v>242</v>
      </c>
      <c r="L8" s="316">
        <v>1.1000000000000001</v>
      </c>
      <c r="M8" s="316">
        <v>79</v>
      </c>
      <c r="N8" s="316" t="s">
        <v>801</v>
      </c>
      <c r="O8" s="316" t="s">
        <v>243</v>
      </c>
      <c r="P8" s="317"/>
      <c r="Q8" s="281" t="s">
        <v>242</v>
      </c>
      <c r="R8" s="316">
        <v>0.33</v>
      </c>
      <c r="S8" s="316">
        <v>0.46</v>
      </c>
      <c r="T8" s="316">
        <v>0.65</v>
      </c>
      <c r="U8" s="317" t="s">
        <v>663</v>
      </c>
      <c r="V8" s="281" t="str">
        <f t="shared" si="0"/>
        <v>SG-06</v>
      </c>
      <c r="W8" s="316">
        <f t="shared" si="0"/>
        <v>1.1000000000000001</v>
      </c>
      <c r="X8" s="316">
        <f t="shared" si="0"/>
        <v>79</v>
      </c>
      <c r="Y8" s="316" t="str">
        <f t="shared" si="0"/>
        <v>59/62</v>
      </c>
      <c r="Z8" s="316" t="str">
        <f t="shared" si="0"/>
        <v>V-F 8-2 / 14 / ESG 8</v>
      </c>
      <c r="AA8" s="317"/>
      <c r="AB8" s="722"/>
      <c r="AC8" s="458"/>
      <c r="AD8" s="458"/>
      <c r="AE8" s="458"/>
      <c r="AF8" s="445"/>
    </row>
    <row r="9" spans="1:32" ht="13.5" thickBot="1" x14ac:dyDescent="0.25">
      <c r="B9" s="357" t="s">
        <v>841</v>
      </c>
      <c r="C9" s="358" t="s">
        <v>842</v>
      </c>
      <c r="D9" s="281" t="s">
        <v>2</v>
      </c>
      <c r="E9" s="316" t="s">
        <v>3</v>
      </c>
      <c r="F9" s="316" t="s">
        <v>4</v>
      </c>
      <c r="G9" s="317" t="s">
        <v>107</v>
      </c>
      <c r="H9" s="444" t="str">
        <f t="shared" si="1"/>
        <v>Projekt-Nr.:</v>
      </c>
      <c r="I9" s="451"/>
      <c r="K9" s="281" t="s">
        <v>244</v>
      </c>
      <c r="L9" s="316">
        <v>1.1000000000000001</v>
      </c>
      <c r="M9" s="316">
        <v>81</v>
      </c>
      <c r="N9" s="316">
        <v>64</v>
      </c>
      <c r="O9" s="316" t="s">
        <v>245</v>
      </c>
      <c r="P9" s="317"/>
      <c r="Q9" s="281">
        <v>0</v>
      </c>
      <c r="R9" s="316">
        <v>0</v>
      </c>
      <c r="S9" s="316">
        <v>0</v>
      </c>
      <c r="T9" s="316">
        <v>0</v>
      </c>
      <c r="U9" s="317" t="str">
        <f>$H$54</f>
        <v>Glastyp wählen</v>
      </c>
      <c r="V9" s="281" t="str">
        <f t="shared" si="0"/>
        <v>SG-07</v>
      </c>
      <c r="W9" s="316">
        <f t="shared" si="0"/>
        <v>1.1000000000000001</v>
      </c>
      <c r="X9" s="316">
        <f t="shared" si="0"/>
        <v>81</v>
      </c>
      <c r="Y9" s="316">
        <f t="shared" si="0"/>
        <v>64</v>
      </c>
      <c r="Z9" s="316" t="str">
        <f t="shared" si="0"/>
        <v>ESG 6 / 14 / V-WG 8-2</v>
      </c>
      <c r="AA9" s="317"/>
      <c r="AB9" s="722"/>
      <c r="AC9" s="458"/>
      <c r="AD9" s="458"/>
      <c r="AE9" s="458"/>
      <c r="AF9" s="445"/>
    </row>
    <row r="10" spans="1:32" x14ac:dyDescent="0.2">
      <c r="A10" s="57" t="s">
        <v>44</v>
      </c>
      <c r="B10" s="461" t="s">
        <v>187</v>
      </c>
      <c r="C10" s="462" t="s">
        <v>191</v>
      </c>
      <c r="D10" s="281" t="s">
        <v>5</v>
      </c>
      <c r="E10" s="316" t="s">
        <v>6</v>
      </c>
      <c r="F10" s="316" t="s">
        <v>7</v>
      </c>
      <c r="G10" s="317" t="s">
        <v>352</v>
      </c>
      <c r="H10" s="444" t="str">
        <f t="shared" si="1"/>
        <v>2-gleisig</v>
      </c>
      <c r="I10" s="463" t="b">
        <v>0</v>
      </c>
      <c r="K10" s="281" t="s">
        <v>246</v>
      </c>
      <c r="L10" s="52">
        <v>1.1000000000000001</v>
      </c>
      <c r="M10" s="316">
        <v>81</v>
      </c>
      <c r="N10" s="316">
        <v>63</v>
      </c>
      <c r="O10" s="316" t="s">
        <v>840</v>
      </c>
      <c r="P10" s="317"/>
      <c r="Q10" s="281" t="s">
        <v>247</v>
      </c>
      <c r="R10" s="316">
        <v>0.34</v>
      </c>
      <c r="S10" s="316">
        <v>0.41</v>
      </c>
      <c r="T10" s="316">
        <v>0.59</v>
      </c>
      <c r="U10" s="317" t="s">
        <v>657</v>
      </c>
      <c r="V10" s="281" t="str">
        <f t="shared" si="0"/>
        <v>SG-08</v>
      </c>
      <c r="W10" s="316">
        <f t="shared" si="0"/>
        <v>1.1000000000000001</v>
      </c>
      <c r="X10" s="316">
        <f t="shared" si="0"/>
        <v>81</v>
      </c>
      <c r="Y10" s="316">
        <f t="shared" si="0"/>
        <v>63</v>
      </c>
      <c r="Z10" s="316" t="str">
        <f t="shared" si="0"/>
        <v>ESG 8 / 14 / V-WG 8-2</v>
      </c>
      <c r="AA10" s="317"/>
      <c r="AB10" s="722"/>
      <c r="AC10" s="458"/>
      <c r="AD10" s="458"/>
      <c r="AE10" s="458"/>
      <c r="AF10" s="445"/>
    </row>
    <row r="11" spans="1:32" x14ac:dyDescent="0.2">
      <c r="A11" s="464"/>
      <c r="B11" s="465" t="s">
        <v>188</v>
      </c>
      <c r="C11" s="466" t="s">
        <v>192</v>
      </c>
      <c r="D11" s="281" t="s">
        <v>8</v>
      </c>
      <c r="E11" s="316" t="s">
        <v>9</v>
      </c>
      <c r="F11" s="316" t="s">
        <v>790</v>
      </c>
      <c r="G11" s="317" t="s">
        <v>353</v>
      </c>
      <c r="H11" s="444" t="str">
        <f t="shared" si="1"/>
        <v>3-gleisig</v>
      </c>
      <c r="I11" s="463" t="b">
        <v>0</v>
      </c>
      <c r="K11" s="281">
        <v>0</v>
      </c>
      <c r="L11" s="316">
        <v>0</v>
      </c>
      <c r="M11" s="316">
        <v>0</v>
      </c>
      <c r="N11" s="316">
        <v>0</v>
      </c>
      <c r="O11" s="316" t="str">
        <f>$H$54</f>
        <v>Glastyp wählen</v>
      </c>
      <c r="P11" s="317"/>
      <c r="Q11" s="281" t="s">
        <v>248</v>
      </c>
      <c r="R11" s="316">
        <v>0.33</v>
      </c>
      <c r="S11" s="316">
        <v>0.4</v>
      </c>
      <c r="T11" s="316">
        <v>0.57999999999999996</v>
      </c>
      <c r="U11" s="317" t="s">
        <v>664</v>
      </c>
      <c r="V11" s="281">
        <f t="shared" si="0"/>
        <v>0</v>
      </c>
      <c r="W11" s="316">
        <f t="shared" si="0"/>
        <v>0</v>
      </c>
      <c r="X11" s="316">
        <f t="shared" si="0"/>
        <v>0</v>
      </c>
      <c r="Y11" s="316">
        <f t="shared" si="0"/>
        <v>0</v>
      </c>
      <c r="Z11" s="316" t="str">
        <f t="shared" si="0"/>
        <v>Glastyp wählen</v>
      </c>
      <c r="AA11" s="317"/>
      <c r="AB11" s="722"/>
      <c r="AC11" s="458"/>
      <c r="AD11" s="458"/>
      <c r="AE11" s="458"/>
      <c r="AF11" s="445"/>
    </row>
    <row r="12" spans="1:32" x14ac:dyDescent="0.2">
      <c r="A12" s="444" t="s">
        <v>180</v>
      </c>
      <c r="B12" s="465" t="s">
        <v>189</v>
      </c>
      <c r="C12" s="466" t="s">
        <v>193</v>
      </c>
      <c r="D12" s="281" t="s">
        <v>10</v>
      </c>
      <c r="E12" s="316" t="s">
        <v>11</v>
      </c>
      <c r="F12" s="316" t="s">
        <v>791</v>
      </c>
      <c r="G12" s="317" t="s">
        <v>354</v>
      </c>
      <c r="H12" s="444" t="str">
        <f t="shared" si="1"/>
        <v>4-gleisig</v>
      </c>
      <c r="I12" s="463" t="b">
        <v>0</v>
      </c>
      <c r="K12" s="281" t="s">
        <v>247</v>
      </c>
      <c r="L12" s="316">
        <v>1</v>
      </c>
      <c r="M12" s="316">
        <v>71</v>
      </c>
      <c r="N12" s="316">
        <v>52</v>
      </c>
      <c r="O12" s="316" t="s">
        <v>233</v>
      </c>
      <c r="P12" s="317"/>
      <c r="Q12" s="281" t="s">
        <v>249</v>
      </c>
      <c r="R12" s="316">
        <v>0.34</v>
      </c>
      <c r="S12" s="316">
        <v>0.4</v>
      </c>
      <c r="T12" s="316">
        <v>0.57999999999999996</v>
      </c>
      <c r="U12" s="317" t="s">
        <v>665</v>
      </c>
      <c r="V12" s="281" t="str">
        <f t="shared" si="0"/>
        <v>SG-11</v>
      </c>
      <c r="W12" s="316">
        <f t="shared" si="0"/>
        <v>1</v>
      </c>
      <c r="X12" s="316">
        <f t="shared" si="0"/>
        <v>71</v>
      </c>
      <c r="Y12" s="316">
        <f t="shared" si="0"/>
        <v>52</v>
      </c>
      <c r="Z12" s="316" t="str">
        <f t="shared" si="0"/>
        <v>ESG 6 / 18 / ESG 6</v>
      </c>
      <c r="AA12" s="317"/>
      <c r="AB12" s="722"/>
      <c r="AC12" s="458"/>
      <c r="AD12" s="458"/>
      <c r="AE12" s="458"/>
      <c r="AF12" s="445"/>
    </row>
    <row r="13" spans="1:32" x14ac:dyDescent="0.2">
      <c r="A13" s="444" t="s">
        <v>225</v>
      </c>
      <c r="B13" s="467" t="s">
        <v>453</v>
      </c>
      <c r="C13" s="468" t="s">
        <v>452</v>
      </c>
      <c r="D13" s="281" t="s">
        <v>12</v>
      </c>
      <c r="E13" s="316" t="s">
        <v>13</v>
      </c>
      <c r="F13" s="316" t="s">
        <v>14</v>
      </c>
      <c r="G13" s="317" t="s">
        <v>108</v>
      </c>
      <c r="H13" s="444" t="str">
        <f t="shared" si="1"/>
        <v>Teilung Achsmasse</v>
      </c>
      <c r="I13" s="451" t="b">
        <v>0</v>
      </c>
      <c r="K13" s="281" t="s">
        <v>248</v>
      </c>
      <c r="L13" s="316">
        <v>1.1000000000000001</v>
      </c>
      <c r="M13" s="316">
        <v>70</v>
      </c>
      <c r="N13" s="316">
        <v>51</v>
      </c>
      <c r="O13" s="316" t="s">
        <v>235</v>
      </c>
      <c r="P13" s="317"/>
      <c r="Q13" s="281" t="s">
        <v>250</v>
      </c>
      <c r="R13" s="316">
        <v>0.33</v>
      </c>
      <c r="S13" s="316">
        <v>0.4</v>
      </c>
      <c r="T13" s="316">
        <v>0.57999999999999996</v>
      </c>
      <c r="U13" s="317" t="s">
        <v>666</v>
      </c>
      <c r="V13" s="281" t="str">
        <f t="shared" si="0"/>
        <v>SG-12</v>
      </c>
      <c r="W13" s="316">
        <f t="shared" si="0"/>
        <v>1.1000000000000001</v>
      </c>
      <c r="X13" s="316">
        <f t="shared" si="0"/>
        <v>70</v>
      </c>
      <c r="Y13" s="316">
        <f t="shared" si="0"/>
        <v>51</v>
      </c>
      <c r="Z13" s="316" t="str">
        <f t="shared" si="0"/>
        <v>ESG 8 / 14 / ESG 8</v>
      </c>
      <c r="AA13" s="317"/>
      <c r="AB13" s="722"/>
      <c r="AC13" s="458"/>
      <c r="AD13" s="458"/>
      <c r="AE13" s="458"/>
      <c r="AF13" s="445"/>
    </row>
    <row r="14" spans="1:32" ht="13.5" thickBot="1" x14ac:dyDescent="0.25">
      <c r="A14" s="444" t="s">
        <v>224</v>
      </c>
      <c r="B14" s="374" t="s">
        <v>454</v>
      </c>
      <c r="C14" s="469" t="s">
        <v>451</v>
      </c>
      <c r="D14" s="281" t="s">
        <v>110</v>
      </c>
      <c r="E14" s="316" t="s">
        <v>109</v>
      </c>
      <c r="F14" s="5" t="s">
        <v>15</v>
      </c>
      <c r="G14" s="59" t="s">
        <v>377</v>
      </c>
      <c r="H14" s="444" t="str">
        <f t="shared" si="1"/>
        <v>alle Gläser gleiche Breite (Empfehlung)</v>
      </c>
      <c r="I14" s="451" t="b">
        <v>0</v>
      </c>
      <c r="K14" s="281" t="s">
        <v>249</v>
      </c>
      <c r="L14" s="316">
        <v>1</v>
      </c>
      <c r="M14" s="316">
        <v>71</v>
      </c>
      <c r="N14" s="316">
        <v>52</v>
      </c>
      <c r="O14" s="316" t="s">
        <v>237</v>
      </c>
      <c r="P14" s="317"/>
      <c r="Q14" s="281" t="s">
        <v>251</v>
      </c>
      <c r="R14" s="316">
        <v>0.33</v>
      </c>
      <c r="S14" s="316">
        <v>0.39</v>
      </c>
      <c r="T14" s="316">
        <v>0.56999999999999995</v>
      </c>
      <c r="U14" s="317" t="s">
        <v>667</v>
      </c>
      <c r="V14" s="281" t="str">
        <f t="shared" si="0"/>
        <v>SG-13</v>
      </c>
      <c r="W14" s="316">
        <f t="shared" si="0"/>
        <v>1</v>
      </c>
      <c r="X14" s="316">
        <f t="shared" si="0"/>
        <v>71</v>
      </c>
      <c r="Y14" s="316">
        <f t="shared" si="0"/>
        <v>52</v>
      </c>
      <c r="Z14" s="316" t="str">
        <f t="shared" si="0"/>
        <v>ESG 8 / 16 / ESG 6</v>
      </c>
      <c r="AA14" s="317"/>
      <c r="AB14" s="722"/>
      <c r="AC14" s="458"/>
      <c r="AD14" s="458"/>
      <c r="AE14" s="458"/>
      <c r="AF14" s="445"/>
    </row>
    <row r="15" spans="1:32" x14ac:dyDescent="0.2">
      <c r="A15" s="444" t="s">
        <v>226</v>
      </c>
      <c r="B15" s="86" t="s">
        <v>197</v>
      </c>
      <c r="C15" s="35"/>
      <c r="D15" s="281" t="s">
        <v>16</v>
      </c>
      <c r="E15" s="316" t="s">
        <v>16</v>
      </c>
      <c r="F15" s="316" t="s">
        <v>16</v>
      </c>
      <c r="G15" s="317" t="s">
        <v>16</v>
      </c>
      <c r="H15" s="444" t="str">
        <f t="shared" si="1"/>
        <v>Standard</v>
      </c>
      <c r="I15" s="451" t="b">
        <v>0</v>
      </c>
      <c r="K15" s="281" t="s">
        <v>250</v>
      </c>
      <c r="L15" s="316">
        <v>1.1000000000000001</v>
      </c>
      <c r="M15" s="316">
        <v>70</v>
      </c>
      <c r="N15" s="316">
        <v>50</v>
      </c>
      <c r="O15" s="316" t="s">
        <v>239</v>
      </c>
      <c r="P15" s="317"/>
      <c r="Q15" s="281" t="s">
        <v>252</v>
      </c>
      <c r="R15" s="316">
        <v>0.33</v>
      </c>
      <c r="S15" s="316">
        <v>0.39</v>
      </c>
      <c r="T15" s="316">
        <v>0.56999999999999995</v>
      </c>
      <c r="U15" s="317" t="s">
        <v>668</v>
      </c>
      <c r="V15" s="281" t="str">
        <f t="shared" si="0"/>
        <v>SG-14</v>
      </c>
      <c r="W15" s="316">
        <f t="shared" si="0"/>
        <v>1.1000000000000001</v>
      </c>
      <c r="X15" s="316">
        <f t="shared" si="0"/>
        <v>70</v>
      </c>
      <c r="Y15" s="316">
        <f t="shared" si="0"/>
        <v>50</v>
      </c>
      <c r="Z15" s="316" t="str">
        <f t="shared" si="0"/>
        <v>ESG 10 / 14 / ESG 6</v>
      </c>
      <c r="AA15" s="317"/>
      <c r="AB15" s="722"/>
      <c r="AC15" s="458"/>
      <c r="AD15" s="458"/>
      <c r="AE15" s="458"/>
      <c r="AF15" s="445"/>
    </row>
    <row r="16" spans="1:32" x14ac:dyDescent="0.2">
      <c r="A16" s="444" t="s">
        <v>227</v>
      </c>
      <c r="B16" s="470" t="s">
        <v>198</v>
      </c>
      <c r="C16" s="462">
        <f>IF(AND($I$20=TRUE,OR('Pos. 3'!$F$10='Sprachen &amp; Rückgabewerte(3)'!$B$10,'Pos. 3'!$F$10='Sprachen &amp; Rückgabewerte(3)'!$B$11)),1,0)</f>
        <v>0</v>
      </c>
      <c r="D16" s="281" t="s">
        <v>17</v>
      </c>
      <c r="E16" s="316" t="s">
        <v>18</v>
      </c>
      <c r="F16" s="316" t="s">
        <v>19</v>
      </c>
      <c r="G16" s="317" t="s">
        <v>355</v>
      </c>
      <c r="H16" s="444" t="str">
        <f t="shared" si="1"/>
        <v>Einbruchschutz RC2</v>
      </c>
      <c r="I16" s="451" t="b">
        <v>0</v>
      </c>
      <c r="K16" s="281" t="s">
        <v>251</v>
      </c>
      <c r="L16" s="316">
        <v>1</v>
      </c>
      <c r="M16" s="316">
        <v>70</v>
      </c>
      <c r="N16" s="316" t="s">
        <v>803</v>
      </c>
      <c r="O16" s="316" t="s">
        <v>241</v>
      </c>
      <c r="P16" s="317"/>
      <c r="Q16" s="281">
        <v>0</v>
      </c>
      <c r="R16" s="316">
        <v>0</v>
      </c>
      <c r="S16" s="316">
        <v>0</v>
      </c>
      <c r="T16" s="316">
        <v>0</v>
      </c>
      <c r="U16" s="317" t="str">
        <f t="shared" ref="U16:U23" si="2">$H$54</f>
        <v>Glastyp wählen</v>
      </c>
      <c r="V16" s="281" t="str">
        <f t="shared" si="0"/>
        <v>SG-15</v>
      </c>
      <c r="W16" s="316">
        <f t="shared" si="0"/>
        <v>1</v>
      </c>
      <c r="X16" s="316">
        <f t="shared" si="0"/>
        <v>70</v>
      </c>
      <c r="Y16" s="316" t="str">
        <f t="shared" si="0"/>
        <v>48/51</v>
      </c>
      <c r="Z16" s="316" t="str">
        <f t="shared" si="0"/>
        <v>V-F 8-2 / 14 / ESG 6</v>
      </c>
      <c r="AA16" s="317"/>
      <c r="AB16" s="722"/>
      <c r="AC16" s="458"/>
      <c r="AD16" s="458"/>
      <c r="AE16" s="458"/>
      <c r="AF16" s="445"/>
    </row>
    <row r="17" spans="1:32" x14ac:dyDescent="0.2">
      <c r="A17" s="444" t="s">
        <v>228</v>
      </c>
      <c r="B17" s="465" t="s">
        <v>199</v>
      </c>
      <c r="C17" s="466">
        <f>IF(AND($I$20=TRUE,OR('Pos. 3'!$J$10='Sprachen &amp; Rückgabewerte(3)'!$B$10,'Pos. 3'!$J$10='Sprachen &amp; Rückgabewerte(3)'!$B$11)),1,0)</f>
        <v>0</v>
      </c>
      <c r="D17" s="281" t="s">
        <v>346</v>
      </c>
      <c r="E17" s="316" t="s">
        <v>20</v>
      </c>
      <c r="F17" s="316" t="s">
        <v>21</v>
      </c>
      <c r="G17" s="317" t="s">
        <v>125</v>
      </c>
      <c r="H17" s="444" t="str">
        <f t="shared" si="1"/>
        <v>Positionsüberwachung (P)</v>
      </c>
      <c r="I17" s="451" t="b">
        <v>0</v>
      </c>
      <c r="K17" s="281" t="s">
        <v>252</v>
      </c>
      <c r="L17" s="316">
        <v>1</v>
      </c>
      <c r="M17" s="316">
        <v>70</v>
      </c>
      <c r="N17" s="316" t="s">
        <v>802</v>
      </c>
      <c r="O17" s="316" t="s">
        <v>243</v>
      </c>
      <c r="P17" s="317"/>
      <c r="Q17" s="281" t="s">
        <v>253</v>
      </c>
      <c r="R17" s="316">
        <v>0.34</v>
      </c>
      <c r="S17" s="316">
        <v>0.26</v>
      </c>
      <c r="T17" s="316">
        <v>0.53</v>
      </c>
      <c r="U17" s="317" t="s">
        <v>669</v>
      </c>
      <c r="V17" s="281" t="str">
        <f t="shared" si="0"/>
        <v>SG-16</v>
      </c>
      <c r="W17" s="316">
        <f t="shared" si="0"/>
        <v>1</v>
      </c>
      <c r="X17" s="316">
        <f t="shared" si="0"/>
        <v>70</v>
      </c>
      <c r="Y17" s="316" t="str">
        <f t="shared" si="0"/>
        <v>48/50</v>
      </c>
      <c r="Z17" s="316" t="str">
        <f t="shared" si="0"/>
        <v>V-F 8-2 / 14 / ESG 8</v>
      </c>
      <c r="AA17" s="317"/>
      <c r="AB17" s="722"/>
      <c r="AC17" s="458"/>
      <c r="AD17" s="458"/>
      <c r="AE17" s="458"/>
      <c r="AF17" s="445"/>
    </row>
    <row r="18" spans="1:32" x14ac:dyDescent="0.2">
      <c r="A18" s="444" t="s">
        <v>229</v>
      </c>
      <c r="B18" s="465" t="s">
        <v>200</v>
      </c>
      <c r="C18" s="466">
        <f>IF(AND($I$20=TRUE,OR('Pos. 3'!$N$10='Sprachen &amp; Rückgabewerte(3)'!$B$10,'Pos. 3'!$N$10='Sprachen &amp; Rückgabewerte(3)'!$B$11)),1,0)</f>
        <v>0</v>
      </c>
      <c r="D18" s="281" t="s">
        <v>347</v>
      </c>
      <c r="E18" s="316" t="s">
        <v>22</v>
      </c>
      <c r="F18" s="316" t="s">
        <v>348</v>
      </c>
      <c r="G18" s="317" t="s">
        <v>126</v>
      </c>
      <c r="H18" s="444" t="str">
        <f t="shared" si="1"/>
        <v xml:space="preserve">Riegelüberwachung (R) </v>
      </c>
      <c r="I18" s="451" t="b">
        <v>0</v>
      </c>
      <c r="K18" s="281">
        <v>0</v>
      </c>
      <c r="L18" s="316">
        <v>0</v>
      </c>
      <c r="M18" s="316">
        <v>0</v>
      </c>
      <c r="N18" s="316"/>
      <c r="O18" s="316" t="str">
        <f>$H$54</f>
        <v>Glastyp wählen</v>
      </c>
      <c r="P18" s="317"/>
      <c r="Q18" s="281" t="s">
        <v>254</v>
      </c>
      <c r="R18" s="316">
        <v>0.33</v>
      </c>
      <c r="S18" s="316">
        <v>0.26</v>
      </c>
      <c r="T18" s="316">
        <v>0.52</v>
      </c>
      <c r="U18" s="317" t="s">
        <v>670</v>
      </c>
      <c r="V18" s="281">
        <f t="shared" si="0"/>
        <v>0</v>
      </c>
      <c r="W18" s="316">
        <f t="shared" si="0"/>
        <v>0</v>
      </c>
      <c r="X18" s="316">
        <f t="shared" si="0"/>
        <v>0</v>
      </c>
      <c r="Y18" s="316">
        <f t="shared" si="0"/>
        <v>0</v>
      </c>
      <c r="Z18" s="316" t="str">
        <f t="shared" si="0"/>
        <v>Glastyp wählen</v>
      </c>
      <c r="AA18" s="317"/>
      <c r="AB18" s="722"/>
      <c r="AC18" s="458"/>
      <c r="AD18" s="458"/>
      <c r="AE18" s="458"/>
      <c r="AF18" s="445"/>
    </row>
    <row r="19" spans="1:32" x14ac:dyDescent="0.2">
      <c r="A19" s="444"/>
      <c r="B19" s="465" t="s">
        <v>201</v>
      </c>
      <c r="C19" s="466">
        <f>IF(AND($I$20=TRUE,OR('Pos. 3'!$R$10='Sprachen &amp; Rückgabewerte(3)'!$B$10,'Pos. 3'!$R$10='Sprachen &amp; Rückgabewerte(3)'!$B$11)),1,0)</f>
        <v>0</v>
      </c>
      <c r="D19" s="281" t="s">
        <v>349</v>
      </c>
      <c r="E19" s="316" t="s">
        <v>23</v>
      </c>
      <c r="F19" s="316" t="s">
        <v>24</v>
      </c>
      <c r="G19" s="317" t="s">
        <v>124</v>
      </c>
      <c r="H19" s="444" t="str">
        <f t="shared" si="1"/>
        <v>Glasbruchüberwachung (G)</v>
      </c>
      <c r="I19" s="451" t="b">
        <v>0</v>
      </c>
      <c r="K19" s="281" t="s">
        <v>253</v>
      </c>
      <c r="L19" s="316">
        <v>1</v>
      </c>
      <c r="M19" s="316">
        <v>61</v>
      </c>
      <c r="N19" s="316">
        <v>28</v>
      </c>
      <c r="O19" s="316" t="s">
        <v>233</v>
      </c>
      <c r="P19" s="317"/>
      <c r="Q19" s="281" t="s">
        <v>255</v>
      </c>
      <c r="R19" s="316">
        <v>0.34</v>
      </c>
      <c r="S19" s="316">
        <v>0.26</v>
      </c>
      <c r="T19" s="316">
        <v>0.52</v>
      </c>
      <c r="U19" s="317" t="s">
        <v>671</v>
      </c>
      <c r="V19" s="281" t="str">
        <f t="shared" si="0"/>
        <v>SG-21</v>
      </c>
      <c r="W19" s="316">
        <f t="shared" si="0"/>
        <v>1</v>
      </c>
      <c r="X19" s="316">
        <f t="shared" si="0"/>
        <v>61</v>
      </c>
      <c r="Y19" s="316">
        <f t="shared" si="0"/>
        <v>28</v>
      </c>
      <c r="Z19" s="316" t="str">
        <f t="shared" si="0"/>
        <v>ESG 6 / 18 / ESG 6</v>
      </c>
      <c r="AA19" s="317"/>
      <c r="AB19" s="445"/>
      <c r="AC19" s="445"/>
      <c r="AD19" s="445"/>
      <c r="AE19" s="445"/>
      <c r="AF19" s="445"/>
    </row>
    <row r="20" spans="1:32" x14ac:dyDescent="0.2">
      <c r="A20" s="444" t="s">
        <v>230</v>
      </c>
      <c r="B20" s="465" t="s">
        <v>202</v>
      </c>
      <c r="C20" s="466">
        <f>IF(AND($I$20=TRUE,OR('Pos. 3'!$V$10='Sprachen &amp; Rückgabewerte(3)'!$B$10,'Pos. 3'!$V$10='Sprachen &amp; Rückgabewerte(3)'!$B$11)),1,0)</f>
        <v>0</v>
      </c>
      <c r="D20" s="281" t="s">
        <v>25</v>
      </c>
      <c r="E20" s="316" t="s">
        <v>195</v>
      </c>
      <c r="F20" s="316" t="s">
        <v>26</v>
      </c>
      <c r="G20" s="317" t="s">
        <v>127</v>
      </c>
      <c r="H20" s="444" t="str">
        <f t="shared" si="1"/>
        <v>Elektrischer Antrieb, Anzahl</v>
      </c>
      <c r="I20" s="451" t="b">
        <v>0</v>
      </c>
      <c r="K20" s="281" t="s">
        <v>254</v>
      </c>
      <c r="L20" s="316">
        <v>1.1000000000000001</v>
      </c>
      <c r="M20" s="316">
        <v>60</v>
      </c>
      <c r="N20" s="316">
        <v>28</v>
      </c>
      <c r="O20" s="316" t="s">
        <v>235</v>
      </c>
      <c r="P20" s="317"/>
      <c r="Q20" s="281" t="s">
        <v>256</v>
      </c>
      <c r="R20" s="316">
        <v>0.33</v>
      </c>
      <c r="S20" s="316">
        <v>0.26</v>
      </c>
      <c r="T20" s="316">
        <v>0.52</v>
      </c>
      <c r="U20" s="317" t="s">
        <v>672</v>
      </c>
      <c r="V20" s="281" t="str">
        <f t="shared" si="0"/>
        <v>SG-22</v>
      </c>
      <c r="W20" s="316">
        <f t="shared" si="0"/>
        <v>1.1000000000000001</v>
      </c>
      <c r="X20" s="316">
        <f t="shared" si="0"/>
        <v>60</v>
      </c>
      <c r="Y20" s="316">
        <f t="shared" si="0"/>
        <v>28</v>
      </c>
      <c r="Z20" s="316" t="str">
        <f t="shared" si="0"/>
        <v>ESG 8 / 14 / ESG 8</v>
      </c>
      <c r="AA20" s="317"/>
      <c r="AB20" s="445"/>
      <c r="AC20" s="445"/>
      <c r="AD20" s="445"/>
      <c r="AE20" s="445"/>
      <c r="AF20" s="445"/>
    </row>
    <row r="21" spans="1:32" x14ac:dyDescent="0.2">
      <c r="A21" s="444" t="s">
        <v>231</v>
      </c>
      <c r="B21" s="465" t="s">
        <v>203</v>
      </c>
      <c r="C21" s="466">
        <f>IF(AND($I$20=TRUE,OR('Pos. 3'!$Z$10='Sprachen &amp; Rückgabewerte(3)'!$B$10,'Pos. 3'!$Z$10='Sprachen &amp; Rückgabewerte(3)'!$B$11)),1,0)</f>
        <v>0</v>
      </c>
      <c r="D21" s="281" t="s">
        <v>27</v>
      </c>
      <c r="E21" s="316" t="s">
        <v>770</v>
      </c>
      <c r="F21" s="316" t="s">
        <v>28</v>
      </c>
      <c r="G21" s="317" t="s">
        <v>128</v>
      </c>
      <c r="H21" s="444" t="str">
        <f t="shared" si="1"/>
        <v>Stk.</v>
      </c>
      <c r="I21" s="451"/>
      <c r="K21" s="281" t="s">
        <v>255</v>
      </c>
      <c r="L21" s="316">
        <v>1</v>
      </c>
      <c r="M21" s="316">
        <v>60</v>
      </c>
      <c r="N21" s="316">
        <v>28</v>
      </c>
      <c r="O21" s="316" t="s">
        <v>237</v>
      </c>
      <c r="P21" s="317"/>
      <c r="Q21" s="281" t="s">
        <v>257</v>
      </c>
      <c r="R21" s="316">
        <v>0.33</v>
      </c>
      <c r="S21" s="316">
        <v>0.26</v>
      </c>
      <c r="T21" s="316">
        <v>0.52</v>
      </c>
      <c r="U21" s="317" t="s">
        <v>673</v>
      </c>
      <c r="V21" s="281" t="str">
        <f t="shared" si="0"/>
        <v>SG-23</v>
      </c>
      <c r="W21" s="316">
        <f t="shared" si="0"/>
        <v>1</v>
      </c>
      <c r="X21" s="316">
        <f t="shared" si="0"/>
        <v>60</v>
      </c>
      <c r="Y21" s="316">
        <f t="shared" si="0"/>
        <v>28</v>
      </c>
      <c r="Z21" s="316" t="str">
        <f t="shared" si="0"/>
        <v>ESG 8 / 16 / ESG 6</v>
      </c>
      <c r="AA21" s="317"/>
      <c r="AB21" s="445"/>
      <c r="AC21" s="445"/>
      <c r="AD21" s="445"/>
      <c r="AE21" s="445"/>
      <c r="AF21" s="445"/>
    </row>
    <row r="22" spans="1:32" x14ac:dyDescent="0.2">
      <c r="A22" s="444"/>
      <c r="B22" s="465" t="s">
        <v>204</v>
      </c>
      <c r="C22" s="466">
        <f>IF(AND($I$20=TRUE,OR('Pos. 3'!$AD$10='Sprachen &amp; Rückgabewerte(3)'!$B$10,'Pos. 3'!$AD$10='Sprachen &amp; Rückgabewerte(3)'!$B$11)),1,0)</f>
        <v>0</v>
      </c>
      <c r="D22" s="281" t="s">
        <v>29</v>
      </c>
      <c r="E22" s="316" t="s">
        <v>345</v>
      </c>
      <c r="F22" s="316" t="s">
        <v>344</v>
      </c>
      <c r="G22" s="317" t="s">
        <v>508</v>
      </c>
      <c r="H22" s="444" t="str">
        <f t="shared" si="1"/>
        <v>geforderte Klassen:</v>
      </c>
      <c r="I22" s="451" t="b">
        <v>0</v>
      </c>
      <c r="K22" s="281" t="s">
        <v>256</v>
      </c>
      <c r="L22" s="316">
        <v>1.1000000000000001</v>
      </c>
      <c r="M22" s="316">
        <v>60</v>
      </c>
      <c r="N22" s="316">
        <v>28</v>
      </c>
      <c r="O22" s="316" t="s">
        <v>239</v>
      </c>
      <c r="P22" s="317"/>
      <c r="Q22" s="281" t="s">
        <v>258</v>
      </c>
      <c r="R22" s="316">
        <v>0.33</v>
      </c>
      <c r="S22" s="316">
        <v>0.26</v>
      </c>
      <c r="T22" s="316">
        <v>0.51</v>
      </c>
      <c r="U22" s="317" t="s">
        <v>674</v>
      </c>
      <c r="V22" s="281" t="str">
        <f t="shared" si="0"/>
        <v>SG-24</v>
      </c>
      <c r="W22" s="316">
        <f t="shared" si="0"/>
        <v>1.1000000000000001</v>
      </c>
      <c r="X22" s="316">
        <f t="shared" si="0"/>
        <v>60</v>
      </c>
      <c r="Y22" s="316">
        <f t="shared" si="0"/>
        <v>28</v>
      </c>
      <c r="Z22" s="316" t="str">
        <f t="shared" si="0"/>
        <v>ESG 10 / 14 / ESG 6</v>
      </c>
      <c r="AA22" s="317"/>
      <c r="AB22" s="445"/>
      <c r="AC22" s="445"/>
      <c r="AD22" s="445"/>
      <c r="AE22" s="445"/>
      <c r="AF22" s="445"/>
    </row>
    <row r="23" spans="1:32" x14ac:dyDescent="0.2">
      <c r="A23" s="363">
        <v>1</v>
      </c>
      <c r="B23" s="465" t="s">
        <v>205</v>
      </c>
      <c r="C23" s="466">
        <f>IF(AND($I$20=TRUE,OR('Pos. 3'!$AH$10='Sprachen &amp; Rückgabewerte(3)'!$B$10,'Pos. 3'!$AH$10='Sprachen &amp; Rückgabewerte(3)'!$B$11)),1,0)</f>
        <v>0</v>
      </c>
      <c r="D23" s="6" t="s">
        <v>119</v>
      </c>
      <c r="E23" s="7" t="s">
        <v>121</v>
      </c>
      <c r="F23" s="7" t="s">
        <v>122</v>
      </c>
      <c r="G23" s="8" t="s">
        <v>356</v>
      </c>
      <c r="H23" s="444" t="str">
        <f t="shared" si="1"/>
        <v>(Schlagregen, Luftdurchlässigkeit)</v>
      </c>
      <c r="I23" s="451"/>
      <c r="K23" s="281" t="s">
        <v>257</v>
      </c>
      <c r="L23" s="316">
        <v>1</v>
      </c>
      <c r="M23" s="316">
        <v>61</v>
      </c>
      <c r="N23" s="316">
        <v>28</v>
      </c>
      <c r="O23" s="316" t="s">
        <v>245</v>
      </c>
      <c r="P23" s="317"/>
      <c r="Q23" s="281">
        <v>0</v>
      </c>
      <c r="R23" s="316">
        <v>0</v>
      </c>
      <c r="S23" s="316">
        <v>0</v>
      </c>
      <c r="T23" s="316">
        <v>0</v>
      </c>
      <c r="U23" s="317" t="str">
        <f t="shared" si="2"/>
        <v>Glastyp wählen</v>
      </c>
      <c r="V23" s="281" t="str">
        <f t="shared" si="0"/>
        <v>SG-25</v>
      </c>
      <c r="W23" s="316">
        <f t="shared" si="0"/>
        <v>1</v>
      </c>
      <c r="X23" s="316">
        <f t="shared" si="0"/>
        <v>61</v>
      </c>
      <c r="Y23" s="316">
        <f t="shared" si="0"/>
        <v>28</v>
      </c>
      <c r="Z23" s="316" t="str">
        <f t="shared" si="0"/>
        <v>ESG 6 / 14 / V-WG 8-2</v>
      </c>
      <c r="AA23" s="317"/>
      <c r="AB23" s="445"/>
      <c r="AC23" s="445"/>
      <c r="AD23" s="445"/>
      <c r="AE23" s="445"/>
      <c r="AF23" s="445"/>
    </row>
    <row r="24" spans="1:32" ht="13.5" thickBot="1" x14ac:dyDescent="0.25">
      <c r="A24" s="471">
        <v>2</v>
      </c>
      <c r="B24" s="465" t="s">
        <v>206</v>
      </c>
      <c r="C24" s="466">
        <f>IF(AND($I$20=TRUE,OR('Pos. 3'!$AL$10='Sprachen &amp; Rückgabewerte(3)'!$B$10,'Pos. 3'!$AL$10='Sprachen &amp; Rückgabewerte(3)'!$B$11)),1,0)</f>
        <v>0</v>
      </c>
      <c r="D24" s="281" t="s">
        <v>111</v>
      </c>
      <c r="E24" s="316" t="s">
        <v>112</v>
      </c>
      <c r="F24" s="316" t="s">
        <v>113</v>
      </c>
      <c r="G24" s="317" t="s">
        <v>114</v>
      </c>
      <c r="H24" s="444" t="str">
        <f t="shared" si="1"/>
        <v>Speziell:</v>
      </c>
      <c r="I24" s="451"/>
      <c r="K24" s="281" t="s">
        <v>258</v>
      </c>
      <c r="L24" s="316">
        <v>1</v>
      </c>
      <c r="M24" s="316">
        <v>60</v>
      </c>
      <c r="N24" s="316">
        <v>28</v>
      </c>
      <c r="O24" s="316" t="s">
        <v>259</v>
      </c>
      <c r="P24" s="317"/>
      <c r="Q24" s="281" t="s">
        <v>675</v>
      </c>
      <c r="R24" s="316">
        <v>0.34</v>
      </c>
      <c r="S24" s="316">
        <v>0.22</v>
      </c>
      <c r="T24" s="316">
        <v>0.43</v>
      </c>
      <c r="U24" s="317" t="s">
        <v>676</v>
      </c>
      <c r="V24" s="281" t="str">
        <f t="shared" si="0"/>
        <v>SG-26</v>
      </c>
      <c r="W24" s="316">
        <f t="shared" si="0"/>
        <v>1</v>
      </c>
      <c r="X24" s="316">
        <f t="shared" si="0"/>
        <v>60</v>
      </c>
      <c r="Y24" s="316">
        <f t="shared" si="0"/>
        <v>28</v>
      </c>
      <c r="Z24" s="316" t="str">
        <f t="shared" si="0"/>
        <v>ESG 8 / 12 / V-WG 8-2</v>
      </c>
      <c r="AA24" s="317"/>
      <c r="AB24" s="445"/>
      <c r="AC24" s="445"/>
      <c r="AD24" s="445"/>
      <c r="AE24" s="445"/>
      <c r="AF24" s="445"/>
    </row>
    <row r="25" spans="1:32" ht="13.5" thickBot="1" x14ac:dyDescent="0.25">
      <c r="B25" s="472" t="s">
        <v>207</v>
      </c>
      <c r="C25" s="469">
        <f>IF(AND($I$20=TRUE,OR('Pos. 3'!$AP$10='Sprachen &amp; Rückgabewerte(3)'!$B$10,'Pos. 3'!$AP$10='Sprachen &amp; Rückgabewerte(3)'!$B$11)),1,0)</f>
        <v>0</v>
      </c>
      <c r="D25" s="281" t="s">
        <v>30</v>
      </c>
      <c r="E25" s="316" t="s">
        <v>30</v>
      </c>
      <c r="F25" s="316" t="s">
        <v>30</v>
      </c>
      <c r="G25" s="317" t="s">
        <v>30</v>
      </c>
      <c r="H25" s="444" t="str">
        <f t="shared" si="1"/>
        <v>Pool</v>
      </c>
      <c r="I25" s="451" t="b">
        <v>0</v>
      </c>
      <c r="K25" s="281" t="s">
        <v>260</v>
      </c>
      <c r="L25" s="316">
        <v>1</v>
      </c>
      <c r="M25" s="316">
        <v>59</v>
      </c>
      <c r="N25" s="316">
        <v>27</v>
      </c>
      <c r="O25" s="316" t="s">
        <v>261</v>
      </c>
      <c r="P25" s="317"/>
      <c r="Q25" s="281" t="s">
        <v>677</v>
      </c>
      <c r="R25" s="316">
        <v>0.33</v>
      </c>
      <c r="S25" s="316">
        <v>0.22</v>
      </c>
      <c r="T25" s="316">
        <v>0.42</v>
      </c>
      <c r="U25" s="317" t="s">
        <v>678</v>
      </c>
      <c r="V25" s="473" t="str">
        <f t="shared" si="0"/>
        <v>SG-27</v>
      </c>
      <c r="W25" s="474">
        <f t="shared" si="0"/>
        <v>1</v>
      </c>
      <c r="X25" s="474">
        <f t="shared" si="0"/>
        <v>59</v>
      </c>
      <c r="Y25" s="474">
        <f t="shared" si="0"/>
        <v>27</v>
      </c>
      <c r="Z25" s="474" t="str">
        <f t="shared" si="0"/>
        <v>V-F 10-2 / 12 / ESG 6</v>
      </c>
      <c r="AA25" s="475"/>
      <c r="AB25" s="445"/>
      <c r="AC25" s="445"/>
      <c r="AD25" s="445"/>
      <c r="AE25" s="445"/>
      <c r="AF25" s="445"/>
    </row>
    <row r="26" spans="1:32" ht="13.5" thickBot="1" x14ac:dyDescent="0.25">
      <c r="D26" s="281" t="s">
        <v>115</v>
      </c>
      <c r="E26" s="316" t="s">
        <v>120</v>
      </c>
      <c r="F26" s="316" t="s">
        <v>123</v>
      </c>
      <c r="G26" s="317" t="s">
        <v>357</v>
      </c>
      <c r="H26" s="444" t="str">
        <f t="shared" si="1"/>
        <v>Schallschutz</v>
      </c>
      <c r="I26" s="451"/>
      <c r="K26" s="281">
        <v>0</v>
      </c>
      <c r="L26" s="316">
        <v>0</v>
      </c>
      <c r="M26" s="316">
        <v>0</v>
      </c>
      <c r="N26" s="316">
        <v>0</v>
      </c>
      <c r="O26" s="316" t="str">
        <f t="shared" ref="O26:O35" si="3">$H$54</f>
        <v>Glastyp wählen</v>
      </c>
      <c r="P26" s="317"/>
      <c r="Q26" s="476" t="s">
        <v>679</v>
      </c>
      <c r="R26" s="477">
        <v>0.34</v>
      </c>
      <c r="S26" s="477">
        <v>0.22</v>
      </c>
      <c r="T26" s="477">
        <v>0.43</v>
      </c>
      <c r="U26" s="317" t="s">
        <v>680</v>
      </c>
      <c r="V26" s="281">
        <f t="shared" ref="V26:Z35" si="4">IF($I$125=TRUE,Q26,K26)</f>
        <v>0</v>
      </c>
      <c r="W26" s="316">
        <f t="shared" si="4"/>
        <v>0</v>
      </c>
      <c r="X26" s="316">
        <f t="shared" si="4"/>
        <v>0</v>
      </c>
      <c r="Y26" s="316">
        <f t="shared" si="4"/>
        <v>0</v>
      </c>
      <c r="Z26" s="316" t="str">
        <f t="shared" si="4"/>
        <v>Glastyp wählen</v>
      </c>
      <c r="AA26" s="317"/>
      <c r="AB26" s="445"/>
      <c r="AC26" s="445"/>
      <c r="AD26" s="445"/>
      <c r="AE26" s="445"/>
      <c r="AF26" s="445"/>
    </row>
    <row r="27" spans="1:32" x14ac:dyDescent="0.2">
      <c r="A27" s="57" t="s">
        <v>865</v>
      </c>
      <c r="B27" s="34" t="s">
        <v>208</v>
      </c>
      <c r="C27" s="366"/>
      <c r="D27" s="281" t="s">
        <v>116</v>
      </c>
      <c r="E27" s="316" t="s">
        <v>116</v>
      </c>
      <c r="F27" s="316" t="s">
        <v>116</v>
      </c>
      <c r="G27" s="317" t="s">
        <v>116</v>
      </c>
      <c r="H27" s="444" t="str">
        <f t="shared" si="1"/>
        <v>MINERGIE Modul</v>
      </c>
      <c r="I27" s="451"/>
      <c r="K27" s="281">
        <v>0</v>
      </c>
      <c r="L27" s="316">
        <v>0</v>
      </c>
      <c r="M27" s="316">
        <v>0</v>
      </c>
      <c r="N27" s="316">
        <v>0</v>
      </c>
      <c r="O27" s="316" t="str">
        <f t="shared" si="3"/>
        <v>Glastyp wählen</v>
      </c>
      <c r="P27" s="317"/>
      <c r="Q27" s="476" t="s">
        <v>681</v>
      </c>
      <c r="R27" s="477">
        <v>0.33</v>
      </c>
      <c r="S27" s="477">
        <v>0.22</v>
      </c>
      <c r="T27" s="477">
        <v>0.42</v>
      </c>
      <c r="U27" s="317" t="s">
        <v>682</v>
      </c>
      <c r="V27" s="281">
        <f t="shared" si="4"/>
        <v>0</v>
      </c>
      <c r="W27" s="316">
        <f t="shared" si="4"/>
        <v>0</v>
      </c>
      <c r="X27" s="316">
        <f t="shared" si="4"/>
        <v>0</v>
      </c>
      <c r="Y27" s="316">
        <f t="shared" si="4"/>
        <v>0</v>
      </c>
      <c r="Z27" s="316" t="str">
        <f t="shared" si="4"/>
        <v>Glastyp wählen</v>
      </c>
      <c r="AA27" s="317"/>
      <c r="AB27" s="445"/>
      <c r="AC27" s="445"/>
      <c r="AD27" s="445"/>
      <c r="AE27" s="445"/>
      <c r="AF27" s="445"/>
    </row>
    <row r="28" spans="1:32" x14ac:dyDescent="0.2">
      <c r="A28" s="362"/>
      <c r="B28" s="357" t="s">
        <v>209</v>
      </c>
      <c r="C28" s="358" t="str">
        <f>IF($I$17=TRUE,"P","")</f>
        <v/>
      </c>
      <c r="D28" s="281" t="s">
        <v>117</v>
      </c>
      <c r="E28" s="316" t="s">
        <v>117</v>
      </c>
      <c r="F28" s="316" t="s">
        <v>117</v>
      </c>
      <c r="G28" s="317" t="s">
        <v>117</v>
      </c>
      <c r="H28" s="444" t="str">
        <f t="shared" si="1"/>
        <v>MINERGIE-P Modul</v>
      </c>
      <c r="I28" s="451"/>
      <c r="K28" s="281">
        <v>0</v>
      </c>
      <c r="L28" s="316">
        <v>0</v>
      </c>
      <c r="M28" s="316">
        <v>0</v>
      </c>
      <c r="N28" s="316">
        <v>0</v>
      </c>
      <c r="O28" s="316" t="str">
        <f t="shared" si="3"/>
        <v>Glastyp wählen</v>
      </c>
      <c r="P28" s="317"/>
      <c r="Q28" s="476" t="s">
        <v>683</v>
      </c>
      <c r="R28" s="477">
        <v>0.33</v>
      </c>
      <c r="S28" s="477">
        <v>0.22</v>
      </c>
      <c r="T28" s="477">
        <v>0.42</v>
      </c>
      <c r="U28" s="317" t="s">
        <v>684</v>
      </c>
      <c r="V28" s="281">
        <f t="shared" si="4"/>
        <v>0</v>
      </c>
      <c r="W28" s="316">
        <f t="shared" si="4"/>
        <v>0</v>
      </c>
      <c r="X28" s="316">
        <f t="shared" si="4"/>
        <v>0</v>
      </c>
      <c r="Y28" s="316">
        <f t="shared" si="4"/>
        <v>0</v>
      </c>
      <c r="Z28" s="316" t="str">
        <f t="shared" si="4"/>
        <v>Glastyp wählen</v>
      </c>
      <c r="AA28" s="317"/>
      <c r="AB28" s="445"/>
      <c r="AC28" s="445"/>
      <c r="AD28" s="445"/>
      <c r="AE28" s="445"/>
      <c r="AF28" s="445"/>
    </row>
    <row r="29" spans="1:32" x14ac:dyDescent="0.2">
      <c r="A29" s="363" t="s">
        <v>866</v>
      </c>
      <c r="B29" s="281" t="s">
        <v>210</v>
      </c>
      <c r="C29" s="466" t="str">
        <f>IF($I$18=TRUE,"R","")</f>
        <v/>
      </c>
      <c r="D29" s="281" t="s">
        <v>118</v>
      </c>
      <c r="E29" s="316" t="s">
        <v>118</v>
      </c>
      <c r="F29" s="316" t="s">
        <v>118</v>
      </c>
      <c r="G29" s="317" t="s">
        <v>118</v>
      </c>
      <c r="H29" s="444" t="str">
        <f t="shared" si="1"/>
        <v>Gun</v>
      </c>
      <c r="I29" s="451"/>
      <c r="K29" s="281">
        <v>0</v>
      </c>
      <c r="L29" s="316">
        <v>0</v>
      </c>
      <c r="M29" s="316">
        <v>0</v>
      </c>
      <c r="N29" s="316">
        <v>0</v>
      </c>
      <c r="O29" s="316" t="str">
        <f t="shared" si="3"/>
        <v>Glastyp wählen</v>
      </c>
      <c r="P29" s="317"/>
      <c r="Q29" s="476" t="s">
        <v>685</v>
      </c>
      <c r="R29" s="477">
        <v>0.33</v>
      </c>
      <c r="S29" s="477">
        <v>0.22</v>
      </c>
      <c r="T29" s="477">
        <v>0.42</v>
      </c>
      <c r="U29" s="317" t="s">
        <v>686</v>
      </c>
      <c r="V29" s="281">
        <f t="shared" si="4"/>
        <v>0</v>
      </c>
      <c r="W29" s="316">
        <f t="shared" si="4"/>
        <v>0</v>
      </c>
      <c r="X29" s="316">
        <f t="shared" si="4"/>
        <v>0</v>
      </c>
      <c r="Y29" s="316">
        <f t="shared" si="4"/>
        <v>0</v>
      </c>
      <c r="Z29" s="316" t="str">
        <f t="shared" si="4"/>
        <v>Glastyp wählen</v>
      </c>
      <c r="AA29" s="317"/>
      <c r="AB29" s="445"/>
      <c r="AC29" s="445"/>
      <c r="AD29" s="445"/>
      <c r="AE29" s="445"/>
      <c r="AF29" s="445"/>
    </row>
    <row r="30" spans="1:32" ht="13.5" thickBot="1" x14ac:dyDescent="0.25">
      <c r="A30" s="364" t="s">
        <v>867</v>
      </c>
      <c r="B30" s="472" t="s">
        <v>211</v>
      </c>
      <c r="C30" s="469" t="str">
        <f>IF($I$19=TRUE,"G","")</f>
        <v/>
      </c>
      <c r="D30" s="281" t="s">
        <v>31</v>
      </c>
      <c r="E30" s="316" t="s">
        <v>32</v>
      </c>
      <c r="F30" s="316" t="s">
        <v>33</v>
      </c>
      <c r="G30" s="317" t="s">
        <v>701</v>
      </c>
      <c r="H30" s="444" t="str">
        <f t="shared" si="1"/>
        <v>nach rechts</v>
      </c>
      <c r="I30" s="451" t="b">
        <v>0</v>
      </c>
      <c r="K30" s="281">
        <v>0</v>
      </c>
      <c r="L30" s="316">
        <v>0</v>
      </c>
      <c r="M30" s="316">
        <v>0</v>
      </c>
      <c r="N30" s="316">
        <v>0</v>
      </c>
      <c r="O30" s="316" t="str">
        <f t="shared" si="3"/>
        <v>Glastyp wählen</v>
      </c>
      <c r="P30" s="317"/>
      <c r="Q30" s="281">
        <v>0</v>
      </c>
      <c r="R30" s="316">
        <v>0</v>
      </c>
      <c r="S30" s="316">
        <v>0</v>
      </c>
      <c r="T30" s="316">
        <v>0</v>
      </c>
      <c r="U30" s="317" t="str">
        <f t="shared" ref="U30" si="5">$H$54</f>
        <v>Glastyp wählen</v>
      </c>
      <c r="V30" s="281">
        <f t="shared" si="4"/>
        <v>0</v>
      </c>
      <c r="W30" s="316">
        <f t="shared" si="4"/>
        <v>0</v>
      </c>
      <c r="X30" s="316">
        <f t="shared" si="4"/>
        <v>0</v>
      </c>
      <c r="Y30" s="316">
        <f t="shared" si="4"/>
        <v>0</v>
      </c>
      <c r="Z30" s="316" t="str">
        <f t="shared" si="4"/>
        <v>Glastyp wählen</v>
      </c>
      <c r="AA30" s="317"/>
      <c r="AB30" s="445"/>
      <c r="AC30" s="445"/>
      <c r="AD30" s="445"/>
      <c r="AE30" s="445"/>
      <c r="AF30" s="445"/>
    </row>
    <row r="31" spans="1:32" ht="13.5" thickBot="1" x14ac:dyDescent="0.25">
      <c r="B31" s="445"/>
      <c r="C31" s="478"/>
      <c r="D31" s="465" t="s">
        <v>34</v>
      </c>
      <c r="E31" s="316" t="s">
        <v>35</v>
      </c>
      <c r="F31" s="316" t="s">
        <v>36</v>
      </c>
      <c r="G31" s="317" t="s">
        <v>702</v>
      </c>
      <c r="H31" s="444" t="str">
        <f t="shared" si="1"/>
        <v>nach links</v>
      </c>
      <c r="I31" s="451" t="b">
        <v>0</v>
      </c>
      <c r="K31" s="281">
        <v>0</v>
      </c>
      <c r="L31" s="316">
        <v>0</v>
      </c>
      <c r="M31" s="316">
        <v>0</v>
      </c>
      <c r="N31" s="316">
        <v>0</v>
      </c>
      <c r="O31" s="316" t="str">
        <f t="shared" si="3"/>
        <v>Glastyp wählen</v>
      </c>
      <c r="P31" s="317"/>
      <c r="Q31" s="476" t="s">
        <v>687</v>
      </c>
      <c r="R31" s="477">
        <v>0.33</v>
      </c>
      <c r="S31" s="477">
        <v>0.46</v>
      </c>
      <c r="T31" s="477">
        <v>0.66</v>
      </c>
      <c r="U31" s="317" t="s">
        <v>691</v>
      </c>
      <c r="V31" s="281">
        <f t="shared" si="4"/>
        <v>0</v>
      </c>
      <c r="W31" s="316">
        <f t="shared" si="4"/>
        <v>0</v>
      </c>
      <c r="X31" s="316">
        <f t="shared" si="4"/>
        <v>0</v>
      </c>
      <c r="Y31" s="316">
        <f t="shared" si="4"/>
        <v>0</v>
      </c>
      <c r="Z31" s="316" t="str">
        <f t="shared" si="4"/>
        <v>Glastyp wählen</v>
      </c>
      <c r="AA31" s="317"/>
      <c r="AB31" s="445"/>
      <c r="AC31" s="445"/>
      <c r="AD31" s="445"/>
      <c r="AE31" s="445"/>
      <c r="AF31" s="445"/>
    </row>
    <row r="32" spans="1:32" x14ac:dyDescent="0.2">
      <c r="B32" s="34" t="s">
        <v>217</v>
      </c>
      <c r="C32" s="34"/>
      <c r="D32" s="465" t="s">
        <v>37</v>
      </c>
      <c r="E32" s="316" t="s">
        <v>38</v>
      </c>
      <c r="F32" s="316" t="s">
        <v>39</v>
      </c>
      <c r="G32" s="317" t="s">
        <v>129</v>
      </c>
      <c r="H32" s="444" t="str">
        <f t="shared" si="1"/>
        <v>Breite =</v>
      </c>
      <c r="I32" s="451"/>
      <c r="K32" s="281">
        <v>0</v>
      </c>
      <c r="L32" s="316">
        <v>0</v>
      </c>
      <c r="M32" s="316">
        <v>0</v>
      </c>
      <c r="N32" s="316">
        <v>0</v>
      </c>
      <c r="O32" s="316" t="str">
        <f t="shared" si="3"/>
        <v>Glastyp wählen</v>
      </c>
      <c r="P32" s="317"/>
      <c r="Q32" s="476" t="s">
        <v>688</v>
      </c>
      <c r="R32" s="477">
        <v>0.32</v>
      </c>
      <c r="S32" s="477">
        <v>0.39</v>
      </c>
      <c r="T32" s="477">
        <v>0.57999999999999996</v>
      </c>
      <c r="U32" s="317" t="s">
        <v>692</v>
      </c>
      <c r="V32" s="281">
        <f t="shared" si="4"/>
        <v>0</v>
      </c>
      <c r="W32" s="316">
        <f t="shared" si="4"/>
        <v>0</v>
      </c>
      <c r="X32" s="316">
        <f t="shared" si="4"/>
        <v>0</v>
      </c>
      <c r="Y32" s="316">
        <f t="shared" si="4"/>
        <v>0</v>
      </c>
      <c r="Z32" s="316" t="str">
        <f t="shared" si="4"/>
        <v>Glastyp wählen</v>
      </c>
      <c r="AA32" s="317"/>
      <c r="AB32" s="445"/>
      <c r="AC32" s="445"/>
      <c r="AD32" s="445"/>
      <c r="AE32" s="445"/>
      <c r="AF32" s="445"/>
    </row>
    <row r="33" spans="1:32" x14ac:dyDescent="0.2">
      <c r="B33" s="357"/>
      <c r="C33" s="372"/>
      <c r="D33" s="281" t="s">
        <v>132</v>
      </c>
      <c r="E33" s="316" t="s">
        <v>131</v>
      </c>
      <c r="F33" s="316" t="s">
        <v>40</v>
      </c>
      <c r="G33" s="317" t="s">
        <v>130</v>
      </c>
      <c r="H33" s="444" t="str">
        <f t="shared" si="1"/>
        <v>Griffhöhe:</v>
      </c>
      <c r="I33" s="451"/>
      <c r="K33" s="281">
        <v>0</v>
      </c>
      <c r="L33" s="316">
        <v>0</v>
      </c>
      <c r="M33" s="316">
        <v>0</v>
      </c>
      <c r="N33" s="316">
        <v>0</v>
      </c>
      <c r="O33" s="316" t="str">
        <f t="shared" si="3"/>
        <v>Glastyp wählen</v>
      </c>
      <c r="P33" s="317"/>
      <c r="Q33" s="476" t="s">
        <v>689</v>
      </c>
      <c r="R33" s="477">
        <v>0.32</v>
      </c>
      <c r="S33" s="477">
        <v>0.26</v>
      </c>
      <c r="T33" s="477">
        <v>0.52</v>
      </c>
      <c r="U33" s="317" t="s">
        <v>690</v>
      </c>
      <c r="V33" s="281">
        <f t="shared" si="4"/>
        <v>0</v>
      </c>
      <c r="W33" s="316">
        <f t="shared" si="4"/>
        <v>0</v>
      </c>
      <c r="X33" s="316">
        <f t="shared" si="4"/>
        <v>0</v>
      </c>
      <c r="Y33" s="316">
        <f t="shared" si="4"/>
        <v>0</v>
      </c>
      <c r="Z33" s="316" t="str">
        <f t="shared" si="4"/>
        <v>Glastyp wählen</v>
      </c>
      <c r="AA33" s="317"/>
      <c r="AB33" s="445"/>
      <c r="AC33" s="445"/>
      <c r="AD33" s="445"/>
      <c r="AE33" s="445"/>
      <c r="AF33" s="445"/>
    </row>
    <row r="34" spans="1:32" ht="13.5" thickBot="1" x14ac:dyDescent="0.25">
      <c r="B34" s="479" t="s">
        <v>218</v>
      </c>
      <c r="C34" s="377"/>
      <c r="D34" s="281" t="s">
        <v>41</v>
      </c>
      <c r="E34" s="316" t="s">
        <v>42</v>
      </c>
      <c r="F34" s="316" t="s">
        <v>43</v>
      </c>
      <c r="G34" s="317" t="s">
        <v>133</v>
      </c>
      <c r="H34" s="444" t="str">
        <f t="shared" si="1"/>
        <v xml:space="preserve">Höhe = </v>
      </c>
      <c r="I34" s="451"/>
      <c r="K34" s="281">
        <v>0</v>
      </c>
      <c r="L34" s="316">
        <v>0</v>
      </c>
      <c r="M34" s="316">
        <v>0</v>
      </c>
      <c r="N34" s="316">
        <v>0</v>
      </c>
      <c r="O34" s="316" t="str">
        <f t="shared" si="3"/>
        <v>Glastyp wählen</v>
      </c>
      <c r="P34" s="229"/>
      <c r="Q34" s="281">
        <v>0</v>
      </c>
      <c r="R34" s="316">
        <v>0</v>
      </c>
      <c r="S34" s="316">
        <v>0</v>
      </c>
      <c r="T34" s="316">
        <v>0</v>
      </c>
      <c r="U34" s="317" t="str">
        <f t="shared" ref="U34" si="6">$H$54</f>
        <v>Glastyp wählen</v>
      </c>
      <c r="V34" s="281">
        <f t="shared" si="4"/>
        <v>0</v>
      </c>
      <c r="W34" s="316">
        <f t="shared" si="4"/>
        <v>0</v>
      </c>
      <c r="X34" s="316">
        <f t="shared" si="4"/>
        <v>0</v>
      </c>
      <c r="Y34" s="316">
        <f t="shared" si="4"/>
        <v>0</v>
      </c>
      <c r="Z34" s="316" t="str">
        <f t="shared" si="4"/>
        <v>Glastyp wählen</v>
      </c>
      <c r="AA34" s="317"/>
      <c r="AB34" s="445"/>
      <c r="AC34" s="445"/>
      <c r="AD34" s="445"/>
      <c r="AE34" s="445"/>
      <c r="AF34" s="445"/>
    </row>
    <row r="35" spans="1:32" ht="13.5" thickBot="1" x14ac:dyDescent="0.25">
      <c r="D35" s="281" t="s">
        <v>44</v>
      </c>
      <c r="E35" s="316" t="s">
        <v>45</v>
      </c>
      <c r="F35" s="316" t="s">
        <v>45</v>
      </c>
      <c r="G35" s="317" t="s">
        <v>134</v>
      </c>
      <c r="H35" s="444" t="str">
        <f t="shared" si="1"/>
        <v>Oberfläche:</v>
      </c>
      <c r="I35" s="451"/>
      <c r="K35" s="472">
        <v>0</v>
      </c>
      <c r="L35" s="480">
        <v>0</v>
      </c>
      <c r="M35" s="480">
        <v>0</v>
      </c>
      <c r="N35" s="480">
        <v>0</v>
      </c>
      <c r="O35" s="480" t="str">
        <f t="shared" si="3"/>
        <v>Glastyp wählen</v>
      </c>
      <c r="P35" s="377"/>
      <c r="Q35" s="481" t="s">
        <v>693</v>
      </c>
      <c r="R35" s="482">
        <v>0.32</v>
      </c>
      <c r="S35" s="482">
        <v>0.22</v>
      </c>
      <c r="T35" s="482">
        <v>0.42</v>
      </c>
      <c r="U35" s="377" t="s">
        <v>694</v>
      </c>
      <c r="V35" s="472">
        <f t="shared" si="4"/>
        <v>0</v>
      </c>
      <c r="W35" s="480">
        <f t="shared" si="4"/>
        <v>0</v>
      </c>
      <c r="X35" s="480">
        <f t="shared" si="4"/>
        <v>0</v>
      </c>
      <c r="Y35" s="480">
        <f t="shared" si="4"/>
        <v>0</v>
      </c>
      <c r="Z35" s="480" t="str">
        <f t="shared" si="4"/>
        <v>Glastyp wählen</v>
      </c>
      <c r="AA35" s="377"/>
      <c r="AB35" s="445"/>
      <c r="AC35" s="445"/>
      <c r="AD35" s="445"/>
      <c r="AE35" s="445"/>
      <c r="AF35" s="445"/>
    </row>
    <row r="36" spans="1:32" x14ac:dyDescent="0.2">
      <c r="B36" s="34" t="s">
        <v>219</v>
      </c>
      <c r="C36" s="34"/>
      <c r="D36" s="281" t="s">
        <v>46</v>
      </c>
      <c r="E36" s="316" t="s">
        <v>47</v>
      </c>
      <c r="F36" s="316" t="s">
        <v>136</v>
      </c>
      <c r="G36" s="317" t="s">
        <v>135</v>
      </c>
      <c r="H36" s="444" t="str">
        <f t="shared" si="1"/>
        <v>eloxiert (Qualanod):</v>
      </c>
      <c r="I36" s="451" t="b">
        <v>1</v>
      </c>
      <c r="AB36" s="445"/>
      <c r="AC36" s="445"/>
      <c r="AD36" s="445"/>
      <c r="AE36" s="445"/>
      <c r="AF36" s="445"/>
    </row>
    <row r="37" spans="1:32" x14ac:dyDescent="0.2">
      <c r="B37" s="357" t="s">
        <v>221</v>
      </c>
      <c r="C37" s="372" t="b">
        <v>1</v>
      </c>
      <c r="D37" s="281" t="s">
        <v>48</v>
      </c>
      <c r="E37" s="316" t="s">
        <v>137</v>
      </c>
      <c r="F37" s="316" t="s">
        <v>137</v>
      </c>
      <c r="G37" s="317" t="s">
        <v>137</v>
      </c>
      <c r="H37" s="444" t="str">
        <f t="shared" si="1"/>
        <v>20 my (Standard)</v>
      </c>
      <c r="I37" s="451"/>
    </row>
    <row r="38" spans="1:32" x14ac:dyDescent="0.2">
      <c r="B38" s="281" t="s">
        <v>220</v>
      </c>
      <c r="C38" s="317" t="b">
        <v>1</v>
      </c>
      <c r="D38" s="281" t="s">
        <v>49</v>
      </c>
      <c r="E38" s="316" t="s">
        <v>50</v>
      </c>
      <c r="F38" s="316" t="s">
        <v>51</v>
      </c>
      <c r="G38" s="317" t="s">
        <v>358</v>
      </c>
      <c r="H38" s="444" t="str">
        <f t="shared" si="1"/>
        <v>25 my (Pool/Meer)</v>
      </c>
      <c r="I38" s="451"/>
    </row>
    <row r="39" spans="1:32" ht="13.5" thickBot="1" x14ac:dyDescent="0.25">
      <c r="B39" s="281" t="s">
        <v>222</v>
      </c>
      <c r="C39" s="317" t="b">
        <v>0</v>
      </c>
      <c r="D39" s="281" t="s">
        <v>382</v>
      </c>
      <c r="E39" s="316" t="s">
        <v>383</v>
      </c>
      <c r="F39" s="316" t="s">
        <v>384</v>
      </c>
      <c r="G39" s="317" t="s">
        <v>385</v>
      </c>
      <c r="H39" s="444" t="str">
        <f t="shared" si="1"/>
        <v>pulverbeschichtet:</v>
      </c>
      <c r="I39" s="451" t="b">
        <v>0</v>
      </c>
    </row>
    <row r="40" spans="1:32" x14ac:dyDescent="0.2">
      <c r="A40" s="282" t="s">
        <v>762</v>
      </c>
      <c r="B40" s="281" t="s">
        <v>223</v>
      </c>
      <c r="C40" s="317" t="b">
        <v>0</v>
      </c>
      <c r="D40" s="281" t="s">
        <v>856</v>
      </c>
      <c r="E40" s="316" t="s">
        <v>857</v>
      </c>
      <c r="F40" s="316" t="s">
        <v>858</v>
      </c>
      <c r="G40" s="317" t="s">
        <v>859</v>
      </c>
      <c r="H40" s="444" t="str">
        <f t="shared" si="1"/>
        <v>Vorbehandlung:</v>
      </c>
      <c r="I40" s="451"/>
      <c r="K40" s="57" t="s">
        <v>468</v>
      </c>
      <c r="L40" s="365"/>
      <c r="M40" s="366"/>
      <c r="N40" s="536" t="s">
        <v>621</v>
      </c>
      <c r="O40" s="537"/>
      <c r="P40" s="538"/>
      <c r="Q40" s="57" t="s">
        <v>321</v>
      </c>
      <c r="R40" s="57" t="s">
        <v>528</v>
      </c>
      <c r="S40" s="57" t="s">
        <v>532</v>
      </c>
      <c r="U40" s="34" t="s">
        <v>760</v>
      </c>
      <c r="V40" s="35"/>
    </row>
    <row r="41" spans="1:32" x14ac:dyDescent="0.2">
      <c r="A41" s="464" t="b">
        <f>IF(C41=FALSE,TRUE,(IF(AND(C41=TRUE,'Pos. 3'!F72=""),FALSE,TRUE)))</f>
        <v>1</v>
      </c>
      <c r="B41" s="281" t="s">
        <v>389</v>
      </c>
      <c r="C41" s="317" t="b">
        <v>0</v>
      </c>
      <c r="D41" s="281" t="s">
        <v>52</v>
      </c>
      <c r="E41" s="316" t="s">
        <v>53</v>
      </c>
      <c r="F41" s="316" t="s">
        <v>54</v>
      </c>
      <c r="G41" s="483" t="s">
        <v>138</v>
      </c>
      <c r="H41" s="444" t="str">
        <f t="shared" si="1"/>
        <v>+Voranodisieren</v>
      </c>
      <c r="I41" s="451"/>
      <c r="K41" s="484" t="s">
        <v>469</v>
      </c>
      <c r="L41" s="284">
        <f>IF(OR($I$5=TRUE,$I$6=TRUE),1,0)</f>
        <v>0</v>
      </c>
      <c r="M41" s="485"/>
      <c r="N41" s="193" t="str">
        <f>CONCATENATE("Pos. ",'Pos. 3'!$B$2,".1")</f>
        <v>Pos. 3.1</v>
      </c>
      <c r="O41" s="194" t="b">
        <f>IF(AND('Pos. 3'!AW32&lt;&gt;"",'Pos. 3'!AX32&lt;&gt;""),TRUE,FALSE)</f>
        <v>0</v>
      </c>
      <c r="P41" s="195"/>
      <c r="Q41" s="362"/>
      <c r="R41" s="362"/>
      <c r="S41" s="280">
        <f>COUNTA('Pos. 3'!G20:AP20)</f>
        <v>0</v>
      </c>
      <c r="U41" s="486" t="b">
        <f>IF(L41=0,FALSE,TRUE)</f>
        <v>0</v>
      </c>
      <c r="V41" s="487">
        <f>IF(U41=FALSE,1,0)</f>
        <v>1</v>
      </c>
    </row>
    <row r="42" spans="1:32" x14ac:dyDescent="0.2">
      <c r="A42" s="444" t="b">
        <f>IF(C42=FALSE,TRUE,(IF(AND(C42=TRUE,'Pos. 3'!L72=""),FALSE,TRUE)))</f>
        <v>1</v>
      </c>
      <c r="B42" s="281" t="s">
        <v>390</v>
      </c>
      <c r="C42" s="317" t="b">
        <v>0</v>
      </c>
      <c r="D42" s="281" t="s">
        <v>55</v>
      </c>
      <c r="E42" s="316" t="s">
        <v>56</v>
      </c>
      <c r="F42" s="316" t="s">
        <v>57</v>
      </c>
      <c r="G42" s="317" t="s">
        <v>139</v>
      </c>
      <c r="H42" s="444" t="str">
        <f t="shared" si="1"/>
        <v>Glas-Typ: SG = "Sky-Glass"</v>
      </c>
      <c r="I42" s="451"/>
      <c r="K42" s="311" t="s">
        <v>470</v>
      </c>
      <c r="L42" s="287">
        <f>IF(AND('Pos. 3'!$Y$5&lt;&gt;"",'Pos. 3'!$Y$7&lt;&gt;"",'Pos. 3'!$Y$6&lt;&gt;""),1,0)</f>
        <v>0</v>
      </c>
      <c r="M42" s="488"/>
      <c r="N42" s="193" t="str">
        <f>CONCATENATE("Pos. ",'Pos. 3'!$B$2,".2")</f>
        <v>Pos. 3.2</v>
      </c>
      <c r="O42" s="194" t="b">
        <f>IF(AND('Pos. 3'!AW33&lt;&gt;"",'Pos. 3'!AX33&lt;&gt;""),TRUE,FALSE)</f>
        <v>0</v>
      </c>
      <c r="P42" s="197"/>
      <c r="Q42" s="489">
        <v>1</v>
      </c>
      <c r="R42" s="490" t="s">
        <v>526</v>
      </c>
      <c r="U42" s="311" t="b">
        <f t="shared" ref="U42:U47" si="7">IF(L42=0,FALSE,TRUE)</f>
        <v>0</v>
      </c>
      <c r="V42" s="491">
        <f t="shared" ref="V42:V79" si="8">IF(U42=FALSE,1,0)</f>
        <v>1</v>
      </c>
    </row>
    <row r="43" spans="1:32" x14ac:dyDescent="0.2">
      <c r="A43" s="444" t="b">
        <f>IF(C43=FALSE,TRUE,(IF(AND(C43=TRUE,'Pos. 3'!R72=""),FALSE,TRUE)))</f>
        <v>1</v>
      </c>
      <c r="B43" s="281" t="s">
        <v>391</v>
      </c>
      <c r="C43" s="317" t="b">
        <v>0</v>
      </c>
      <c r="D43" s="281" t="s">
        <v>58</v>
      </c>
      <c r="E43" s="316" t="s">
        <v>59</v>
      </c>
      <c r="F43" s="316" t="s">
        <v>60</v>
      </c>
      <c r="G43" s="317" t="s">
        <v>140</v>
      </c>
      <c r="H43" s="444" t="str">
        <f t="shared" si="1"/>
        <v>Swisspacer-U schwarz</v>
      </c>
      <c r="I43" s="451" t="b">
        <v>0</v>
      </c>
      <c r="K43" s="311" t="s">
        <v>471</v>
      </c>
      <c r="L43" s="287">
        <f>IF(AND('Pos. 3'!$AJ$5&lt;&gt;"",'Pos. 3'!$AJ$6&lt;&gt;"",'Pos. 3'!$AJ$7&lt;&gt;""),1,0)</f>
        <v>0</v>
      </c>
      <c r="M43" s="488"/>
      <c r="N43" s="193" t="str">
        <f>CONCATENATE("Pos. ",'Pos. 3'!$B$2,".3")</f>
        <v>Pos. 3.3</v>
      </c>
      <c r="O43" s="194" t="b">
        <f>IF(AND('Pos. 3'!AW34&lt;&gt;"",'Pos. 3'!AX34&lt;&gt;""),TRUE,FALSE)</f>
        <v>0</v>
      </c>
      <c r="P43" s="197"/>
      <c r="Q43" s="363">
        <v>2</v>
      </c>
      <c r="R43" s="490" t="s">
        <v>527</v>
      </c>
      <c r="U43" s="311" t="b">
        <f t="shared" si="7"/>
        <v>0</v>
      </c>
      <c r="V43" s="491">
        <f t="shared" si="8"/>
        <v>1</v>
      </c>
    </row>
    <row r="44" spans="1:32" x14ac:dyDescent="0.2">
      <c r="A44" s="444" t="b">
        <f>IF(C44=FALSE,TRUE,(IF(AND(C44=TRUE,'Pos. 3'!X72=""),FALSE,TRUE)))</f>
        <v>1</v>
      </c>
      <c r="B44" s="281" t="str">
        <f>IF('Pos. 3'!AB62="","121101/121101","121401/121401")</f>
        <v>121101/121101</v>
      </c>
      <c r="C44" s="317" t="b">
        <v>0</v>
      </c>
      <c r="D44" s="281" t="s">
        <v>61</v>
      </c>
      <c r="E44" s="316" t="s">
        <v>62</v>
      </c>
      <c r="F44" s="316" t="s">
        <v>63</v>
      </c>
      <c r="G44" s="317" t="s">
        <v>141</v>
      </c>
      <c r="H44" s="444" t="str">
        <f t="shared" si="1"/>
        <v>Swisspacer-U grau</v>
      </c>
      <c r="I44" s="451" t="b">
        <v>0</v>
      </c>
      <c r="K44" s="311" t="s">
        <v>472</v>
      </c>
      <c r="L44" s="287">
        <f>IF(OR($I$10=TRUE,$I$11=TRUE,$I$12=TRUE),1,0)</f>
        <v>0</v>
      </c>
      <c r="M44" s="488"/>
      <c r="N44" s="193" t="str">
        <f>CONCATENATE("Pos. ",'Pos. 3'!$B$2,".4")</f>
        <v>Pos. 3.4</v>
      </c>
      <c r="O44" s="194" t="b">
        <f>IF(AND('Pos. 3'!AW35&lt;&gt;"",'Pos. 3'!AX35&lt;&gt;""),TRUE,FALSE)</f>
        <v>0</v>
      </c>
      <c r="P44" s="197"/>
      <c r="Q44" s="363">
        <v>3</v>
      </c>
      <c r="U44" s="311" t="b">
        <f t="shared" si="7"/>
        <v>0</v>
      </c>
      <c r="V44" s="491">
        <f t="shared" si="8"/>
        <v>1</v>
      </c>
    </row>
    <row r="45" spans="1:32" x14ac:dyDescent="0.2">
      <c r="A45" s="444" t="b">
        <f>IF(C45=FALSE,TRUE,(IF(AND(C45=TRUE,'Pos. 3'!H85=""),FALSE,TRUE)))</f>
        <v>1</v>
      </c>
      <c r="B45" s="281" t="s">
        <v>406</v>
      </c>
      <c r="C45" s="317" t="b">
        <v>0</v>
      </c>
      <c r="D45" s="281" t="s">
        <v>111</v>
      </c>
      <c r="E45" s="316" t="s">
        <v>112</v>
      </c>
      <c r="F45" s="316" t="s">
        <v>113</v>
      </c>
      <c r="G45" s="317" t="s">
        <v>114</v>
      </c>
      <c r="H45" s="444" t="str">
        <f t="shared" si="1"/>
        <v>Speziell:</v>
      </c>
      <c r="I45" s="451" t="b">
        <v>0</v>
      </c>
      <c r="K45" s="311" t="s">
        <v>473</v>
      </c>
      <c r="L45" s="287">
        <f>IF(AND('Pos. 3'!$F$10&lt;&gt;"",OR('Pos. 3'!$E$23&lt;&gt;"",'Pos. 3'!$E$24&lt;&gt;"",'Pos. 3'!$E$25&lt;&gt;"",'Pos. 3'!$E$26&lt;&gt;"")),1,0)</f>
        <v>0</v>
      </c>
      <c r="M45" s="488"/>
      <c r="N45" s="193" t="str">
        <f>CONCATENATE("Pos. ",'Pos. 3'!$B$2,".5")</f>
        <v>Pos. 3.5</v>
      </c>
      <c r="O45" s="194" t="b">
        <f>IF(AND('Pos. 3'!AW36&lt;&gt;"",'Pos. 3'!AX36&lt;&gt;""),TRUE,FALSE)</f>
        <v>0</v>
      </c>
      <c r="P45" s="197"/>
      <c r="Q45" s="363">
        <v>4</v>
      </c>
      <c r="U45" s="311" t="b">
        <f t="shared" si="7"/>
        <v>0</v>
      </c>
      <c r="V45" s="491">
        <f t="shared" si="8"/>
        <v>1</v>
      </c>
    </row>
    <row r="46" spans="1:32" x14ac:dyDescent="0.2">
      <c r="A46" s="444" t="b">
        <f>IF(C46=FALSE,TRUE,(IF(AND(C46=TRUE,'Pos. 3'!O85=""),FALSE,TRUE)))</f>
        <v>1</v>
      </c>
      <c r="B46" s="281" t="s">
        <v>407</v>
      </c>
      <c r="C46" s="317" t="b">
        <v>0</v>
      </c>
      <c r="D46" s="281" t="s">
        <v>64</v>
      </c>
      <c r="E46" s="316" t="s">
        <v>65</v>
      </c>
      <c r="F46" s="316" t="s">
        <v>66</v>
      </c>
      <c r="G46" s="317" t="s">
        <v>142</v>
      </c>
      <c r="H46" s="444" t="str">
        <f t="shared" si="1"/>
        <v>Statik:</v>
      </c>
      <c r="I46" s="451"/>
      <c r="K46" s="311" t="s">
        <v>474</v>
      </c>
      <c r="L46" s="287">
        <f>IF(AND($I$13=TRUE,'Pos. 3'!$E$28=""),0,1)</f>
        <v>1</v>
      </c>
      <c r="M46" s="488"/>
      <c r="N46" s="193" t="str">
        <f>CONCATENATE("Pos. ",'Pos. 3'!$B$2,".6")</f>
        <v>Pos. 3.6</v>
      </c>
      <c r="O46" s="194" t="b">
        <f>IF(AND('Pos. 3'!AW37&lt;&gt;"",'Pos. 3'!AX37&lt;&gt;""),TRUE,FALSE)</f>
        <v>0</v>
      </c>
      <c r="P46" s="197"/>
      <c r="Q46" s="363">
        <v>5</v>
      </c>
      <c r="U46" s="311" t="b">
        <f t="shared" si="7"/>
        <v>1</v>
      </c>
      <c r="V46" s="491">
        <f t="shared" si="8"/>
        <v>0</v>
      </c>
    </row>
    <row r="47" spans="1:32" x14ac:dyDescent="0.2">
      <c r="A47" s="444" t="b">
        <f>IF(C47=FALSE,TRUE,(IF(AND(C47=TRUE,'Pos. 3'!V85=""),FALSE,TRUE)))</f>
        <v>1</v>
      </c>
      <c r="B47" s="281" t="str">
        <f>IF('Pos. 3'!AB73="","322301/322301","400419/400419")</f>
        <v>322301/322301</v>
      </c>
      <c r="C47" s="317" t="b">
        <v>0</v>
      </c>
      <c r="D47" s="281" t="s">
        <v>67</v>
      </c>
      <c r="E47" s="316" t="s">
        <v>68</v>
      </c>
      <c r="F47" s="316" t="s">
        <v>69</v>
      </c>
      <c r="G47" s="317" t="s">
        <v>359</v>
      </c>
      <c r="H47" s="444" t="str">
        <f t="shared" si="1"/>
        <v>Windlast:</v>
      </c>
      <c r="I47" s="451"/>
      <c r="K47" s="311" t="s">
        <v>475</v>
      </c>
      <c r="L47" s="289">
        <f>IF(AND($I$13=FALSE,$I$14=FALSE),0,1)</f>
        <v>0</v>
      </c>
      <c r="M47" s="488"/>
      <c r="N47" s="193" t="str">
        <f>CONCATENATE("Pos. ",'Pos. 3'!$B$2,".7")</f>
        <v>Pos. 3.7</v>
      </c>
      <c r="O47" s="194" t="b">
        <f>IF(AND('Pos. 3'!AW38&lt;&gt;"",'Pos. 3'!AX38&lt;&gt;""),TRUE,FALSE)</f>
        <v>0</v>
      </c>
      <c r="P47" s="197"/>
      <c r="Q47" s="363">
        <v>6</v>
      </c>
      <c r="U47" s="311" t="b">
        <f t="shared" si="7"/>
        <v>0</v>
      </c>
      <c r="V47" s="491">
        <f t="shared" si="8"/>
        <v>1</v>
      </c>
    </row>
    <row r="48" spans="1:32" x14ac:dyDescent="0.2">
      <c r="A48" s="444" t="b">
        <f>IF(C48=FALSE,TRUE,(IF(AND(C48=TRUE,'Pos. 3'!H96=""),FALSE,TRUE)))</f>
        <v>1</v>
      </c>
      <c r="B48" s="281" t="s">
        <v>419</v>
      </c>
      <c r="C48" s="317" t="b">
        <v>0</v>
      </c>
      <c r="D48" s="281" t="s">
        <v>70</v>
      </c>
      <c r="E48" s="316" t="s">
        <v>71</v>
      </c>
      <c r="F48" s="316" t="s">
        <v>72</v>
      </c>
      <c r="G48" s="317" t="s">
        <v>360</v>
      </c>
      <c r="H48" s="444" t="str">
        <f t="shared" si="1"/>
        <v>Bemerkung:</v>
      </c>
      <c r="I48" s="451"/>
      <c r="K48" s="311" t="s">
        <v>477</v>
      </c>
      <c r="L48" s="492">
        <f>IF(OR(AND($C$37=FALSE,$C$39=FALSE),(AND($C$38=FALSE,$C$40=FALSE))),0,1)</f>
        <v>1</v>
      </c>
      <c r="M48" s="493">
        <f>IF($L$49=0,0,L48)</f>
        <v>0</v>
      </c>
      <c r="N48" s="193" t="str">
        <f>CONCATENATE("Pos. ",'Pos. 3'!$B$2,".8")</f>
        <v>Pos. 3.8</v>
      </c>
      <c r="O48" s="194" t="b">
        <f>IF(AND('Pos. 3'!AW39&lt;&gt;"",'Pos. 3'!AX39&lt;&gt;""),TRUE,FALSE)</f>
        <v>0</v>
      </c>
      <c r="P48" s="197"/>
      <c r="Q48" s="363">
        <v>7</v>
      </c>
      <c r="U48" s="311" t="b">
        <f>IF(M49=0,FALSE,TRUE)</f>
        <v>0</v>
      </c>
      <c r="V48" s="491">
        <f t="shared" si="8"/>
        <v>1</v>
      </c>
    </row>
    <row r="49" spans="1:22" ht="13.5" thickBot="1" x14ac:dyDescent="0.25">
      <c r="A49" s="494" t="b">
        <f>IF(C49=FALSE,TRUE,(IF(AND(C49=TRUE,'Pos. 3'!O96=""),FALSE,TRUE)))</f>
        <v>1</v>
      </c>
      <c r="B49" s="281" t="s">
        <v>420</v>
      </c>
      <c r="C49" s="317" t="b">
        <v>0</v>
      </c>
      <c r="D49" s="281" t="s">
        <v>73</v>
      </c>
      <c r="E49" s="316" t="s">
        <v>74</v>
      </c>
      <c r="F49" s="316" t="s">
        <v>343</v>
      </c>
      <c r="G49" s="317" t="s">
        <v>361</v>
      </c>
      <c r="H49" s="444" t="str">
        <f t="shared" si="1"/>
        <v>Zubehör:</v>
      </c>
      <c r="I49" s="451"/>
      <c r="K49" s="311" t="s">
        <v>476</v>
      </c>
      <c r="L49" s="495">
        <f>IF(L48=0,0,IF('Pos. 3'!$I$49&gt;0,1,0))</f>
        <v>0</v>
      </c>
      <c r="M49" s="293">
        <f>SUM(L49,M48)</f>
        <v>0</v>
      </c>
      <c r="N49" s="193" t="str">
        <f>CONCATENATE("Pos. ",'Pos. 3'!$B$2,".9")</f>
        <v>Pos. 3.9</v>
      </c>
      <c r="O49" s="194" t="b">
        <f>IF(AND('Pos. 3'!AW40&lt;&gt;"",'Pos. 3'!AX40&lt;&gt;""),TRUE,FALSE)</f>
        <v>0</v>
      </c>
      <c r="P49" s="197"/>
      <c r="Q49" s="363">
        <v>8</v>
      </c>
      <c r="T49" s="315" t="s">
        <v>851</v>
      </c>
      <c r="U49" s="311" t="b">
        <f>IF(AND(L44=1,AND('Pos. 3'!E22="",'Pos. 3'!E23="",'Pos. 3'!E24="",'Pos. 3'!E25="",'Pos. 3'!E26="")),FALSE,TRUE)</f>
        <v>1</v>
      </c>
      <c r="V49" s="491">
        <f t="shared" si="8"/>
        <v>0</v>
      </c>
    </row>
    <row r="50" spans="1:22" x14ac:dyDescent="0.2">
      <c r="A50" s="280">
        <f>COUNTIF(A41:A49,FALSE)</f>
        <v>0</v>
      </c>
      <c r="B50" s="281" t="s">
        <v>408</v>
      </c>
      <c r="C50" s="317" t="b">
        <v>0</v>
      </c>
      <c r="D50" s="281" t="s">
        <v>748</v>
      </c>
      <c r="E50" s="316" t="s">
        <v>749</v>
      </c>
      <c r="F50" s="316" t="s">
        <v>751</v>
      </c>
      <c r="G50" s="317" t="s">
        <v>750</v>
      </c>
      <c r="H50" s="444" t="str">
        <f t="shared" si="1"/>
        <v>Rinne (siehe unten)</v>
      </c>
      <c r="I50" s="451" t="b">
        <v>0</v>
      </c>
      <c r="K50" s="311" t="s">
        <v>478</v>
      </c>
      <c r="L50" s="294">
        <f>IF(AND(OR($C$53=TRUE,$C$54=TRUE),'Pos. 3'!$Z$42&lt;&gt;"",'Pos. 3'!$T$45&lt;&gt;""),1,0)</f>
        <v>0</v>
      </c>
      <c r="M50" s="488"/>
      <c r="N50" s="193" t="str">
        <f>CONCATENATE("Pos. ",'Pos. 3'!$B$2,".10")</f>
        <v>Pos. 3.10</v>
      </c>
      <c r="O50" s="194" t="b">
        <f>IF(AND('Pos. 3'!AW41&lt;&gt;"",'Pos. 3'!AX41&lt;&gt;""),TRUE,FALSE)</f>
        <v>0</v>
      </c>
      <c r="P50" s="197"/>
      <c r="Q50" s="363">
        <v>9</v>
      </c>
      <c r="U50" s="311" t="b">
        <f>IF(L50=0,FALSE,TRUE)</f>
        <v>0</v>
      </c>
      <c r="V50" s="491">
        <f t="shared" si="8"/>
        <v>1</v>
      </c>
    </row>
    <row r="51" spans="1:22" ht="13.5" thickBot="1" x14ac:dyDescent="0.25">
      <c r="B51" s="281" t="s">
        <v>429</v>
      </c>
      <c r="C51" s="317" t="b">
        <v>0</v>
      </c>
      <c r="D51" s="281" t="s">
        <v>339</v>
      </c>
      <c r="E51" s="316" t="s">
        <v>340</v>
      </c>
      <c r="F51" s="316" t="s">
        <v>341</v>
      </c>
      <c r="G51" s="317" t="s">
        <v>362</v>
      </c>
      <c r="H51" s="444" t="str">
        <f t="shared" si="1"/>
        <v>Wetterschenkel</v>
      </c>
      <c r="I51" s="451" t="b">
        <v>0</v>
      </c>
      <c r="K51" s="311" t="s">
        <v>479</v>
      </c>
      <c r="L51" s="287">
        <f>IF(OR($I$15=TRUE,$I$16=TRUE,$I$17=TRUE,$I$18=TRUE,$I$19=TRUE,$I$20=TRUE,$I$22=TRUE,$I$25=TRUE,$I$125=TRUE),1,0)</f>
        <v>0</v>
      </c>
      <c r="M51" s="488"/>
      <c r="N51" s="196" t="s">
        <v>622</v>
      </c>
      <c r="O51" s="198">
        <f>IF(P51=O52,1,0)</f>
        <v>0</v>
      </c>
      <c r="P51" s="199" t="str">
        <f>CONCATENATE("(",COUNTBLANK('Pos. 3'!AW32:AW41),")")</f>
        <v>(10)</v>
      </c>
      <c r="Q51" s="471">
        <v>10</v>
      </c>
      <c r="U51" s="311" t="b">
        <f t="shared" ref="U51:U55" si="9">IF(L51=0,FALSE,TRUE)</f>
        <v>0</v>
      </c>
      <c r="V51" s="491">
        <f t="shared" si="8"/>
        <v>1</v>
      </c>
    </row>
    <row r="52" spans="1:22" ht="13.5" thickBot="1" x14ac:dyDescent="0.25">
      <c r="B52" s="281"/>
      <c r="C52" s="317"/>
      <c r="D52" s="281" t="s">
        <v>331</v>
      </c>
      <c r="E52" s="316" t="s">
        <v>332</v>
      </c>
      <c r="F52" s="316" t="s">
        <v>333</v>
      </c>
      <c r="G52" s="317" t="s">
        <v>363</v>
      </c>
      <c r="H52" s="444" t="str">
        <f t="shared" si="1"/>
        <v>Standardgrundplatten:</v>
      </c>
      <c r="I52" s="451" t="b">
        <v>0</v>
      </c>
      <c r="K52" s="311" t="s">
        <v>480</v>
      </c>
      <c r="L52" s="287">
        <f>IF(OR(AND($I$36=TRUE,'Pos. 3'!$AM$43&lt;&gt;0,'Pos. 3'!$AR$43&lt;&gt;0,'Pos. 3'!$AM$49&lt;&gt;""),AND($I$39=TRUE,'Pos. 3'!$AM$45&lt;&gt;"",'Pos. 3'!$AM$49&lt;&gt;"",'Pos. 3'!$AM$46&lt;&gt;"",'Pos. 3'!$AM$47&lt;&gt;"")),1,0)</f>
        <v>0</v>
      </c>
      <c r="M52" s="488"/>
      <c r="N52" s="200"/>
      <c r="O52" s="201" t="str">
        <f>CONCATENATE("(",IF(I19=TRUE,COUNTIF(O41:O50,FALSE),""),")")</f>
        <v>()</v>
      </c>
      <c r="P52" s="202"/>
      <c r="U52" s="311" t="b">
        <f t="shared" si="9"/>
        <v>0</v>
      </c>
      <c r="V52" s="491">
        <f t="shared" si="8"/>
        <v>1</v>
      </c>
    </row>
    <row r="53" spans="1:22" x14ac:dyDescent="0.2">
      <c r="B53" s="281" t="s">
        <v>440</v>
      </c>
      <c r="C53" s="317" t="b">
        <v>1</v>
      </c>
      <c r="D53" s="281" t="s">
        <v>75</v>
      </c>
      <c r="E53" s="316" t="s">
        <v>75</v>
      </c>
      <c r="F53" s="316" t="s">
        <v>75</v>
      </c>
      <c r="G53" s="317" t="s">
        <v>75</v>
      </c>
      <c r="H53" s="444" t="str">
        <f t="shared" si="1"/>
        <v>Sun-Box</v>
      </c>
      <c r="I53" s="451"/>
      <c r="K53" s="311" t="s">
        <v>484</v>
      </c>
      <c r="L53" s="287">
        <f>IF('Pos. 3'!AT52=1,1,IF(AND(OR($I$43=TRUE,$I$44=TRUE),'Pos. 3'!$AE$53&lt;&gt;0,'Pos. 3'!$AO$55&lt;&gt;""),1,0))</f>
        <v>0</v>
      </c>
      <c r="M53" s="488"/>
      <c r="U53" s="311" t="b">
        <f t="shared" si="9"/>
        <v>0</v>
      </c>
      <c r="V53" s="491">
        <f t="shared" si="8"/>
        <v>1</v>
      </c>
    </row>
    <row r="54" spans="1:22" x14ac:dyDescent="0.2">
      <c r="B54" s="281" t="s">
        <v>441</v>
      </c>
      <c r="C54" s="317" t="b">
        <v>0</v>
      </c>
      <c r="D54" s="281" t="s">
        <v>76</v>
      </c>
      <c r="E54" s="316" t="s">
        <v>77</v>
      </c>
      <c r="F54" s="316" t="s">
        <v>78</v>
      </c>
      <c r="G54" s="317" t="s">
        <v>364</v>
      </c>
      <c r="H54" s="444" t="str">
        <f t="shared" si="1"/>
        <v>Glastyp wählen</v>
      </c>
      <c r="I54" s="451"/>
      <c r="K54" s="311" t="s">
        <v>485</v>
      </c>
      <c r="L54" s="287">
        <f>SUM(IF(AND('Pos. 3'!$AE$70&lt;&gt;"",'Pos. 3'!$AN$70&lt;&gt;"",OR($C$60=TRUE,$C$61=TRUE,$C$62=TRUE,$C$63=TRUE)),1,0),M54)</f>
        <v>1</v>
      </c>
      <c r="M54" s="488">
        <f>IF(AND(OR('Pos. 3'!F10="F",'Pos. 3'!F10=""),OR('Pos. 3'!N10="F",'Pos. 3'!N10=""),OR('Pos. 3'!R10="F",'Pos. 3'!R10=""),OR('Pos. 3'!V10="F",'Pos. 3'!V10=""),OR('Pos. 3'!Z10="F",'Pos. 3'!Z10=""),OR('Pos. 3'!AD10="F",'Pos. 3'!AD10=""),OR('Pos. 3'!AH10="F",'Pos. 3'!AH10=""),OR('Pos. 3'!AL10="F",'Pos. 3'!AL10=""),OR('Pos. 3'!AP10="F",'Pos. 3'!AP10="")),1,0)</f>
        <v>1</v>
      </c>
      <c r="U54" s="311" t="b">
        <f t="shared" si="9"/>
        <v>1</v>
      </c>
      <c r="V54" s="491">
        <f t="shared" si="8"/>
        <v>0</v>
      </c>
    </row>
    <row r="55" spans="1:22" x14ac:dyDescent="0.2">
      <c r="B55" s="281" t="s">
        <v>493</v>
      </c>
      <c r="C55" s="317" t="b">
        <v>0</v>
      </c>
      <c r="D55" s="281" t="s">
        <v>79</v>
      </c>
      <c r="E55" s="316" t="s">
        <v>80</v>
      </c>
      <c r="F55" s="316" t="s">
        <v>79</v>
      </c>
      <c r="G55" s="317" t="s">
        <v>79</v>
      </c>
      <c r="H55" s="444" t="str">
        <f t="shared" si="1"/>
        <v>Pos:</v>
      </c>
      <c r="I55" s="451"/>
      <c r="K55" s="311" t="s">
        <v>486</v>
      </c>
      <c r="L55" s="289">
        <f>IF(AND('Pos. 3'!$AM$88&lt;&gt;"",'Pos. 3'!$AE$84&lt;&gt;"",'Pos. 3'!$AM$87&lt;&gt;""),1,0)</f>
        <v>0</v>
      </c>
      <c r="M55" s="488"/>
      <c r="U55" s="311" t="b">
        <f t="shared" si="9"/>
        <v>0</v>
      </c>
      <c r="V55" s="491">
        <f t="shared" si="8"/>
        <v>1</v>
      </c>
    </row>
    <row r="56" spans="1:22" ht="15" customHeight="1" thickBot="1" x14ac:dyDescent="0.25">
      <c r="B56" s="281" t="s">
        <v>494</v>
      </c>
      <c r="C56" s="317" t="b">
        <v>0</v>
      </c>
      <c r="D56" s="281" t="s">
        <v>81</v>
      </c>
      <c r="E56" s="316" t="s">
        <v>82</v>
      </c>
      <c r="F56" s="316" t="s">
        <v>83</v>
      </c>
      <c r="G56" s="317" t="s">
        <v>150</v>
      </c>
      <c r="H56" s="444" t="str">
        <f t="shared" si="1"/>
        <v>Stück:</v>
      </c>
      <c r="I56" s="451"/>
      <c r="K56" s="311" t="s">
        <v>491</v>
      </c>
      <c r="L56" s="492">
        <f>IF(OR($C$41=TRUE,$C$43=TRUE,$C$44=TRUE,AND('Pos. 3'!F10="F",'Pos. 3'!J10="")),1,0)</f>
        <v>0</v>
      </c>
      <c r="M56" s="295">
        <f>SUM(L56:L57)</f>
        <v>0</v>
      </c>
      <c r="U56" s="311" t="b">
        <f>IF(M56=0,FALSE,TRUE)</f>
        <v>0</v>
      </c>
      <c r="V56" s="491">
        <f t="shared" si="8"/>
        <v>1</v>
      </c>
    </row>
    <row r="57" spans="1:22" x14ac:dyDescent="0.2">
      <c r="B57" s="281" t="s">
        <v>495</v>
      </c>
      <c r="C57" s="317" t="b">
        <v>0</v>
      </c>
      <c r="D57" s="281" t="s">
        <v>84</v>
      </c>
      <c r="E57" s="316" t="s">
        <v>85</v>
      </c>
      <c r="F57" s="316" t="s">
        <v>85</v>
      </c>
      <c r="G57" s="317" t="s">
        <v>196</v>
      </c>
      <c r="H57" s="444" t="str">
        <f t="shared" si="1"/>
        <v>Seite:</v>
      </c>
      <c r="I57" s="451"/>
      <c r="K57" s="311" t="s">
        <v>492</v>
      </c>
      <c r="L57" s="495">
        <f>IF(AND($C$42=TRUE,OR($C$55=TRUE,$C$56=TRUE)),1,0)</f>
        <v>0</v>
      </c>
      <c r="M57" s="296"/>
      <c r="O57" s="34" t="s">
        <v>868</v>
      </c>
      <c r="P57" s="365"/>
      <c r="Q57" s="365"/>
      <c r="R57" s="366"/>
      <c r="T57" s="315"/>
      <c r="U57" s="311"/>
      <c r="V57" s="491"/>
    </row>
    <row r="58" spans="1:22" x14ac:dyDescent="0.2">
      <c r="B58" s="281" t="s">
        <v>496</v>
      </c>
      <c r="C58" s="317" t="b">
        <v>0</v>
      </c>
      <c r="D58" s="281" t="s">
        <v>463</v>
      </c>
      <c r="E58" s="316" t="s">
        <v>464</v>
      </c>
      <c r="F58" s="316" t="s">
        <v>465</v>
      </c>
      <c r="G58" s="317" t="s">
        <v>466</v>
      </c>
      <c r="H58" s="444" t="str">
        <f t="shared" si="1"/>
        <v>Achsmass →</v>
      </c>
      <c r="I58" s="451"/>
      <c r="K58" s="311" t="s">
        <v>497</v>
      </c>
      <c r="L58" s="294">
        <f>IF(AND('Pos. 3'!$G$20=0,'Pos. 3'!$K$20=0,'Pos. 3'!$O$20=0,'Pos. 3'!$S$20=0,'Pos. 3'!$W$20=0,'Pos. 3'!$AA$20=0,'Pos. 3'!$AE$20=0,'Pos. 3'!$AI$20=0,'Pos. 3'!$AM$20=0),1,0)</f>
        <v>1</v>
      </c>
      <c r="M58" s="488"/>
      <c r="O58" s="367" t="s">
        <v>869</v>
      </c>
      <c r="P58" s="368" t="s">
        <v>870</v>
      </c>
      <c r="Q58" s="368" t="s">
        <v>871</v>
      </c>
      <c r="R58" s="369" t="s">
        <v>872</v>
      </c>
      <c r="T58" s="315" t="s">
        <v>768</v>
      </c>
      <c r="U58" s="311" t="b">
        <f>IF(AND(L62=1,'Pos. 3'!C11&gt;35),FALSE,TRUE)</f>
        <v>1</v>
      </c>
      <c r="V58" s="491">
        <f t="shared" si="8"/>
        <v>0</v>
      </c>
    </row>
    <row r="59" spans="1:22" x14ac:dyDescent="0.2">
      <c r="B59" s="281"/>
      <c r="C59" s="317"/>
      <c r="D59" s="281" t="s">
        <v>86</v>
      </c>
      <c r="E59" s="316" t="s">
        <v>87</v>
      </c>
      <c r="F59" s="316" t="s">
        <v>88</v>
      </c>
      <c r="G59" s="317" t="s">
        <v>149</v>
      </c>
      <c r="H59" s="444" t="str">
        <f t="shared" si="1"/>
        <v>VSG mit P4A</v>
      </c>
      <c r="I59" s="451"/>
      <c r="K59" s="311" t="s">
        <v>498</v>
      </c>
      <c r="L59" s="496">
        <f>IF(AND($C$49=FALSE,$C$50=FALSE,$C$51=FALSE),0,1)</f>
        <v>0</v>
      </c>
      <c r="M59" s="298">
        <f>SUM(L58:L59)</f>
        <v>1</v>
      </c>
      <c r="O59" s="357" t="s">
        <v>198</v>
      </c>
      <c r="P59" s="370">
        <f>IF(OR('Pos. 3'!$F$10='Sprachen &amp; Rückgabewerte(3)'!$B$10,'Pos. 3'!$F$10='Sprachen &amp; Rückgabewerte(3)'!$B$11),1,0)</f>
        <v>0</v>
      </c>
      <c r="Q59" s="371">
        <f>IF(P59=1,0,1)</f>
        <v>1</v>
      </c>
      <c r="R59" s="372">
        <f>IF(AND(P59=1,'Pos. 3'!$F$16=""),1,0)</f>
        <v>0</v>
      </c>
      <c r="U59" s="311" t="b">
        <f>IF(M59=0,FALSE,TRUE)</f>
        <v>1</v>
      </c>
      <c r="V59" s="491">
        <f t="shared" si="8"/>
        <v>0</v>
      </c>
    </row>
    <row r="60" spans="1:22" ht="15" customHeight="1" x14ac:dyDescent="0.2">
      <c r="B60" s="281" t="s">
        <v>262</v>
      </c>
      <c r="C60" s="317" t="b">
        <v>0</v>
      </c>
      <c r="D60" s="281" t="s">
        <v>89</v>
      </c>
      <c r="E60" s="316" t="s">
        <v>90</v>
      </c>
      <c r="F60" s="316" t="s">
        <v>322</v>
      </c>
      <c r="G60" s="317" t="s">
        <v>365</v>
      </c>
      <c r="H60" s="444" t="str">
        <f t="shared" si="1"/>
        <v>Insektenschutz</v>
      </c>
      <c r="I60" s="451"/>
      <c r="K60" s="311" t="s">
        <v>499</v>
      </c>
      <c r="L60" s="492">
        <f>IF(AND($C$46=TRUE,OR($C$57=TRUE,$C$58=TRUE)),1,0)</f>
        <v>0</v>
      </c>
      <c r="M60" s="540">
        <f>SUM(L60:L61)</f>
        <v>1</v>
      </c>
      <c r="O60" s="281" t="s">
        <v>199</v>
      </c>
      <c r="P60" s="373">
        <f>IF(OR('Pos. 3'!$J$10='Sprachen &amp; Rückgabewerte(3)'!$B$10,'Pos. 3'!$J$10='Sprachen &amp; Rückgabewerte(3)'!$B$11),1,0)</f>
        <v>0</v>
      </c>
      <c r="Q60" s="316">
        <f t="shared" ref="Q60:Q68" si="10">IF(P60=1,0,1)</f>
        <v>1</v>
      </c>
      <c r="R60" s="317">
        <f>IF(AND(P60=1,'Pos. 3'!$J$16=""),1,0)</f>
        <v>0</v>
      </c>
      <c r="U60" s="311" t="b">
        <f>IF(M60=0,FALSE,TRUE)</f>
        <v>1</v>
      </c>
      <c r="V60" s="491">
        <f t="shared" si="8"/>
        <v>0</v>
      </c>
    </row>
    <row r="61" spans="1:22" ht="12.75" customHeight="1" x14ac:dyDescent="0.2">
      <c r="B61" s="281" t="s">
        <v>263</v>
      </c>
      <c r="C61" s="317" t="b">
        <v>0</v>
      </c>
      <c r="D61" s="330" t="s">
        <v>148</v>
      </c>
      <c r="E61" s="424" t="s">
        <v>148</v>
      </c>
      <c r="F61" s="424" t="s">
        <v>148</v>
      </c>
      <c r="G61" s="423" t="s">
        <v>148</v>
      </c>
      <c r="H61" s="444" t="str">
        <f t="shared" si="1"/>
        <v>Standard = 1050mm</v>
      </c>
      <c r="I61" s="451"/>
      <c r="K61" s="311"/>
      <c r="L61" s="495">
        <f>IF(C46=FALSE,1,0)</f>
        <v>1</v>
      </c>
      <c r="M61" s="541"/>
      <c r="O61" s="281" t="s">
        <v>200</v>
      </c>
      <c r="P61" s="373">
        <f>IF(OR('Pos. 3'!$N$10='Sprachen &amp; Rückgabewerte(3)'!$B$10,'Pos. 3'!$N$10='Sprachen &amp; Rückgabewerte(3)'!$B$11),1,0)</f>
        <v>0</v>
      </c>
      <c r="Q61" s="316">
        <f t="shared" si="10"/>
        <v>1</v>
      </c>
      <c r="R61" s="317">
        <f>IF(AND(P61=1,'Pos. 3'!$N$16=""),1,0)</f>
        <v>0</v>
      </c>
      <c r="U61" s="311"/>
      <c r="V61" s="491"/>
    </row>
    <row r="62" spans="1:22" x14ac:dyDescent="0.2">
      <c r="B62" s="281" t="s">
        <v>264</v>
      </c>
      <c r="C62" s="317" t="b">
        <v>0</v>
      </c>
      <c r="D62" s="281" t="s">
        <v>143</v>
      </c>
      <c r="E62" s="316" t="s">
        <v>144</v>
      </c>
      <c r="F62" s="316" t="s">
        <v>145</v>
      </c>
      <c r="G62" s="317" t="s">
        <v>146</v>
      </c>
      <c r="H62" s="444" t="str">
        <f t="shared" si="1"/>
        <v>RC2: zwingend 1050mm</v>
      </c>
      <c r="I62" s="451"/>
      <c r="K62" s="311" t="s">
        <v>524</v>
      </c>
      <c r="L62" s="492">
        <f>IF(OR(AND('Pos. 3'!$F$10="L",'Pos. 3'!$J$10="R"),AND('Pos. 3'!$J$10="L",'Pos. 3'!$N$10="R"),AND('Pos. 3'!$N$10="L",'Pos. 3'!$R$10="R"),AND('Pos. 3'!$R$10="L",'Pos. 3'!$V$10="R"),AND('Pos. 3'!$V$10="L",'Pos. 3'!$Z$10="R"),AND('Pos. 3'!$Z$10="L",'Pos. 3'!$AD$10="R"),AND('Pos. 3'!$AD$10="L",'Pos. 3'!$AH$10="R"),AND('Pos. 3'!$AH$10="L",'Pos. 3'!$AL$10="R"),AND('Pos. 3'!$AL$10="L",'Pos. 3'!$AP$10="R"),AND('Pos. 3'!F10="F",'Pos. 3'!J10="R"),AND('Pos. 3'!J10="F",'Pos. 3'!N10="R"),AND('Pos. 3'!N10="F",'Pos. 3'!R10="R"),AND('Pos. 3'!R10="F",'Pos. 3'!V10="R"),AND('Pos. 3'!V10="F",'Pos. 3'!Z10="R"),AND('Pos. 3'!Z10="F",'Pos. 3'!AD10="R"),AND('Pos. 3'!AD10="F",'Pos. 3'!AH10="R"),AND('Pos. 3'!AH10="F",'Pos. 3'!AL10="R"),AND('Pos. 3'!AL10="F",'Pos. 3'!AP10="R"),AND('Pos. 3'!F10="L",'Pos. 3'!J10="F"),AND('Pos. 3'!J10="L",'Pos. 3'!N10="F"),AND('Pos. 3'!N10="L",'Pos. 3'!R10="F"),AND('Pos. 3'!R10="L",'Pos. 3'!V10="F"),AND('Pos. 3'!V10="L",'Pos. 3'!Z10="F"),AND('Pos. 3'!Z10="L",'Pos. 3'!AD10="F"),AND('Pos. 3'!AD10="L",'Pos. 3'!AH10="F"),AND('Pos. 3'!AH10="L",'Pos. 3'!AL10="F"),AND('Pos. 3'!AL10="L",'Pos. 3'!AP10="F")),1,0)</f>
        <v>0</v>
      </c>
      <c r="M62" s="295">
        <f>IF(AND(L58=0,SUM(L62:L65)=2),0,SUM(L62:L65))</f>
        <v>1</v>
      </c>
      <c r="O62" s="281" t="s">
        <v>201</v>
      </c>
      <c r="P62" s="373">
        <f>IF(OR('Pos. 3'!$R$10='Sprachen &amp; Rückgabewerte(3)'!$B$10,'Pos. 3'!$R$10='Sprachen &amp; Rückgabewerte(3)'!$B$11),1,0)</f>
        <v>0</v>
      </c>
      <c r="Q62" s="316">
        <f t="shared" si="10"/>
        <v>1</v>
      </c>
      <c r="R62" s="317">
        <f>IF(AND(P62=1,'Pos. 3'!$R$16=""),1,0)</f>
        <v>0</v>
      </c>
      <c r="U62" s="311" t="b">
        <f>IF(OR(M62=2,M62=3),FALSE,TRUE)</f>
        <v>1</v>
      </c>
      <c r="V62" s="491">
        <f t="shared" si="8"/>
        <v>0</v>
      </c>
    </row>
    <row r="63" spans="1:22" ht="15.75" customHeight="1" thickBot="1" x14ac:dyDescent="0.25">
      <c r="B63" s="472" t="s">
        <v>265</v>
      </c>
      <c r="C63" s="377" t="b">
        <v>0</v>
      </c>
      <c r="D63" s="281" t="s">
        <v>147</v>
      </c>
      <c r="E63" s="316" t="s">
        <v>147</v>
      </c>
      <c r="F63" s="316" t="s">
        <v>147</v>
      </c>
      <c r="G63" s="317" t="s">
        <v>147</v>
      </c>
      <c r="H63" s="444" t="str">
        <f t="shared" si="1"/>
        <v>min: RV=200 MVv=750</v>
      </c>
      <c r="I63" s="451"/>
      <c r="K63" s="311"/>
      <c r="L63" s="497">
        <f>IF(AND('Pos. 3'!G20="",'Pos. 3'!K20="",'Pos. 3'!O20="",'Pos. 3'!S20="",'Pos. 3'!W20="",'Pos. 3'!AA20="",'Pos. 3'!AE20="",'Pos. 3'!AI20="",'Pos. 3'!AM20=""),1,2)</f>
        <v>1</v>
      </c>
      <c r="M63" s="300"/>
      <c r="O63" s="281" t="s">
        <v>202</v>
      </c>
      <c r="P63" s="373">
        <f>IF(OR('Pos. 3'!$V$10='Sprachen &amp; Rückgabewerte(3)'!$B$10,'Pos. 3'!$V$10='Sprachen &amp; Rückgabewerte(3)'!$B$11),1,0)</f>
        <v>0</v>
      </c>
      <c r="Q63" s="316">
        <f t="shared" si="10"/>
        <v>1</v>
      </c>
      <c r="R63" s="317">
        <f>IF(AND(P63=1,'Pos. 3'!$V$16=""),1,0)</f>
        <v>0</v>
      </c>
      <c r="T63" s="315" t="s">
        <v>776</v>
      </c>
      <c r="U63" s="311" t="b">
        <f>IF('Pos. 3'!AX25="",FALSE,TRUE)</f>
        <v>0</v>
      </c>
      <c r="V63" s="491">
        <f>IF(U63=FALSE,1,0)</f>
        <v>1</v>
      </c>
    </row>
    <row r="64" spans="1:22" ht="15" customHeight="1" x14ac:dyDescent="0.2">
      <c r="B64" s="498" t="s">
        <v>589</v>
      </c>
      <c r="C64" s="499">
        <f>IF(OR($C$60=TRUE,$C$61=TRUE,$C$62=TRUE,$C$63=TRUE),1,0)</f>
        <v>0</v>
      </c>
      <c r="D64" s="281" t="s">
        <v>151</v>
      </c>
      <c r="E64" s="316" t="s">
        <v>267</v>
      </c>
      <c r="F64" s="316" t="s">
        <v>291</v>
      </c>
      <c r="G64" s="317" t="s">
        <v>305</v>
      </c>
      <c r="H64" s="444" t="str">
        <f t="shared" si="1"/>
        <v>Verschlussgriffe:</v>
      </c>
      <c r="I64" s="451"/>
      <c r="K64" s="311"/>
      <c r="L64" s="497">
        <f>IF(AND($C$45=FALSE,$C$46=FALSE,$C$47=FALSE,$C$48=FALSE),0,1)</f>
        <v>0</v>
      </c>
      <c r="M64" s="300"/>
      <c r="O64" s="281" t="s">
        <v>203</v>
      </c>
      <c r="P64" s="373">
        <f>IF(OR('Pos. 3'!$Z$10='Sprachen &amp; Rückgabewerte(3)'!$B$10,'Pos. 3'!$Z$10='Sprachen &amp; Rückgabewerte(3)'!$B$11),1,0)</f>
        <v>0</v>
      </c>
      <c r="Q64" s="316">
        <f t="shared" si="10"/>
        <v>1</v>
      </c>
      <c r="R64" s="317">
        <f>IF(AND(P64=1,'Pos. 3'!$Z$16=""),1,0)</f>
        <v>0</v>
      </c>
      <c r="T64" s="315" t="s">
        <v>783</v>
      </c>
      <c r="U64" s="311" t="b">
        <f>IF('Pos. 3'!AM87="",FALSE,TRUE)</f>
        <v>0</v>
      </c>
      <c r="V64" s="491">
        <f>IF(U64=FALSE,1,0)</f>
        <v>1</v>
      </c>
    </row>
    <row r="65" spans="2:23" ht="15.75" customHeight="1" thickBot="1" x14ac:dyDescent="0.25">
      <c r="B65" s="90"/>
      <c r="C65" s="500"/>
      <c r="D65" s="281" t="s">
        <v>155</v>
      </c>
      <c r="E65" s="316" t="s">
        <v>268</v>
      </c>
      <c r="F65" s="316" t="s">
        <v>323</v>
      </c>
      <c r="G65" s="317" t="s">
        <v>794</v>
      </c>
      <c r="H65" s="444" t="str">
        <f t="shared" si="1"/>
        <v>mit Verschlussraster (Druckknopf)</v>
      </c>
      <c r="I65" s="451"/>
      <c r="K65" s="311"/>
      <c r="L65" s="495">
        <f>IF(AND('Pos. 3'!H11="",'Pos. 3'!I11="",'Pos. 3'!L11="",'Pos. 3'!M11="",'Pos. 3'!P11="",'Pos. 3'!Q11="",'Pos. 3'!T11="",'Pos. 3'!U11="",'Pos. 3'!X11="",'Pos. 3'!Y11="",'Pos. 3'!AB11="",'Pos. 3'!AC11="",'Pos. 3'!AF11="",'Pos. 3'!AG11="",'Pos. 3'!AJ11="",'Pos. 3'!AK11="",'Pos. 3'!AN11="",'Pos. 3'!AO11=""),0,1)</f>
        <v>0</v>
      </c>
      <c r="M65" s="296"/>
      <c r="O65" s="281" t="s">
        <v>204</v>
      </c>
      <c r="P65" s="373">
        <f>IF(OR('Pos. 3'!$AD$10='Sprachen &amp; Rückgabewerte(3)'!$B$10,'Pos. 3'!$AD$10='Sprachen &amp; Rückgabewerte(3)'!$B$11),1,0)</f>
        <v>0</v>
      </c>
      <c r="Q65" s="316">
        <f t="shared" si="10"/>
        <v>1</v>
      </c>
      <c r="R65" s="317">
        <f>IF(AND(P65=1,'Pos. 3'!$AD$16=""),1,0)</f>
        <v>0</v>
      </c>
      <c r="T65" s="280" t="s">
        <v>912</v>
      </c>
      <c r="U65" s="311" t="b">
        <f>IF(AND(C51=TRUE,'Pos. 3'!V96=""),FALSE,TRUE)</f>
        <v>1</v>
      </c>
      <c r="V65" s="491">
        <f>IF(U65=FALSE,1,0)</f>
        <v>0</v>
      </c>
    </row>
    <row r="66" spans="2:23" ht="25.5" x14ac:dyDescent="0.2">
      <c r="B66" s="187" t="s">
        <v>590</v>
      </c>
      <c r="C66" s="500"/>
      <c r="D66" s="281" t="s">
        <v>443</v>
      </c>
      <c r="E66" s="316" t="s">
        <v>444</v>
      </c>
      <c r="F66" s="316" t="s">
        <v>446</v>
      </c>
      <c r="G66" s="317" t="s">
        <v>445</v>
      </c>
      <c r="H66" s="444" t="str">
        <f t="shared" si="1"/>
        <v>mit Verschlussraster (Zylinder)</v>
      </c>
      <c r="I66" s="451"/>
      <c r="K66" s="305" t="s">
        <v>593</v>
      </c>
      <c r="L66" s="492" t="b">
        <f>IF(AND($I$71=TRUE,'Pos. 3'!$AP$74="",'Pos. 3'!$AP$75="",'Pos. 3'!$AP$76=""),FALSE,TRUE)</f>
        <v>1</v>
      </c>
      <c r="M66" s="295" t="b">
        <f>IF(OR($L$66=FALSE,$L$67=FALSE,$L$68=FALSE,L69=FALSE),FALSE,TRUE)</f>
        <v>0</v>
      </c>
      <c r="O66" s="281" t="s">
        <v>205</v>
      </c>
      <c r="P66" s="373">
        <f>IF(OR('Pos. 3'!$AH$10='Sprachen &amp; Rückgabewerte(3)'!$B$10,'Pos. 3'!$AH$10='Sprachen &amp; Rückgabewerte(3)'!$B$11),1,0)</f>
        <v>0</v>
      </c>
      <c r="Q66" s="316">
        <f t="shared" si="10"/>
        <v>1</v>
      </c>
      <c r="R66" s="317">
        <f>IF(AND(P66=1,'Pos. 3'!$AH$16=""),1,0)</f>
        <v>0</v>
      </c>
      <c r="U66" s="311" t="b">
        <f>M66</f>
        <v>0</v>
      </c>
      <c r="V66" s="491">
        <f t="shared" si="8"/>
        <v>1</v>
      </c>
    </row>
    <row r="67" spans="2:23" ht="15" customHeight="1" x14ac:dyDescent="0.2">
      <c r="B67" s="501"/>
      <c r="C67" s="500"/>
      <c r="D67" s="281" t="s">
        <v>152</v>
      </c>
      <c r="E67" s="316" t="s">
        <v>269</v>
      </c>
      <c r="F67" s="316" t="s">
        <v>324</v>
      </c>
      <c r="G67" s="317" t="s">
        <v>366</v>
      </c>
      <c r="H67" s="444" t="str">
        <f t="shared" si="1"/>
        <v>ohne Verschlussraster</v>
      </c>
      <c r="I67" s="451"/>
      <c r="K67" s="305" t="s">
        <v>594</v>
      </c>
      <c r="L67" s="502" t="b">
        <f>IF('Pos. 3'!AN78="",FALSE,TRUE)</f>
        <v>0</v>
      </c>
      <c r="M67" s="300"/>
      <c r="O67" s="281" t="s">
        <v>206</v>
      </c>
      <c r="P67" s="373">
        <f>IF(OR('Pos. 3'!$AL$10='Sprachen &amp; Rückgabewerte(3)'!$B$10,'Pos. 3'!$AL$10='Sprachen &amp; Rückgabewerte(3)'!$B$11),1,0)</f>
        <v>0</v>
      </c>
      <c r="Q67" s="316">
        <f t="shared" si="10"/>
        <v>1</v>
      </c>
      <c r="R67" s="317">
        <f>IF(AND(P67=1,'Pos. 3'!$AL$16=""),1,0)</f>
        <v>0</v>
      </c>
      <c r="T67" s="315" t="s">
        <v>874</v>
      </c>
      <c r="U67" s="311" t="b">
        <f>IF(R69&gt;0,FALSE,TRUE)</f>
        <v>1</v>
      </c>
      <c r="V67" s="491">
        <f>IF(U67=FALSE,1,0)</f>
        <v>0</v>
      </c>
    </row>
    <row r="68" spans="2:23" ht="15" customHeight="1" x14ac:dyDescent="0.2">
      <c r="B68" s="444" t="str">
        <f>$H$112</f>
        <v>mit CFK</v>
      </c>
      <c r="C68" s="500"/>
      <c r="D68" s="281" t="s">
        <v>153</v>
      </c>
      <c r="E68" s="316" t="s">
        <v>270</v>
      </c>
      <c r="F68" s="316" t="s">
        <v>293</v>
      </c>
      <c r="G68" s="317" t="s">
        <v>367</v>
      </c>
      <c r="H68" s="444" t="str">
        <f t="shared" si="1"/>
        <v>2-Punkt Verriegelung</v>
      </c>
      <c r="I68" s="451"/>
      <c r="J68" s="280" t="str">
        <f>H68</f>
        <v>2-Punkt Verriegelung</v>
      </c>
      <c r="K68" s="305" t="s">
        <v>595</v>
      </c>
      <c r="L68" s="502" t="b">
        <f>IF('Pos. 3'!AN79="",FALSE,TRUE)</f>
        <v>0</v>
      </c>
      <c r="M68" s="300"/>
      <c r="O68" s="281" t="s">
        <v>207</v>
      </c>
      <c r="P68" s="373">
        <f>IF(OR('Pos. 3'!$AP$10='Sprachen &amp; Rückgabewerte(3)'!$B$10,'Pos. 3'!$AP$10='Sprachen &amp; Rückgabewerte(3)'!$B$11),1,0)</f>
        <v>0</v>
      </c>
      <c r="Q68" s="316">
        <f t="shared" si="10"/>
        <v>1</v>
      </c>
      <c r="R68" s="317">
        <f>IF(AND(P68=1,'Pos. 3'!$AP$16=""),1,0)</f>
        <v>0</v>
      </c>
      <c r="T68" s="315" t="s">
        <v>892</v>
      </c>
      <c r="U68" s="311" t="b">
        <f>IF('Pos. 3'!AQ96="",FALSE,TRUE)</f>
        <v>0</v>
      </c>
      <c r="V68" s="491">
        <f>IF(U68=FALSE,1,0)</f>
        <v>1</v>
      </c>
      <c r="W68" s="503">
        <f>SUM(V68:V69)</f>
        <v>1</v>
      </c>
    </row>
    <row r="69" spans="2:23" ht="15" customHeight="1" thickBot="1" x14ac:dyDescent="0.25">
      <c r="B69" s="444" t="str">
        <f>$H$113</f>
        <v>ohne CFK</v>
      </c>
      <c r="C69" s="500"/>
      <c r="D69" s="281" t="s">
        <v>154</v>
      </c>
      <c r="E69" s="316" t="s">
        <v>271</v>
      </c>
      <c r="F69" s="316" t="s">
        <v>292</v>
      </c>
      <c r="G69" s="317" t="s">
        <v>368</v>
      </c>
      <c r="H69" s="444" t="str">
        <f t="shared" si="1"/>
        <v>3-Punkt Verriegelung</v>
      </c>
      <c r="I69" s="451"/>
      <c r="J69" s="280" t="str">
        <f>H69</f>
        <v>3-Punkt Verriegelung</v>
      </c>
      <c r="K69" s="305" t="s">
        <v>596</v>
      </c>
      <c r="L69" s="504" t="b">
        <f>IF('Pos. 3'!$AN$80&lt;&gt;"",TRUE,FALSE)</f>
        <v>0</v>
      </c>
      <c r="M69" s="296"/>
      <c r="O69" s="374"/>
      <c r="P69" s="375"/>
      <c r="Q69" s="376" t="s">
        <v>873</v>
      </c>
      <c r="R69" s="377">
        <f>IF(I20=TRUE,SUM(R59:R68),0)</f>
        <v>0</v>
      </c>
      <c r="T69" s="315" t="s">
        <v>894</v>
      </c>
      <c r="U69" s="311" t="b">
        <f>IF(AND('Pos. 3'!AQ96='Sprachen &amp; Rückgabewerte(3)'!H95,'Pos. 3'!AW96=""),FALSE,TRUE)</f>
        <v>1</v>
      </c>
      <c r="V69" s="491">
        <f>IF(U69=FALSE,1,0)</f>
        <v>0</v>
      </c>
    </row>
    <row r="70" spans="2:23" x14ac:dyDescent="0.2">
      <c r="B70" s="444"/>
      <c r="C70" s="500"/>
      <c r="D70" s="281" t="s">
        <v>266</v>
      </c>
      <c r="E70" s="316" t="s">
        <v>272</v>
      </c>
      <c r="F70" s="316" t="s">
        <v>294</v>
      </c>
      <c r="G70" s="317" t="s">
        <v>306</v>
      </c>
      <c r="H70" s="444" t="str">
        <f t="shared" si="1"/>
        <v>Befestigung:</v>
      </c>
      <c r="I70" s="451"/>
      <c r="K70" s="311" t="s">
        <v>620</v>
      </c>
      <c r="L70" s="505">
        <f>IF(AND(I19=TRUE,O51=1),1,0)</f>
        <v>0</v>
      </c>
      <c r="M70" s="298"/>
      <c r="U70" s="311" t="b">
        <f>IF(AND(I19=TRUE,O51&lt;&gt;1),FALSE,TRUE)</f>
        <v>1</v>
      </c>
      <c r="V70" s="491">
        <f t="shared" si="8"/>
        <v>0</v>
      </c>
    </row>
    <row r="71" spans="2:23" x14ac:dyDescent="0.2">
      <c r="B71" s="444" t="str">
        <f>$H$114</f>
        <v>mit Stahl</v>
      </c>
      <c r="C71" s="500"/>
      <c r="D71" s="281" t="s">
        <v>318</v>
      </c>
      <c r="E71" s="316" t="s">
        <v>319</v>
      </c>
      <c r="F71" s="316" t="s">
        <v>320</v>
      </c>
      <c r="G71" s="317" t="s">
        <v>307</v>
      </c>
      <c r="H71" s="444" t="str">
        <f t="shared" si="1"/>
        <v>Universalschrauben (A2):</v>
      </c>
      <c r="I71" s="451" t="b">
        <v>0</v>
      </c>
      <c r="K71" s="311" t="s">
        <v>698</v>
      </c>
      <c r="L71" s="505">
        <f>IF(OR('Pos. 3'!$F$10='Sprachen &amp; Rückgabewerte(3)'!$B$14,'Pos. 3'!$J$10='Sprachen &amp; Rückgabewerte(3)'!$B$14,'Pos. 3'!$N$10='Sprachen &amp; Rückgabewerte(3)'!B14,'Pos. 3'!$R$10='Sprachen &amp; Rückgabewerte(3)'!$B$14,'Pos. 3'!$V$10='Sprachen &amp; Rückgabewerte(3)'!$B$14,'Pos. 3'!$Z$10='Sprachen &amp; Rückgabewerte(3)'!$B$14,'Pos. 3'!$AD$10='Sprachen &amp; Rückgabewerte(3)'!$B$14,'Pos. 3'!$AH$10='Sprachen &amp; Rückgabewerte(3)'!$B$14,'Pos. 3'!$AL$10='Sprachen &amp; Rückgabewerte(3)'!$B$14,'Pos. 3'!$AP$10='Sprachen &amp; Rückgabewerte(3)'!$B$14),0,1)</f>
        <v>1</v>
      </c>
      <c r="M71" s="298">
        <f>IF(AND(L71=0,'Pos. 3'!AW48=""),0,1)</f>
        <v>1</v>
      </c>
      <c r="U71" s="311" t="b">
        <f>IF(M71=1,TRUE,FALSE)</f>
        <v>1</v>
      </c>
      <c r="V71" s="491">
        <f t="shared" si="8"/>
        <v>0</v>
      </c>
    </row>
    <row r="72" spans="2:23" x14ac:dyDescent="0.2">
      <c r="B72" s="444" t="str">
        <f>$H$115</f>
        <v>ohne Stahl</v>
      </c>
      <c r="C72" s="500"/>
      <c r="D72" s="281" t="s">
        <v>156</v>
      </c>
      <c r="E72" s="316" t="s">
        <v>156</v>
      </c>
      <c r="F72" s="316" t="s">
        <v>156</v>
      </c>
      <c r="G72" s="316" t="s">
        <v>156</v>
      </c>
      <c r="H72" s="444" t="str">
        <f t="shared" ref="H72:H88" si="11">IF($B$3=$A$3,D72,IF($B$3=$A$4,E72,IF($B$3=$A$5,F72,IF($B$3=$A$6,G72,""))))</f>
        <v>L=52mm</v>
      </c>
      <c r="I72" s="451"/>
      <c r="J72" s="280" t="str">
        <f>H72</f>
        <v>L=52mm</v>
      </c>
      <c r="K72" s="305" t="s">
        <v>761</v>
      </c>
      <c r="L72" s="306">
        <f>C95</f>
        <v>6</v>
      </c>
      <c r="M72" s="491"/>
      <c r="U72" s="311" t="b">
        <f>IF(AND(L72&gt;0,I50=TRUE),FALSE,TRUE)</f>
        <v>1</v>
      </c>
      <c r="V72" s="491">
        <f t="shared" si="8"/>
        <v>0</v>
      </c>
    </row>
    <row r="73" spans="2:23" x14ac:dyDescent="0.2">
      <c r="B73" s="444"/>
      <c r="C73" s="500"/>
      <c r="D73" s="281" t="s">
        <v>157</v>
      </c>
      <c r="E73" s="316" t="s">
        <v>157</v>
      </c>
      <c r="F73" s="316" t="s">
        <v>157</v>
      </c>
      <c r="G73" s="316" t="s">
        <v>157</v>
      </c>
      <c r="H73" s="444" t="str">
        <f t="shared" si="11"/>
        <v>L=82mm</v>
      </c>
      <c r="I73" s="451"/>
      <c r="J73" s="280" t="str">
        <f>H73</f>
        <v>L=82mm</v>
      </c>
      <c r="K73" s="305" t="s">
        <v>763</v>
      </c>
      <c r="L73" s="306">
        <f>A50</f>
        <v>0</v>
      </c>
      <c r="M73" s="491"/>
      <c r="U73" s="311" t="b">
        <f>IF(L73=0,TRUE,FALSE)</f>
        <v>1</v>
      </c>
      <c r="V73" s="491">
        <f t="shared" si="8"/>
        <v>0</v>
      </c>
    </row>
    <row r="74" spans="2:23" x14ac:dyDescent="0.2">
      <c r="B74" s="444" t="str">
        <f>$H$120</f>
        <v>mit AL.</v>
      </c>
      <c r="C74" s="500"/>
      <c r="D74" s="281" t="s">
        <v>158</v>
      </c>
      <c r="E74" s="316" t="s">
        <v>158</v>
      </c>
      <c r="F74" s="316" t="s">
        <v>158</v>
      </c>
      <c r="G74" s="316" t="s">
        <v>158</v>
      </c>
      <c r="H74" s="444" t="str">
        <f t="shared" si="11"/>
        <v>L=112mm</v>
      </c>
      <c r="I74" s="451"/>
      <c r="J74" s="280" t="str">
        <f>H74</f>
        <v>L=112mm</v>
      </c>
      <c r="K74" s="305" t="s">
        <v>339</v>
      </c>
      <c r="L74" s="306" t="b">
        <f>IF(AND(I51=TRUE,'Pos. 3'!AP86=""),FALSE,TRUE)</f>
        <v>1</v>
      </c>
      <c r="M74" s="491"/>
      <c r="U74" s="311" t="b">
        <f>L74</f>
        <v>1</v>
      </c>
      <c r="V74" s="491">
        <f t="shared" si="8"/>
        <v>0</v>
      </c>
    </row>
    <row r="75" spans="2:23" x14ac:dyDescent="0.2">
      <c r="B75" s="444" t="str">
        <f>$H$121</f>
        <v>ohne AL.</v>
      </c>
      <c r="C75" s="500"/>
      <c r="D75" s="281" t="s">
        <v>879</v>
      </c>
      <c r="E75" s="316" t="s">
        <v>880</v>
      </c>
      <c r="F75" s="316" t="s">
        <v>881</v>
      </c>
      <c r="G75" s="317" t="s">
        <v>882</v>
      </c>
      <c r="H75" s="444" t="str">
        <f t="shared" si="11"/>
        <v>(VE à 100 Stk.)</v>
      </c>
      <c r="I75" s="451"/>
      <c r="K75" s="305" t="s">
        <v>764</v>
      </c>
      <c r="L75" s="306" t="b">
        <f>IF(AND(I22=TRUE,'Pos. 3'!AL39=""),FALSE,TRUE)</f>
        <v>1</v>
      </c>
      <c r="M75" s="491"/>
      <c r="U75" s="311" t="b">
        <f>L75</f>
        <v>1</v>
      </c>
      <c r="V75" s="491">
        <f t="shared" si="8"/>
        <v>0</v>
      </c>
    </row>
    <row r="76" spans="2:23" x14ac:dyDescent="0.2">
      <c r="B76" s="444"/>
      <c r="D76" s="281" t="s">
        <v>159</v>
      </c>
      <c r="E76" s="316" t="s">
        <v>273</v>
      </c>
      <c r="F76" s="316" t="s">
        <v>295</v>
      </c>
      <c r="G76" s="317" t="s">
        <v>308</v>
      </c>
      <c r="H76" s="444" t="str">
        <f t="shared" si="11"/>
        <v>Sockelbefestigung:</v>
      </c>
      <c r="I76" s="451"/>
      <c r="K76" s="305" t="s">
        <v>765</v>
      </c>
      <c r="L76" s="306" t="b">
        <f>IF(AND(I45=TRUE,'Pos. 3'!AI57=""),FALSE,TRUE)</f>
        <v>1</v>
      </c>
      <c r="M76" s="491"/>
      <c r="U76" s="311" t="b">
        <f t="shared" ref="U76:U77" si="12">L76</f>
        <v>1</v>
      </c>
      <c r="V76" s="491">
        <f t="shared" si="8"/>
        <v>0</v>
      </c>
    </row>
    <row r="77" spans="2:23" ht="13.5" thickBot="1" x14ac:dyDescent="0.25">
      <c r="B77" s="444" t="str">
        <f>$H$122</f>
        <v>mit Stahl (&gt;2.5m)</v>
      </c>
      <c r="D77" s="281" t="s">
        <v>160</v>
      </c>
      <c r="E77" s="316" t="s">
        <v>274</v>
      </c>
      <c r="F77" s="316" t="s">
        <v>296</v>
      </c>
      <c r="G77" s="317" t="s">
        <v>309</v>
      </c>
      <c r="H77" s="444" t="str">
        <f t="shared" si="11"/>
        <v>Verstellschrauben M10 x</v>
      </c>
      <c r="I77" s="451"/>
      <c r="J77" s="280" t="str">
        <f>H80</f>
        <v>ohne</v>
      </c>
      <c r="K77" s="308" t="s">
        <v>766</v>
      </c>
      <c r="L77" s="309" t="b">
        <f>IF(OR('Pos. 3'!AE84='Sprachen &amp; Rückgabewerte(3)'!H88,AND('Pos. 3'!AE84='Sprachen &amp; Rückgabewerte(3)'!H89,'Pos. 3'!AE85&lt;&gt;"")),TRUE,FALSE)</f>
        <v>0</v>
      </c>
      <c r="M77" s="506"/>
      <c r="U77" s="311" t="b">
        <f t="shared" si="12"/>
        <v>0</v>
      </c>
      <c r="V77" s="491">
        <f t="shared" si="8"/>
        <v>1</v>
      </c>
    </row>
    <row r="78" spans="2:23" ht="13.5" thickBot="1" x14ac:dyDescent="0.25">
      <c r="B78" s="494" t="str">
        <f>$H$123</f>
        <v>ohne Stahl (&lt;2.5m)</v>
      </c>
      <c r="D78" s="281" t="s">
        <v>161</v>
      </c>
      <c r="E78" s="316" t="s">
        <v>161</v>
      </c>
      <c r="F78" s="316" t="s">
        <v>161</v>
      </c>
      <c r="G78" s="316" t="s">
        <v>161</v>
      </c>
      <c r="H78" s="444" t="str">
        <f t="shared" si="11"/>
        <v>L=70mm</v>
      </c>
      <c r="I78" s="451"/>
      <c r="J78" s="280" t="str">
        <f>H78</f>
        <v>L=70mm</v>
      </c>
      <c r="K78" s="34" t="s">
        <v>442</v>
      </c>
      <c r="L78" s="365"/>
      <c r="M78" s="365"/>
      <c r="N78" s="365"/>
      <c r="O78" s="366"/>
      <c r="T78" s="315" t="s">
        <v>943</v>
      </c>
      <c r="U78" s="311" t="b">
        <f>IF('Pos. 3'!AZ9="",FALSE,TRUE)</f>
        <v>0</v>
      </c>
      <c r="V78" s="491">
        <f t="shared" si="8"/>
        <v>1</v>
      </c>
      <c r="W78" s="280">
        <f>SUM(V78:V79)</f>
        <v>2</v>
      </c>
    </row>
    <row r="79" spans="2:23" ht="13.5" thickBot="1" x14ac:dyDescent="0.25">
      <c r="D79" s="281" t="s">
        <v>162</v>
      </c>
      <c r="E79" s="316" t="s">
        <v>162</v>
      </c>
      <c r="F79" s="316" t="s">
        <v>162</v>
      </c>
      <c r="G79" s="316" t="s">
        <v>162</v>
      </c>
      <c r="H79" s="444" t="str">
        <f t="shared" si="11"/>
        <v>L=100mm</v>
      </c>
      <c r="I79" s="451"/>
      <c r="J79" s="280" t="str">
        <f>H79</f>
        <v>L=100mm</v>
      </c>
      <c r="K79" s="507" t="str">
        <f>H65</f>
        <v>mit Verschlussraster (Druckknopf)</v>
      </c>
      <c r="L79" s="508"/>
      <c r="M79" s="509"/>
      <c r="N79" s="510" t="str">
        <f>IF(OR(C62=TRUE,C63=TRUE),K81,K79)</f>
        <v>mit Verschlussraster (Druckknopf)</v>
      </c>
      <c r="O79" s="511"/>
      <c r="T79" s="315" t="s">
        <v>944</v>
      </c>
      <c r="U79" s="311" t="b">
        <f>IF('Pos. 3'!AZ10="",FALSE,TRUE)</f>
        <v>0</v>
      </c>
      <c r="V79" s="491">
        <f t="shared" si="8"/>
        <v>1</v>
      </c>
    </row>
    <row r="80" spans="2:23" ht="13.5" thickBot="1" x14ac:dyDescent="0.25">
      <c r="B80" s="57" t="s">
        <v>619</v>
      </c>
      <c r="D80" s="281" t="s">
        <v>163</v>
      </c>
      <c r="E80" s="316" t="s">
        <v>275</v>
      </c>
      <c r="F80" s="316" t="s">
        <v>297</v>
      </c>
      <c r="G80" s="317" t="s">
        <v>310</v>
      </c>
      <c r="H80" s="444" t="str">
        <f t="shared" si="11"/>
        <v>ohne</v>
      </c>
      <c r="I80" s="451"/>
      <c r="J80" s="280" t="str">
        <f>H80</f>
        <v>ohne</v>
      </c>
      <c r="K80" s="512" t="str">
        <f>H67</f>
        <v>ohne Verschlussraster</v>
      </c>
      <c r="L80" s="513"/>
      <c r="M80" s="465"/>
      <c r="N80" s="514" t="str">
        <f>IF(OR(C62=TRUE,C63=TRUE),K82,K80)</f>
        <v>ohne Verschlussraster</v>
      </c>
      <c r="O80" s="455"/>
      <c r="U80" s="311"/>
      <c r="V80" s="491"/>
    </row>
    <row r="81" spans="1:22" x14ac:dyDescent="0.2">
      <c r="A81" s="515">
        <v>280</v>
      </c>
      <c r="B81" s="516" t="str">
        <f>""</f>
        <v/>
      </c>
      <c r="C81" s="517">
        <v>214</v>
      </c>
      <c r="D81" s="281" t="s">
        <v>164</v>
      </c>
      <c r="E81" s="316" t="s">
        <v>276</v>
      </c>
      <c r="F81" s="316" t="s">
        <v>298</v>
      </c>
      <c r="G81" s="317" t="s">
        <v>311</v>
      </c>
      <c r="H81" s="444" t="str">
        <f t="shared" si="11"/>
        <v>inklusive</v>
      </c>
      <c r="I81" s="451"/>
      <c r="J81" s="280" t="str">
        <f>H81</f>
        <v>inklusive</v>
      </c>
      <c r="K81" s="512" t="str">
        <f>H66</f>
        <v>mit Verschlussraster (Zylinder)</v>
      </c>
      <c r="L81" s="513"/>
      <c r="M81" s="465"/>
      <c r="N81" s="518"/>
      <c r="O81" s="455"/>
      <c r="U81" s="311"/>
      <c r="V81" s="491"/>
    </row>
    <row r="82" spans="1:22" ht="13.5" thickBot="1" x14ac:dyDescent="0.25">
      <c r="A82" s="519">
        <v>254</v>
      </c>
      <c r="B82" s="520">
        <v>85</v>
      </c>
      <c r="C82" s="521">
        <f>IF('Pos. 3'!$T$114='Sprachen &amp; Rückgabewerte(3)'!$J$146,130,144)</f>
        <v>144</v>
      </c>
      <c r="D82" s="281" t="s">
        <v>277</v>
      </c>
      <c r="E82" s="316" t="s">
        <v>278</v>
      </c>
      <c r="F82" s="316" t="s">
        <v>299</v>
      </c>
      <c r="G82" s="317" t="s">
        <v>278</v>
      </c>
      <c r="H82" s="444" t="str">
        <f t="shared" si="11"/>
        <v>Sockel 75</v>
      </c>
      <c r="I82" s="451"/>
      <c r="J82" s="280" t="str">
        <f>H82</f>
        <v>Sockel 75</v>
      </c>
      <c r="K82" s="374" t="str">
        <f>H160</f>
        <v>ohne Verschlussraster (Zylinder)</v>
      </c>
      <c r="L82" s="375"/>
      <c r="M82" s="376"/>
      <c r="N82" s="375"/>
      <c r="O82" s="460"/>
      <c r="U82" s="522"/>
      <c r="V82" s="523"/>
    </row>
    <row r="83" spans="1:22" ht="13.5" thickBot="1" x14ac:dyDescent="0.25">
      <c r="A83" s="519">
        <v>254</v>
      </c>
      <c r="B83" s="520">
        <v>105</v>
      </c>
      <c r="C83" s="521">
        <f>IF('Pos. 3'!$T$114='Sprachen &amp; Rückgabewerte(3)'!$J$146,158,172)</f>
        <v>172</v>
      </c>
      <c r="D83" s="281" t="s">
        <v>163</v>
      </c>
      <c r="E83" s="316" t="s">
        <v>275</v>
      </c>
      <c r="F83" s="316" t="s">
        <v>297</v>
      </c>
      <c r="G83" s="317" t="s">
        <v>310</v>
      </c>
      <c r="H83" s="444" t="str">
        <f t="shared" si="11"/>
        <v>ohne</v>
      </c>
      <c r="I83" s="451"/>
      <c r="T83" s="314" t="s">
        <v>767</v>
      </c>
      <c r="U83" s="438" t="b">
        <f>IF(V83&gt;0,FALSE,TRUE)</f>
        <v>0</v>
      </c>
      <c r="V83" s="524">
        <f>SUM(V41:V82)</f>
        <v>20</v>
      </c>
    </row>
    <row r="84" spans="1:22" ht="13.5" thickBot="1" x14ac:dyDescent="0.25">
      <c r="A84" s="525">
        <v>228</v>
      </c>
      <c r="B84" s="526">
        <v>110</v>
      </c>
      <c r="C84" s="527">
        <f>IF('Pos. 3'!$T$114='Sprachen &amp; Rückgabewerte(3)'!$J$146,186,200)</f>
        <v>200</v>
      </c>
      <c r="D84" s="281" t="s">
        <v>165</v>
      </c>
      <c r="E84" s="316" t="s">
        <v>279</v>
      </c>
      <c r="F84" s="316" t="s">
        <v>300</v>
      </c>
      <c r="G84" s="317" t="s">
        <v>312</v>
      </c>
      <c r="H84" s="444" t="str">
        <f t="shared" si="11"/>
        <v>Rahmenzusammenbau:</v>
      </c>
      <c r="I84" s="451"/>
    </row>
    <row r="85" spans="1:22" x14ac:dyDescent="0.2">
      <c r="D85" s="281" t="s">
        <v>166</v>
      </c>
      <c r="E85" s="316" t="s">
        <v>280</v>
      </c>
      <c r="F85" s="316" t="s">
        <v>301</v>
      </c>
      <c r="G85" s="317" t="s">
        <v>313</v>
      </c>
      <c r="H85" s="444" t="str">
        <f t="shared" si="11"/>
        <v>Gehrungsstoss (A)</v>
      </c>
      <c r="I85" s="451"/>
      <c r="J85" s="280" t="str">
        <f>H85</f>
        <v>Gehrungsstoss (A)</v>
      </c>
      <c r="L85" s="544" t="s">
        <v>711</v>
      </c>
      <c r="M85" s="545"/>
    </row>
    <row r="86" spans="1:22" ht="13.5" thickBot="1" x14ac:dyDescent="0.25">
      <c r="D86" s="281" t="s">
        <v>334</v>
      </c>
      <c r="E86" s="316" t="s">
        <v>281</v>
      </c>
      <c r="F86" s="316" t="s">
        <v>302</v>
      </c>
      <c r="G86" s="317" t="s">
        <v>507</v>
      </c>
      <c r="H86" s="444" t="str">
        <f t="shared" si="11"/>
        <v>Montagestoss (B)</v>
      </c>
      <c r="I86" s="451"/>
      <c r="J86" s="280" t="str">
        <f>H86</f>
        <v>Montagestoss (B)</v>
      </c>
      <c r="L86" s="528"/>
      <c r="M86" s="372"/>
    </row>
    <row r="87" spans="1:22" x14ac:dyDescent="0.2">
      <c r="B87" s="542" t="s">
        <v>649</v>
      </c>
      <c r="C87" s="543"/>
      <c r="D87" s="281" t="s">
        <v>167</v>
      </c>
      <c r="E87" s="316" t="s">
        <v>282</v>
      </c>
      <c r="F87" s="316" t="s">
        <v>342</v>
      </c>
      <c r="G87" s="317" t="s">
        <v>314</v>
      </c>
      <c r="H87" s="444" t="str">
        <f t="shared" si="11"/>
        <v>Logistik:</v>
      </c>
      <c r="I87" s="451"/>
      <c r="L87" s="529">
        <v>1</v>
      </c>
      <c r="M87" s="317" t="str">
        <f>CONCATENATE($H$154," ",L87)</f>
        <v>Kalenderwoche 1</v>
      </c>
    </row>
    <row r="88" spans="1:22" x14ac:dyDescent="0.2">
      <c r="B88" s="357" t="s">
        <v>650</v>
      </c>
      <c r="C88" s="358">
        <f>IF(AND(I50=TRUE,'Pos. 3'!T104&lt;&gt;""),0,1)</f>
        <v>1</v>
      </c>
      <c r="D88" s="281" t="s">
        <v>335</v>
      </c>
      <c r="E88" s="316" t="s">
        <v>771</v>
      </c>
      <c r="F88" s="316" t="s">
        <v>336</v>
      </c>
      <c r="G88" s="317" t="s">
        <v>522</v>
      </c>
      <c r="H88" s="444" t="str">
        <f t="shared" si="11"/>
        <v>ohne Glas-Sortierung</v>
      </c>
      <c r="I88" s="451"/>
      <c r="J88" s="280" t="str">
        <f>H88</f>
        <v>ohne Glas-Sortierung</v>
      </c>
      <c r="L88" s="529">
        <v>2</v>
      </c>
      <c r="M88" s="317" t="str">
        <f t="shared" ref="M88:M138" si="13">CONCATENATE($H$154," ",L88)</f>
        <v>Kalenderwoche 2</v>
      </c>
    </row>
    <row r="89" spans="1:22" x14ac:dyDescent="0.2">
      <c r="B89" s="281" t="s">
        <v>651</v>
      </c>
      <c r="C89" s="466">
        <f>IF(AND(I50=TRUE,'Pos. 3'!T106&lt;&gt;""),0,1)</f>
        <v>1</v>
      </c>
      <c r="D89" s="281" t="s">
        <v>168</v>
      </c>
      <c r="E89" s="316" t="s">
        <v>337</v>
      </c>
      <c r="F89" s="316" t="s">
        <v>338</v>
      </c>
      <c r="G89" s="317" t="s">
        <v>523</v>
      </c>
      <c r="H89" s="444" t="str">
        <f>IF($B$3=$A$3,D89,IF($B$3=$A$4,E89,IF($B$3=$A$5,F89,IF($B$3=$A$6,$G$89,""))))</f>
        <v>nach Stockwerk:</v>
      </c>
      <c r="I89" s="451"/>
      <c r="J89" s="280" t="str">
        <f>H89</f>
        <v>nach Stockwerk:</v>
      </c>
      <c r="L89" s="529">
        <v>3</v>
      </c>
      <c r="M89" s="317" t="str">
        <f t="shared" si="13"/>
        <v>Kalenderwoche 3</v>
      </c>
    </row>
    <row r="90" spans="1:22" x14ac:dyDescent="0.2">
      <c r="B90" s="281" t="s">
        <v>652</v>
      </c>
      <c r="C90" s="466">
        <f>IF(AND(I50=TRUE,'Pos. 3'!T108&lt;&gt;""),0,1)</f>
        <v>1</v>
      </c>
      <c r="D90" s="281" t="s">
        <v>284</v>
      </c>
      <c r="E90" s="316" t="s">
        <v>283</v>
      </c>
      <c r="F90" s="316" t="s">
        <v>303</v>
      </c>
      <c r="G90" s="317" t="s">
        <v>369</v>
      </c>
      <c r="H90" s="444" t="str">
        <f>IF($B$3=$A$3,D90,IF($B$3=$A$4,E90,IF($B$3=$A$5,F90,IF($B$3=$A$6,G90,""))))</f>
        <v>Wunschtermin:</v>
      </c>
      <c r="I90" s="451"/>
      <c r="L90" s="529">
        <v>4</v>
      </c>
      <c r="M90" s="317" t="str">
        <f t="shared" si="13"/>
        <v>Kalenderwoche 4</v>
      </c>
    </row>
    <row r="91" spans="1:22" x14ac:dyDescent="0.2">
      <c r="B91" s="281" t="s">
        <v>653</v>
      </c>
      <c r="C91" s="466">
        <f>IF(AND(I50=TRUE,'Pos. 3'!T110&lt;&gt;""),0,1)</f>
        <v>1</v>
      </c>
      <c r="D91" s="281" t="s">
        <v>386</v>
      </c>
      <c r="E91" s="316" t="s">
        <v>285</v>
      </c>
      <c r="F91" s="316" t="s">
        <v>387</v>
      </c>
      <c r="G91" s="317" t="s">
        <v>388</v>
      </c>
      <c r="H91" s="444" t="str">
        <f t="shared" ref="H91:H111" si="14">IF($B$3=$A$3,D91,IF($B$3=$A$4,E91,IF($B$3=$A$5,F91,IF($B$3=$A$6,G91,""))))</f>
        <v>Farbe Laufschiene + Schraubenarretierungen:</v>
      </c>
      <c r="I91" s="451"/>
      <c r="L91" s="529">
        <v>5</v>
      </c>
      <c r="M91" s="317" t="str">
        <f t="shared" si="13"/>
        <v>Kalenderwoche 5</v>
      </c>
    </row>
    <row r="92" spans="1:22" x14ac:dyDescent="0.2">
      <c r="B92" s="281" t="s">
        <v>654</v>
      </c>
      <c r="C92" s="466">
        <f>IF(AND(I50=TRUE,'Pos. 3'!T112&lt;&gt;""),0,1)</f>
        <v>1</v>
      </c>
      <c r="D92" s="281" t="s">
        <v>434</v>
      </c>
      <c r="E92" s="316" t="s">
        <v>435</v>
      </c>
      <c r="F92" s="316" t="s">
        <v>436</v>
      </c>
      <c r="G92" s="317" t="s">
        <v>437</v>
      </c>
      <c r="H92" s="444" t="str">
        <f t="shared" si="14"/>
        <v>Silber</v>
      </c>
      <c r="I92" s="451"/>
      <c r="J92" s="280" t="str">
        <f>H92</f>
        <v>Silber</v>
      </c>
      <c r="L92" s="529">
        <v>6</v>
      </c>
      <c r="M92" s="317" t="str">
        <f t="shared" si="13"/>
        <v>Kalenderwoche 6</v>
      </c>
    </row>
    <row r="93" spans="1:22" x14ac:dyDescent="0.2">
      <c r="B93" s="281" t="s">
        <v>655</v>
      </c>
      <c r="C93" s="466">
        <f>IF(AND(I50=TRUE,'Pos. 3'!T114&lt;&gt;""),0,1)</f>
        <v>1</v>
      </c>
      <c r="D93" s="281" t="s">
        <v>169</v>
      </c>
      <c r="E93" s="316" t="s">
        <v>286</v>
      </c>
      <c r="F93" s="316" t="s">
        <v>304</v>
      </c>
      <c r="G93" s="317" t="s">
        <v>315</v>
      </c>
      <c r="H93" s="444" t="str">
        <f t="shared" si="14"/>
        <v>Schwarz</v>
      </c>
      <c r="I93" s="451"/>
      <c r="J93" s="280" t="str">
        <f>H93</f>
        <v>Schwarz</v>
      </c>
      <c r="L93" s="529">
        <v>7</v>
      </c>
      <c r="M93" s="317" t="str">
        <f t="shared" si="13"/>
        <v>Kalenderwoche 7</v>
      </c>
      <c r="N93" s="530"/>
    </row>
    <row r="94" spans="1:22" x14ac:dyDescent="0.2">
      <c r="B94" s="281"/>
      <c r="C94" s="317"/>
      <c r="D94" s="281" t="s">
        <v>380</v>
      </c>
      <c r="E94" s="316" t="s">
        <v>592</v>
      </c>
      <c r="F94" s="316" t="s">
        <v>378</v>
      </c>
      <c r="G94" s="317" t="s">
        <v>381</v>
      </c>
      <c r="H94" s="444" t="str">
        <f t="shared" si="14"/>
        <v>Druckausgleichsventile :</v>
      </c>
      <c r="I94" s="451"/>
      <c r="L94" s="529">
        <v>8</v>
      </c>
      <c r="M94" s="317" t="str">
        <f t="shared" si="13"/>
        <v>Kalenderwoche 8</v>
      </c>
    </row>
    <row r="95" spans="1:22" ht="13.5" thickBot="1" x14ac:dyDescent="0.25">
      <c r="B95" s="226" t="s">
        <v>656</v>
      </c>
      <c r="C95" s="227">
        <f>SUM(C88:C93)</f>
        <v>6</v>
      </c>
      <c r="D95" s="281" t="s">
        <v>170</v>
      </c>
      <c r="E95" s="316" t="s">
        <v>175</v>
      </c>
      <c r="F95" s="316" t="s">
        <v>325</v>
      </c>
      <c r="G95" s="317" t="s">
        <v>316</v>
      </c>
      <c r="H95" s="444" t="str">
        <f t="shared" si="14"/>
        <v>Ja</v>
      </c>
      <c r="I95" s="451"/>
      <c r="J95" s="280" t="str">
        <f>H95</f>
        <v>Ja</v>
      </c>
      <c r="L95" s="529">
        <v>9</v>
      </c>
      <c r="M95" s="317" t="str">
        <f t="shared" si="13"/>
        <v>Kalenderwoche 9</v>
      </c>
    </row>
    <row r="96" spans="1:22" x14ac:dyDescent="0.2">
      <c r="D96" s="281" t="s">
        <v>171</v>
      </c>
      <c r="E96" s="316" t="s">
        <v>176</v>
      </c>
      <c r="F96" s="316" t="s">
        <v>799</v>
      </c>
      <c r="G96" s="317" t="s">
        <v>176</v>
      </c>
      <c r="H96" s="444" t="str">
        <f t="shared" si="14"/>
        <v>Nein</v>
      </c>
      <c r="I96" s="451"/>
      <c r="J96" s="280" t="str">
        <f>H96</f>
        <v>Nein</v>
      </c>
      <c r="L96" s="529">
        <v>10</v>
      </c>
      <c r="M96" s="317" t="str">
        <f t="shared" si="13"/>
        <v>Kalenderwoche 10</v>
      </c>
    </row>
    <row r="97" spans="4:14" x14ac:dyDescent="0.2">
      <c r="D97" s="281" t="s">
        <v>172</v>
      </c>
      <c r="E97" s="316" t="s">
        <v>177</v>
      </c>
      <c r="F97" s="316" t="s">
        <v>326</v>
      </c>
      <c r="G97" s="317" t="s">
        <v>317</v>
      </c>
      <c r="H97" s="444" t="str">
        <f t="shared" si="14"/>
        <v>Digitale Unterschrift:</v>
      </c>
      <c r="I97" s="451"/>
      <c r="L97" s="529">
        <v>11</v>
      </c>
      <c r="M97" s="317" t="str">
        <f t="shared" si="13"/>
        <v>Kalenderwoche 11</v>
      </c>
    </row>
    <row r="98" spans="4:14" x14ac:dyDescent="0.2">
      <c r="D98" s="281" t="s">
        <v>174</v>
      </c>
      <c r="E98" s="316" t="s">
        <v>287</v>
      </c>
      <c r="F98" s="316" t="s">
        <v>327</v>
      </c>
      <c r="G98" s="317" t="s">
        <v>370</v>
      </c>
      <c r="H98" s="444" t="str">
        <f t="shared" si="14"/>
        <v>Bestellung an:</v>
      </c>
      <c r="I98" s="451"/>
      <c r="L98" s="529">
        <v>12</v>
      </c>
      <c r="M98" s="317" t="str">
        <f t="shared" si="13"/>
        <v>Kalenderwoche 12</v>
      </c>
    </row>
    <row r="99" spans="4:14" x14ac:dyDescent="0.2">
      <c r="D99" s="281" t="s">
        <v>173</v>
      </c>
      <c r="E99" s="316" t="s">
        <v>173</v>
      </c>
      <c r="F99" s="316" t="s">
        <v>173</v>
      </c>
      <c r="G99" s="317" t="s">
        <v>173</v>
      </c>
      <c r="H99" s="444" t="str">
        <f t="shared" si="14"/>
        <v>orders@sky-frame.ch</v>
      </c>
      <c r="I99" s="451"/>
      <c r="L99" s="529">
        <v>13</v>
      </c>
      <c r="M99" s="317" t="str">
        <f t="shared" si="13"/>
        <v>Kalenderwoche 13</v>
      </c>
    </row>
    <row r="100" spans="4:14" x14ac:dyDescent="0.2">
      <c r="D100" s="281"/>
      <c r="E100" s="316"/>
      <c r="F100" s="316"/>
      <c r="G100" s="317"/>
      <c r="H100" s="444">
        <f t="shared" si="14"/>
        <v>0</v>
      </c>
      <c r="I100" s="451"/>
      <c r="L100" s="529">
        <v>14</v>
      </c>
      <c r="M100" s="317" t="str">
        <f t="shared" si="13"/>
        <v>Kalenderwoche 14</v>
      </c>
    </row>
    <row r="101" spans="4:14" x14ac:dyDescent="0.2">
      <c r="D101" s="281"/>
      <c r="E101" s="316"/>
      <c r="F101" s="316"/>
      <c r="G101" s="317"/>
      <c r="H101" s="444">
        <f t="shared" si="14"/>
        <v>0</v>
      </c>
      <c r="I101" s="451"/>
      <c r="L101" s="529">
        <v>15</v>
      </c>
      <c r="M101" s="317" t="str">
        <f t="shared" si="13"/>
        <v>Kalenderwoche 15</v>
      </c>
    </row>
    <row r="102" spans="4:14" ht="51" x14ac:dyDescent="0.2">
      <c r="D102" s="330" t="s">
        <v>510</v>
      </c>
      <c r="E102" s="424" t="s">
        <v>288</v>
      </c>
      <c r="F102" s="424" t="s">
        <v>752</v>
      </c>
      <c r="G102" s="423" t="s">
        <v>430</v>
      </c>
      <c r="H102" s="531" t="str">
        <f t="shared" si="14"/>
        <v>Diese Bestellung ist verbindlich und muss komplett ausgefüllt werden. Änderungen werden als Mehraufwand verrechnet.</v>
      </c>
      <c r="I102" s="451"/>
      <c r="L102" s="529">
        <v>16</v>
      </c>
      <c r="M102" s="317" t="str">
        <f t="shared" si="13"/>
        <v>Kalenderwoche 16</v>
      </c>
    </row>
    <row r="103" spans="4:14" ht="12.75" customHeight="1" x14ac:dyDescent="0.2">
      <c r="D103" s="330"/>
      <c r="E103" s="316"/>
      <c r="F103" s="316"/>
      <c r="G103" s="317"/>
      <c r="H103" s="444"/>
      <c r="I103" s="451"/>
      <c r="L103" s="529">
        <v>17</v>
      </c>
      <c r="M103" s="317" t="str">
        <f t="shared" si="13"/>
        <v>Kalenderwoche 17</v>
      </c>
      <c r="N103" s="530"/>
    </row>
    <row r="104" spans="4:14" ht="12.75" customHeight="1" x14ac:dyDescent="0.2">
      <c r="D104" s="281" t="s">
        <v>212</v>
      </c>
      <c r="E104" s="316" t="s">
        <v>759</v>
      </c>
      <c r="F104" s="316" t="s">
        <v>328</v>
      </c>
      <c r="G104" s="317" t="s">
        <v>371</v>
      </c>
      <c r="H104" s="444" t="str">
        <f t="shared" si="14"/>
        <v>A-Ecke 90°</v>
      </c>
      <c r="I104" s="451"/>
      <c r="L104" s="529">
        <v>18</v>
      </c>
      <c r="M104" s="317" t="str">
        <f t="shared" si="13"/>
        <v>Kalenderwoche 18</v>
      </c>
    </row>
    <row r="105" spans="4:14" ht="12.75" customHeight="1" x14ac:dyDescent="0.2">
      <c r="D105" s="281" t="s">
        <v>213</v>
      </c>
      <c r="E105" s="316" t="s">
        <v>758</v>
      </c>
      <c r="F105" s="316" t="s">
        <v>461</v>
      </c>
      <c r="G105" s="317" t="s">
        <v>372</v>
      </c>
      <c r="H105" s="444" t="str">
        <f t="shared" si="14"/>
        <v>I-Ecke 90°</v>
      </c>
      <c r="I105" s="451"/>
      <c r="L105" s="529">
        <v>19</v>
      </c>
      <c r="M105" s="317" t="str">
        <f t="shared" si="13"/>
        <v>Kalenderwoche 19</v>
      </c>
    </row>
    <row r="106" spans="4:14" ht="12.75" customHeight="1" x14ac:dyDescent="0.2">
      <c r="D106" s="281" t="s">
        <v>215</v>
      </c>
      <c r="E106" s="316" t="s">
        <v>757</v>
      </c>
      <c r="F106" s="316" t="s">
        <v>329</v>
      </c>
      <c r="G106" s="317" t="s">
        <v>373</v>
      </c>
      <c r="H106" s="444" t="str">
        <f t="shared" si="14"/>
        <v>A-Ecke≠90°</v>
      </c>
      <c r="I106" s="451"/>
      <c r="L106" s="529">
        <v>20</v>
      </c>
      <c r="M106" s="317" t="str">
        <f t="shared" si="13"/>
        <v>Kalenderwoche 20</v>
      </c>
    </row>
    <row r="107" spans="4:14" ht="12.75" customHeight="1" x14ac:dyDescent="0.2">
      <c r="D107" s="281" t="s">
        <v>216</v>
      </c>
      <c r="E107" s="316" t="s">
        <v>756</v>
      </c>
      <c r="F107" s="316" t="s">
        <v>462</v>
      </c>
      <c r="G107" s="317" t="s">
        <v>374</v>
      </c>
      <c r="H107" s="444" t="str">
        <f t="shared" si="14"/>
        <v>I-Ecke≠90°</v>
      </c>
      <c r="I107" s="451"/>
      <c r="L107" s="529">
        <v>21</v>
      </c>
      <c r="M107" s="317" t="str">
        <f t="shared" si="13"/>
        <v>Kalenderwoche 21</v>
      </c>
    </row>
    <row r="108" spans="4:14" ht="12.75" customHeight="1" x14ac:dyDescent="0.2">
      <c r="D108" s="281" t="s">
        <v>447</v>
      </c>
      <c r="E108" s="316" t="s">
        <v>448</v>
      </c>
      <c r="F108" s="316" t="s">
        <v>449</v>
      </c>
      <c r="G108" s="317" t="s">
        <v>450</v>
      </c>
      <c r="H108" s="444" t="str">
        <f t="shared" si="14"/>
        <v>Wert:</v>
      </c>
      <c r="I108" s="451"/>
      <c r="L108" s="529">
        <v>22</v>
      </c>
      <c r="M108" s="317" t="str">
        <f t="shared" si="13"/>
        <v>Kalenderwoche 22</v>
      </c>
    </row>
    <row r="109" spans="4:14" ht="12.75" customHeight="1" x14ac:dyDescent="0.2">
      <c r="D109" s="281" t="s">
        <v>290</v>
      </c>
      <c r="E109" s="316" t="s">
        <v>289</v>
      </c>
      <c r="F109" s="316" t="s">
        <v>330</v>
      </c>
      <c r="G109" s="316" t="s">
        <v>375</v>
      </c>
      <c r="H109" s="444" t="str">
        <f t="shared" si="14"/>
        <v>Bitte auswählen:</v>
      </c>
      <c r="I109" s="451"/>
      <c r="L109" s="529">
        <v>23</v>
      </c>
      <c r="M109" s="317" t="str">
        <f t="shared" si="13"/>
        <v>Kalenderwoche 23</v>
      </c>
    </row>
    <row r="110" spans="4:14" ht="12.75" customHeight="1" x14ac:dyDescent="0.2">
      <c r="D110" s="281" t="s">
        <v>350</v>
      </c>
      <c r="E110" s="316" t="s">
        <v>350</v>
      </c>
      <c r="F110" s="316" t="s">
        <v>350</v>
      </c>
      <c r="G110" s="316" t="s">
        <v>350</v>
      </c>
      <c r="H110" s="444" t="str">
        <f t="shared" si="14"/>
        <v>KABA (22)</v>
      </c>
      <c r="I110" s="451" t="b">
        <v>0</v>
      </c>
      <c r="L110" s="529">
        <v>24</v>
      </c>
      <c r="M110" s="317" t="str">
        <f t="shared" si="13"/>
        <v>Kalenderwoche 24</v>
      </c>
    </row>
    <row r="111" spans="4:14" ht="12.75" customHeight="1" x14ac:dyDescent="0.2">
      <c r="D111" s="281" t="s">
        <v>351</v>
      </c>
      <c r="E111" s="316" t="s">
        <v>351</v>
      </c>
      <c r="F111" s="316" t="s">
        <v>351</v>
      </c>
      <c r="G111" s="317" t="s">
        <v>351</v>
      </c>
      <c r="H111" s="444" t="str">
        <f t="shared" si="14"/>
        <v>PZ / Euro (17)</v>
      </c>
      <c r="I111" s="451" t="b">
        <v>0</v>
      </c>
      <c r="L111" s="529">
        <v>25</v>
      </c>
      <c r="M111" s="317" t="str">
        <f t="shared" si="13"/>
        <v>Kalenderwoche 25</v>
      </c>
    </row>
    <row r="112" spans="4:14" x14ac:dyDescent="0.2">
      <c r="D112" s="281" t="s">
        <v>392</v>
      </c>
      <c r="E112" s="316" t="s">
        <v>393</v>
      </c>
      <c r="F112" s="316" t="s">
        <v>394</v>
      </c>
      <c r="G112" s="317" t="s">
        <v>395</v>
      </c>
      <c r="H112" s="444" t="str">
        <f>IF($B$3=$A$3,D112,IF($B$3=$A$4,E112,IF($B$3=$A$5,F112,IF($B$3=$A$6,G112,""))))</f>
        <v>mit CFK</v>
      </c>
      <c r="I112" s="451"/>
      <c r="L112" s="529">
        <v>26</v>
      </c>
      <c r="M112" s="317" t="str">
        <f t="shared" si="13"/>
        <v>Kalenderwoche 26</v>
      </c>
    </row>
    <row r="113" spans="4:14" x14ac:dyDescent="0.2">
      <c r="D113" s="281" t="s">
        <v>396</v>
      </c>
      <c r="E113" s="316" t="s">
        <v>397</v>
      </c>
      <c r="F113" s="316" t="s">
        <v>398</v>
      </c>
      <c r="G113" s="317" t="s">
        <v>399</v>
      </c>
      <c r="H113" s="444" t="str">
        <f>IF($B$3=$A$3,D113,IF($B$3=$A$4,E113,IF($B$3=$A$5,F113,IF($B$3=$A$6,G113,""))))</f>
        <v>ohne CFK</v>
      </c>
      <c r="I113" s="451"/>
      <c r="L113" s="529">
        <v>27</v>
      </c>
      <c r="M113" s="317" t="str">
        <f t="shared" si="13"/>
        <v>Kalenderwoche 27</v>
      </c>
      <c r="N113" s="530"/>
    </row>
    <row r="114" spans="4:14" x14ac:dyDescent="0.2">
      <c r="D114" s="281" t="s">
        <v>400</v>
      </c>
      <c r="E114" s="316" t="s">
        <v>402</v>
      </c>
      <c r="F114" s="316" t="s">
        <v>404</v>
      </c>
      <c r="G114" s="317" t="s">
        <v>438</v>
      </c>
      <c r="H114" s="444" t="str">
        <f>IF($B$3=$A$3,D114,IF($B$3=$A$4,E114,IF($B$3=$A$5,F114,IF($B$3=$A$6,G114,""))))</f>
        <v>mit Stahl</v>
      </c>
      <c r="I114" s="451"/>
      <c r="L114" s="529">
        <v>28</v>
      </c>
      <c r="M114" s="317" t="str">
        <f t="shared" si="13"/>
        <v>Kalenderwoche 28</v>
      </c>
    </row>
    <row r="115" spans="4:14" x14ac:dyDescent="0.2">
      <c r="D115" s="281" t="s">
        <v>401</v>
      </c>
      <c r="E115" s="316" t="s">
        <v>403</v>
      </c>
      <c r="F115" s="316" t="s">
        <v>405</v>
      </c>
      <c r="G115" s="317" t="s">
        <v>439</v>
      </c>
      <c r="H115" s="444" t="str">
        <f>IF($B$3=$A$3,D115,IF($B$3=$A$4,E115,IF($B$3=$A$5,F115,IF($B$3=$A$6,G115,""))))</f>
        <v>ohne Stahl</v>
      </c>
      <c r="I115" s="451"/>
      <c r="L115" s="529">
        <v>29</v>
      </c>
      <c r="M115" s="317" t="str">
        <f t="shared" si="13"/>
        <v>Kalenderwoche 29</v>
      </c>
    </row>
    <row r="116" spans="4:14" x14ac:dyDescent="0.2">
      <c r="D116" s="281" t="s">
        <v>408</v>
      </c>
      <c r="E116" s="316" t="s">
        <v>411</v>
      </c>
      <c r="F116" s="316" t="s">
        <v>413</v>
      </c>
      <c r="G116" s="317" t="s">
        <v>416</v>
      </c>
      <c r="H116" s="444" t="str">
        <f>IF($B$3=$A$3,D116,IF($B$3=$A$4,E116,IF($B$3=$A$5,F116,IF($B$3=$A$6,G116,""))))</f>
        <v>Ganzglas-Ecke</v>
      </c>
      <c r="I116" s="451"/>
      <c r="L116" s="529">
        <v>30</v>
      </c>
      <c r="M116" s="317" t="str">
        <f t="shared" si="13"/>
        <v>Kalenderwoche 30</v>
      </c>
    </row>
    <row r="117" spans="4:14" x14ac:dyDescent="0.2">
      <c r="D117" s="281" t="s">
        <v>409</v>
      </c>
      <c r="E117" s="316" t="s">
        <v>755</v>
      </c>
      <c r="F117" s="316" t="s">
        <v>414</v>
      </c>
      <c r="G117" s="317" t="s">
        <v>417</v>
      </c>
      <c r="H117" s="444" t="str">
        <f t="shared" ref="H117:H180" si="15">IF($B$3=$A$3,D117,IF($B$3=$A$4,E117,IF($B$3=$A$5,F117,IF($B$3=$A$6,G117,""))))</f>
        <v>Ecke RC2 (WK2)</v>
      </c>
      <c r="I117" s="451"/>
      <c r="L117" s="529">
        <v>31</v>
      </c>
      <c r="M117" s="317" t="str">
        <f t="shared" si="13"/>
        <v>Kalenderwoche 31</v>
      </c>
    </row>
    <row r="118" spans="4:14" x14ac:dyDescent="0.2">
      <c r="D118" s="281" t="s">
        <v>410</v>
      </c>
      <c r="E118" s="316" t="s">
        <v>412</v>
      </c>
      <c r="F118" s="316" t="s">
        <v>415</v>
      </c>
      <c r="G118" s="317" t="s">
        <v>418</v>
      </c>
      <c r="H118" s="444" t="str">
        <f t="shared" si="15"/>
        <v>Standard (RC2 in Anlehnung)</v>
      </c>
      <c r="I118" s="451"/>
      <c r="L118" s="529">
        <v>32</v>
      </c>
      <c r="M118" s="317" t="str">
        <f t="shared" si="13"/>
        <v>Kalenderwoche 32</v>
      </c>
    </row>
    <row r="119" spans="4:14" x14ac:dyDescent="0.2">
      <c r="D119" s="281" t="s">
        <v>923</v>
      </c>
      <c r="E119" s="316" t="s">
        <v>924</v>
      </c>
      <c r="F119" s="316" t="s">
        <v>925</v>
      </c>
      <c r="G119" s="317" t="s">
        <v>926</v>
      </c>
      <c r="H119" s="444" t="str">
        <f t="shared" si="15"/>
        <v>RC2 mit Blech</v>
      </c>
      <c r="I119" s="451"/>
      <c r="L119" s="529">
        <v>33</v>
      </c>
      <c r="M119" s="317" t="str">
        <f t="shared" si="13"/>
        <v>Kalenderwoche 33</v>
      </c>
    </row>
    <row r="120" spans="4:14" x14ac:dyDescent="0.2">
      <c r="D120" s="281" t="s">
        <v>421</v>
      </c>
      <c r="E120" s="316" t="s">
        <v>424</v>
      </c>
      <c r="F120" s="316" t="s">
        <v>425</v>
      </c>
      <c r="G120" s="317" t="s">
        <v>427</v>
      </c>
      <c r="H120" s="444" t="str">
        <f t="shared" si="15"/>
        <v>mit AL.</v>
      </c>
      <c r="I120" s="451"/>
      <c r="L120" s="529">
        <v>34</v>
      </c>
      <c r="M120" s="317" t="str">
        <f t="shared" si="13"/>
        <v>Kalenderwoche 34</v>
      </c>
    </row>
    <row r="121" spans="4:14" x14ac:dyDescent="0.2">
      <c r="D121" s="281" t="s">
        <v>422</v>
      </c>
      <c r="E121" s="316" t="s">
        <v>423</v>
      </c>
      <c r="F121" s="316" t="s">
        <v>426</v>
      </c>
      <c r="G121" s="317" t="s">
        <v>428</v>
      </c>
      <c r="H121" s="444" t="str">
        <f t="shared" si="15"/>
        <v>ohne AL.</v>
      </c>
      <c r="I121" s="451"/>
      <c r="L121" s="529">
        <v>35</v>
      </c>
      <c r="M121" s="317" t="str">
        <f t="shared" si="13"/>
        <v>Kalenderwoche 35</v>
      </c>
    </row>
    <row r="122" spans="4:14" x14ac:dyDescent="0.2">
      <c r="D122" s="281" t="s">
        <v>843</v>
      </c>
      <c r="E122" s="316" t="s">
        <v>845</v>
      </c>
      <c r="F122" s="316" t="s">
        <v>847</v>
      </c>
      <c r="G122" s="317" t="s">
        <v>849</v>
      </c>
      <c r="H122" s="444" t="str">
        <f t="shared" si="15"/>
        <v>mit Stahl (&gt;2.5m)</v>
      </c>
      <c r="I122" s="451"/>
      <c r="L122" s="529">
        <v>36</v>
      </c>
      <c r="M122" s="317" t="str">
        <f t="shared" si="13"/>
        <v>Kalenderwoche 36</v>
      </c>
    </row>
    <row r="123" spans="4:14" x14ac:dyDescent="0.2">
      <c r="D123" s="281" t="s">
        <v>844</v>
      </c>
      <c r="E123" s="316" t="s">
        <v>846</v>
      </c>
      <c r="F123" s="316" t="s">
        <v>848</v>
      </c>
      <c r="G123" s="317" t="s">
        <v>850</v>
      </c>
      <c r="H123" s="444" t="str">
        <f t="shared" si="15"/>
        <v>ohne Stahl (&lt;2.5m)</v>
      </c>
      <c r="I123" s="451"/>
      <c r="L123" s="529">
        <v>37</v>
      </c>
      <c r="M123" s="317" t="str">
        <f t="shared" si="13"/>
        <v>Kalenderwoche 37</v>
      </c>
    </row>
    <row r="124" spans="4:14" x14ac:dyDescent="0.2">
      <c r="D124" s="281" t="s">
        <v>431</v>
      </c>
      <c r="E124" s="316" t="s">
        <v>754</v>
      </c>
      <c r="F124" s="316" t="s">
        <v>432</v>
      </c>
      <c r="G124" s="317" t="s">
        <v>433</v>
      </c>
      <c r="H124" s="444" t="str">
        <f t="shared" si="15"/>
        <v>Ecke:</v>
      </c>
      <c r="I124" s="451"/>
      <c r="L124" s="529">
        <v>38</v>
      </c>
      <c r="M124" s="317" t="str">
        <f t="shared" si="13"/>
        <v>Kalenderwoche 38</v>
      </c>
    </row>
    <row r="125" spans="4:14" x14ac:dyDescent="0.2">
      <c r="D125" s="281" t="s">
        <v>455</v>
      </c>
      <c r="E125" s="316" t="s">
        <v>455</v>
      </c>
      <c r="F125" s="316" t="s">
        <v>455</v>
      </c>
      <c r="G125" s="317" t="s">
        <v>455</v>
      </c>
      <c r="H125" s="444" t="str">
        <f t="shared" si="15"/>
        <v>NFRC (USA)</v>
      </c>
      <c r="I125" s="451" t="b">
        <v>0</v>
      </c>
      <c r="L125" s="529">
        <v>39</v>
      </c>
      <c r="M125" s="317" t="str">
        <f t="shared" si="13"/>
        <v>Kalenderwoche 39</v>
      </c>
    </row>
    <row r="126" spans="4:14" x14ac:dyDescent="0.2">
      <c r="D126" s="281" t="s">
        <v>467</v>
      </c>
      <c r="E126" s="316" t="s">
        <v>501</v>
      </c>
      <c r="F126" s="316" t="s">
        <v>504</v>
      </c>
      <c r="G126" s="317" t="s">
        <v>488</v>
      </c>
      <c r="H126" s="444" t="str">
        <f t="shared" si="15"/>
        <v>Bestellung vollständig ausfüllen.</v>
      </c>
      <c r="I126" s="451"/>
      <c r="L126" s="529">
        <v>40</v>
      </c>
      <c r="M126" s="317" t="str">
        <f t="shared" si="13"/>
        <v>Kalenderwoche 40</v>
      </c>
    </row>
    <row r="127" spans="4:14" x14ac:dyDescent="0.2">
      <c r="D127" s="281" t="s">
        <v>482</v>
      </c>
      <c r="E127" s="316" t="s">
        <v>502</v>
      </c>
      <c r="F127" s="316" t="s">
        <v>506</v>
      </c>
      <c r="G127" s="317" t="s">
        <v>489</v>
      </c>
      <c r="H127" s="444" t="str">
        <f t="shared" si="15"/>
        <v>Überprüfen ob keine roten Rahmen aufleuchten.</v>
      </c>
      <c r="I127" s="451"/>
      <c r="L127" s="529">
        <v>41</v>
      </c>
      <c r="M127" s="317" t="str">
        <f t="shared" si="13"/>
        <v>Kalenderwoche 41</v>
      </c>
    </row>
    <row r="128" spans="4:14" x14ac:dyDescent="0.2">
      <c r="D128" s="281" t="s">
        <v>483</v>
      </c>
      <c r="E128" s="316" t="s">
        <v>503</v>
      </c>
      <c r="F128" s="316" t="s">
        <v>505</v>
      </c>
      <c r="G128" s="317" t="s">
        <v>490</v>
      </c>
      <c r="H128" s="444" t="str">
        <f t="shared" si="15"/>
        <v>Bestellung senden an:</v>
      </c>
      <c r="I128" s="451"/>
      <c r="L128" s="529">
        <v>42</v>
      </c>
      <c r="M128" s="317" t="str">
        <f t="shared" si="13"/>
        <v>Kalenderwoche 42</v>
      </c>
    </row>
    <row r="129" spans="4:13" x14ac:dyDescent="0.2">
      <c r="D129" s="281" t="s">
        <v>481</v>
      </c>
      <c r="E129" s="316" t="s">
        <v>500</v>
      </c>
      <c r="F129" s="316" t="s">
        <v>500</v>
      </c>
      <c r="G129" s="317" t="s">
        <v>487</v>
      </c>
      <c r="H129" s="444" t="str">
        <f t="shared" si="15"/>
        <v>Anleitung:</v>
      </c>
      <c r="I129" s="451"/>
      <c r="L129" s="529">
        <v>43</v>
      </c>
      <c r="M129" s="317" t="str">
        <f t="shared" si="13"/>
        <v>Kalenderwoche 43</v>
      </c>
    </row>
    <row r="130" spans="4:13" x14ac:dyDescent="0.2">
      <c r="D130" s="281" t="s">
        <v>512</v>
      </c>
      <c r="E130" s="316" t="s">
        <v>511</v>
      </c>
      <c r="F130" s="316" t="s">
        <v>517</v>
      </c>
      <c r="G130" s="317" t="s">
        <v>700</v>
      </c>
      <c r="H130" s="444" t="str">
        <f t="shared" si="15"/>
        <v>Vertriebspartner:</v>
      </c>
      <c r="I130" s="451"/>
      <c r="L130" s="529">
        <v>44</v>
      </c>
      <c r="M130" s="317" t="str">
        <f t="shared" si="13"/>
        <v>Kalenderwoche 44</v>
      </c>
    </row>
    <row r="131" spans="4:13" x14ac:dyDescent="0.2">
      <c r="D131" s="281" t="s">
        <v>509</v>
      </c>
      <c r="E131" s="316" t="s">
        <v>519</v>
      </c>
      <c r="F131" s="316" t="s">
        <v>518</v>
      </c>
      <c r="G131" s="317" t="s">
        <v>521</v>
      </c>
      <c r="H131" s="444" t="str">
        <f t="shared" si="15"/>
        <v>Bemerkungen:</v>
      </c>
      <c r="I131" s="451"/>
      <c r="L131" s="529">
        <v>45</v>
      </c>
      <c r="M131" s="317" t="str">
        <f t="shared" si="13"/>
        <v>Kalenderwoche 45</v>
      </c>
    </row>
    <row r="132" spans="4:13" x14ac:dyDescent="0.2">
      <c r="D132" s="281" t="s">
        <v>525</v>
      </c>
      <c r="E132" s="316" t="s">
        <v>529</v>
      </c>
      <c r="F132" s="316" t="s">
        <v>530</v>
      </c>
      <c r="G132" s="317" t="s">
        <v>531</v>
      </c>
      <c r="H132" s="444" t="str">
        <f>IF($B$3=$A$3,D132,IF($B$3=$A$4,E132,IF($B$3=$A$5,F132,IF($B$3=$A$6,G132,""))))</f>
        <v>Öffnung angeben →</v>
      </c>
      <c r="I132" s="451"/>
      <c r="L132" s="529">
        <v>46</v>
      </c>
      <c r="M132" s="317" t="str">
        <f t="shared" si="13"/>
        <v>Kalenderwoche 46</v>
      </c>
    </row>
    <row r="133" spans="4:13" x14ac:dyDescent="0.2">
      <c r="D133" s="281" t="s">
        <v>581</v>
      </c>
      <c r="E133" s="316" t="s">
        <v>582</v>
      </c>
      <c r="F133" s="316" t="s">
        <v>584</v>
      </c>
      <c r="G133" s="317" t="s">
        <v>583</v>
      </c>
      <c r="H133" s="444" t="str">
        <f t="shared" si="15"/>
        <v>5-gleisig</v>
      </c>
      <c r="I133" s="451" t="b">
        <f>IF(AND(I12=TRUE,'Pos. 3'!AT5=1),TRUE,FALSE)</f>
        <v>0</v>
      </c>
      <c r="L133" s="529">
        <v>47</v>
      </c>
      <c r="M133" s="317" t="str">
        <f t="shared" si="13"/>
        <v>Kalenderwoche 47</v>
      </c>
    </row>
    <row r="134" spans="4:13" x14ac:dyDescent="0.2">
      <c r="D134" s="512" t="s">
        <v>586</v>
      </c>
      <c r="E134" s="316" t="s">
        <v>586</v>
      </c>
      <c r="F134" s="316" t="s">
        <v>586</v>
      </c>
      <c r="G134" s="317" t="s">
        <v>586</v>
      </c>
      <c r="H134" s="444" t="str">
        <f t="shared" si="15"/>
        <v>Features</v>
      </c>
      <c r="I134" s="451"/>
      <c r="J134" s="280" t="str">
        <f>H159</f>
        <v>Keine</v>
      </c>
      <c r="L134" s="529">
        <v>48</v>
      </c>
      <c r="M134" s="317" t="str">
        <f t="shared" si="13"/>
        <v>Kalenderwoche 48</v>
      </c>
    </row>
    <row r="135" spans="4:13" x14ac:dyDescent="0.2">
      <c r="D135" s="281" t="s">
        <v>600</v>
      </c>
      <c r="E135" s="316" t="s">
        <v>602</v>
      </c>
      <c r="F135" s="316" t="s">
        <v>603</v>
      </c>
      <c r="G135" s="317" t="s">
        <v>604</v>
      </c>
      <c r="H135" s="444" t="str">
        <f t="shared" si="15"/>
        <v>Oben Links</v>
      </c>
      <c r="I135" s="451"/>
      <c r="J135" s="280" t="str">
        <f>H135</f>
        <v>Oben Links</v>
      </c>
      <c r="L135" s="529">
        <v>49</v>
      </c>
      <c r="M135" s="317" t="str">
        <f t="shared" si="13"/>
        <v>Kalenderwoche 49</v>
      </c>
    </row>
    <row r="136" spans="4:13" x14ac:dyDescent="0.2">
      <c r="D136" s="281" t="s">
        <v>601</v>
      </c>
      <c r="E136" s="316" t="s">
        <v>605</v>
      </c>
      <c r="F136" s="316" t="s">
        <v>606</v>
      </c>
      <c r="G136" s="317" t="s">
        <v>607</v>
      </c>
      <c r="H136" s="444" t="str">
        <f t="shared" si="15"/>
        <v>Oben Rechts</v>
      </c>
      <c r="I136" s="451"/>
      <c r="J136" s="280" t="str">
        <f>H136</f>
        <v>Oben Rechts</v>
      </c>
      <c r="L136" s="529">
        <v>50</v>
      </c>
      <c r="M136" s="317" t="str">
        <f t="shared" si="13"/>
        <v>Kalenderwoche 50</v>
      </c>
    </row>
    <row r="137" spans="4:13" x14ac:dyDescent="0.2">
      <c r="D137" s="281" t="s">
        <v>608</v>
      </c>
      <c r="E137" s="316" t="s">
        <v>609</v>
      </c>
      <c r="F137" s="316" t="s">
        <v>610</v>
      </c>
      <c r="G137" s="317" t="s">
        <v>611</v>
      </c>
      <c r="H137" s="444" t="str">
        <f t="shared" si="15"/>
        <v>Lage Glasspinne (Ansicht von Aussen)</v>
      </c>
      <c r="I137" s="451"/>
      <c r="L137" s="529">
        <v>51</v>
      </c>
      <c r="M137" s="317" t="str">
        <f t="shared" si="13"/>
        <v>Kalenderwoche 51</v>
      </c>
    </row>
    <row r="138" spans="4:13" ht="13.5" thickBot="1" x14ac:dyDescent="0.25">
      <c r="D138" s="281" t="s">
        <v>612</v>
      </c>
      <c r="E138" s="316" t="s">
        <v>732</v>
      </c>
      <c r="F138" s="316" t="s">
        <v>703</v>
      </c>
      <c r="G138" s="317" t="s">
        <v>712</v>
      </c>
      <c r="H138" s="444" t="str">
        <f t="shared" si="15"/>
        <v>Rinnenbestellung</v>
      </c>
      <c r="I138" s="451"/>
      <c r="L138" s="532">
        <v>52</v>
      </c>
      <c r="M138" s="377" t="str">
        <f t="shared" si="13"/>
        <v>Kalenderwoche 52</v>
      </c>
    </row>
    <row r="139" spans="4:13" x14ac:dyDescent="0.2">
      <c r="D139" s="281" t="s">
        <v>647</v>
      </c>
      <c r="E139" s="316" t="s">
        <v>733</v>
      </c>
      <c r="F139" s="316" t="s">
        <v>725</v>
      </c>
      <c r="G139" s="317" t="s">
        <v>713</v>
      </c>
      <c r="H139" s="444" t="str">
        <f t="shared" si="15"/>
        <v>Wahl des Rinnensystems:</v>
      </c>
      <c r="I139" s="451"/>
    </row>
    <row r="140" spans="4:13" x14ac:dyDescent="0.2">
      <c r="D140" s="281" t="s">
        <v>646</v>
      </c>
      <c r="E140" s="316" t="s">
        <v>734</v>
      </c>
      <c r="F140" s="316" t="s">
        <v>726</v>
      </c>
      <c r="G140" s="317" t="s">
        <v>838</v>
      </c>
      <c r="H140" s="444" t="str">
        <f t="shared" si="15"/>
        <v>Einzug an der linken Anlagenseite:</v>
      </c>
      <c r="I140" s="451"/>
    </row>
    <row r="141" spans="4:13" x14ac:dyDescent="0.2">
      <c r="D141" s="281" t="s">
        <v>645</v>
      </c>
      <c r="E141" s="316" t="s">
        <v>735</v>
      </c>
      <c r="F141" s="316" t="s">
        <v>727</v>
      </c>
      <c r="G141" s="317" t="s">
        <v>839</v>
      </c>
      <c r="H141" s="444" t="str">
        <f t="shared" si="15"/>
        <v>Einzug an der rechten Anlagenseite:</v>
      </c>
      <c r="I141" s="451"/>
    </row>
    <row r="142" spans="4:13" x14ac:dyDescent="0.2">
      <c r="D142" s="281" t="s">
        <v>644</v>
      </c>
      <c r="E142" s="316" t="s">
        <v>736</v>
      </c>
      <c r="F142" s="316" t="s">
        <v>728</v>
      </c>
      <c r="G142" s="317" t="s">
        <v>714</v>
      </c>
      <c r="H142" s="444" t="str">
        <f t="shared" si="15"/>
        <v>Anschlussstutzen:</v>
      </c>
      <c r="I142" s="451"/>
    </row>
    <row r="143" spans="4:13" x14ac:dyDescent="0.2">
      <c r="D143" s="281" t="s">
        <v>613</v>
      </c>
      <c r="E143" s="316" t="s">
        <v>737</v>
      </c>
      <c r="F143" s="316" t="s">
        <v>704</v>
      </c>
      <c r="G143" s="317" t="s">
        <v>715</v>
      </c>
      <c r="H143" s="444" t="str">
        <f t="shared" si="15"/>
        <v>lose mitliefern</v>
      </c>
      <c r="I143" s="451"/>
      <c r="J143" s="280" t="str">
        <f>H143</f>
        <v>lose mitliefern</v>
      </c>
    </row>
    <row r="144" spans="4:13" x14ac:dyDescent="0.2">
      <c r="D144" s="281" t="s">
        <v>614</v>
      </c>
      <c r="E144" s="316" t="s">
        <v>738</v>
      </c>
      <c r="F144" s="316" t="s">
        <v>705</v>
      </c>
      <c r="G144" s="317" t="s">
        <v>716</v>
      </c>
      <c r="H144" s="444" t="str">
        <f t="shared" si="15"/>
        <v>vordefiniert</v>
      </c>
      <c r="I144" s="451"/>
      <c r="J144" s="280" t="str">
        <f>H144</f>
        <v>vordefiniert</v>
      </c>
    </row>
    <row r="145" spans="4:10" x14ac:dyDescent="0.2">
      <c r="D145" s="281" t="s">
        <v>648</v>
      </c>
      <c r="E145" s="316" t="s">
        <v>739</v>
      </c>
      <c r="F145" s="316" t="s">
        <v>729</v>
      </c>
      <c r="G145" s="317" t="s">
        <v>717</v>
      </c>
      <c r="H145" s="444" t="str">
        <f t="shared" si="15"/>
        <v>Anzahl Anschlussstutzen:</v>
      </c>
      <c r="I145" s="451"/>
    </row>
    <row r="146" spans="4:10" x14ac:dyDescent="0.2">
      <c r="D146" s="281" t="s">
        <v>615</v>
      </c>
      <c r="E146" s="316" t="s">
        <v>706</v>
      </c>
      <c r="F146" s="316" t="s">
        <v>706</v>
      </c>
      <c r="G146" s="317" t="s">
        <v>718</v>
      </c>
      <c r="H146" s="444" t="str">
        <f t="shared" si="15"/>
        <v>Typ A</v>
      </c>
      <c r="I146" s="451"/>
      <c r="J146" s="280" t="str">
        <f>H146</f>
        <v>Typ A</v>
      </c>
    </row>
    <row r="147" spans="4:10" x14ac:dyDescent="0.2">
      <c r="D147" s="281" t="s">
        <v>616</v>
      </c>
      <c r="E147" s="316" t="s">
        <v>707</v>
      </c>
      <c r="F147" s="316" t="s">
        <v>707</v>
      </c>
      <c r="G147" s="317" t="s">
        <v>719</v>
      </c>
      <c r="H147" s="444" t="str">
        <f t="shared" si="15"/>
        <v>Typ B</v>
      </c>
      <c r="I147" s="451"/>
      <c r="J147" s="280" t="str">
        <f>H147</f>
        <v>Typ B</v>
      </c>
    </row>
    <row r="148" spans="4:10" x14ac:dyDescent="0.2">
      <c r="D148" s="281" t="s">
        <v>617</v>
      </c>
      <c r="E148" s="316" t="s">
        <v>740</v>
      </c>
      <c r="F148" s="316" t="s">
        <v>730</v>
      </c>
      <c r="G148" s="317" t="s">
        <v>720</v>
      </c>
      <c r="H148" s="444" t="str">
        <f t="shared" si="15"/>
        <v>Abstände Ablaufstutzen:</v>
      </c>
      <c r="I148" s="451"/>
    </row>
    <row r="149" spans="4:10" x14ac:dyDescent="0.2">
      <c r="D149" s="281" t="s">
        <v>618</v>
      </c>
      <c r="E149" s="316" t="s">
        <v>741</v>
      </c>
      <c r="F149" s="316" t="s">
        <v>753</v>
      </c>
      <c r="G149" s="317" t="s">
        <v>721</v>
      </c>
      <c r="H149" s="444" t="str">
        <f t="shared" si="15"/>
        <v>Rinnenanschluss:</v>
      </c>
      <c r="I149" s="451"/>
    </row>
    <row r="150" spans="4:10" x14ac:dyDescent="0.2">
      <c r="D150" s="281" t="s">
        <v>695</v>
      </c>
      <c r="E150" s="316" t="s">
        <v>742</v>
      </c>
      <c r="F150" s="316" t="s">
        <v>731</v>
      </c>
      <c r="G150" s="317" t="s">
        <v>722</v>
      </c>
      <c r="H150" s="444" t="str">
        <f t="shared" si="15"/>
        <v>Farbe Panele:</v>
      </c>
      <c r="I150" s="451"/>
    </row>
    <row r="151" spans="4:10" x14ac:dyDescent="0.2">
      <c r="D151" s="281" t="s">
        <v>16</v>
      </c>
      <c r="E151" s="316" t="s">
        <v>16</v>
      </c>
      <c r="F151" s="316" t="s">
        <v>16</v>
      </c>
      <c r="G151" s="317" t="s">
        <v>16</v>
      </c>
      <c r="H151" s="444" t="str">
        <f t="shared" si="15"/>
        <v>Standard</v>
      </c>
      <c r="I151" s="451"/>
      <c r="J151" s="280" t="str">
        <f>H151</f>
        <v>Standard</v>
      </c>
    </row>
    <row r="152" spans="4:10" x14ac:dyDescent="0.2">
      <c r="D152" s="281" t="s">
        <v>696</v>
      </c>
      <c r="E152" s="316" t="s">
        <v>743</v>
      </c>
      <c r="F152" s="316" t="s">
        <v>708</v>
      </c>
      <c r="G152" s="317" t="s">
        <v>723</v>
      </c>
      <c r="H152" s="444" t="str">
        <f t="shared" si="15"/>
        <v>Rahmenfarbe</v>
      </c>
      <c r="I152" s="451"/>
      <c r="J152" s="280" t="str">
        <f>H152</f>
        <v>Rahmenfarbe</v>
      </c>
    </row>
    <row r="153" spans="4:10" x14ac:dyDescent="0.2">
      <c r="D153" s="281" t="s">
        <v>697</v>
      </c>
      <c r="E153" s="316" t="s">
        <v>744</v>
      </c>
      <c r="F153" s="316" t="s">
        <v>709</v>
      </c>
      <c r="G153" s="317" t="s">
        <v>724</v>
      </c>
      <c r="H153" s="444" t="str">
        <f t="shared" si="15"/>
        <v>Glas Satinato</v>
      </c>
      <c r="I153" s="451"/>
      <c r="J153" s="280" t="str">
        <f>H153</f>
        <v>Glas Satinato</v>
      </c>
    </row>
    <row r="154" spans="4:10" x14ac:dyDescent="0.2">
      <c r="D154" s="281" t="s">
        <v>710</v>
      </c>
      <c r="E154" s="316" t="s">
        <v>745</v>
      </c>
      <c r="F154" s="316" t="s">
        <v>746</v>
      </c>
      <c r="G154" s="317" t="s">
        <v>747</v>
      </c>
      <c r="H154" s="444" t="str">
        <f t="shared" si="15"/>
        <v>Kalenderwoche</v>
      </c>
      <c r="I154" s="451"/>
    </row>
    <row r="155" spans="4:10" x14ac:dyDescent="0.2">
      <c r="D155" s="281" t="s">
        <v>769</v>
      </c>
      <c r="E155" s="316" t="s">
        <v>777</v>
      </c>
      <c r="F155" s="316" t="s">
        <v>780</v>
      </c>
      <c r="G155" s="317" t="s">
        <v>792</v>
      </c>
      <c r="H155" s="444" t="str">
        <f>IF($B$3=$A$3,D155,IF($B$3=$A$4,E155,IF($B$3=$A$5,F155,IF($B$3=$A$6,G155,""))))</f>
        <v>Bestellformular unvollständig!</v>
      </c>
      <c r="I155" s="451"/>
    </row>
    <row r="156" spans="4:10" x14ac:dyDescent="0.2">
      <c r="D156" s="281" t="s">
        <v>779</v>
      </c>
      <c r="E156" s="316" t="s">
        <v>778</v>
      </c>
      <c r="F156" s="316" t="s">
        <v>781</v>
      </c>
      <c r="G156" s="317" t="s">
        <v>793</v>
      </c>
      <c r="H156" s="444" t="str">
        <f t="shared" si="15"/>
        <v>Bestellformular vollständig.</v>
      </c>
      <c r="I156" s="451"/>
    </row>
    <row r="157" spans="4:10" x14ac:dyDescent="0.2">
      <c r="D157" s="281" t="s">
        <v>774</v>
      </c>
      <c r="E157" s="316" t="s">
        <v>773</v>
      </c>
      <c r="F157" s="316" t="s">
        <v>772</v>
      </c>
      <c r="G157" s="317" t="s">
        <v>775</v>
      </c>
      <c r="H157" s="444" t="str">
        <f t="shared" si="15"/>
        <v>B2B-Login Projektnr:</v>
      </c>
      <c r="I157" s="451"/>
    </row>
    <row r="158" spans="4:10" ht="12.75" customHeight="1" x14ac:dyDescent="0.2">
      <c r="D158" s="323" t="s">
        <v>784</v>
      </c>
      <c r="E158" s="316" t="s">
        <v>785</v>
      </c>
      <c r="F158" s="316" t="s">
        <v>786</v>
      </c>
      <c r="G158" s="317" t="s">
        <v>787</v>
      </c>
      <c r="H158" s="444" t="str">
        <f t="shared" si="15"/>
        <v>OHNE Glas</v>
      </c>
      <c r="I158" s="451"/>
    </row>
    <row r="159" spans="4:10" ht="12.75" customHeight="1" x14ac:dyDescent="0.2">
      <c r="D159" s="281" t="s">
        <v>788</v>
      </c>
      <c r="E159" s="316" t="s">
        <v>789</v>
      </c>
      <c r="F159" s="316" t="s">
        <v>297</v>
      </c>
      <c r="G159" s="317" t="s">
        <v>310</v>
      </c>
      <c r="H159" s="444" t="str">
        <f t="shared" si="15"/>
        <v>Keine</v>
      </c>
      <c r="I159" s="451"/>
    </row>
    <row r="160" spans="4:10" ht="12.75" customHeight="1" x14ac:dyDescent="0.2">
      <c r="D160" s="281" t="s">
        <v>795</v>
      </c>
      <c r="E160" s="316" t="s">
        <v>796</v>
      </c>
      <c r="F160" s="316" t="s">
        <v>797</v>
      </c>
      <c r="G160" s="317" t="s">
        <v>798</v>
      </c>
      <c r="H160" s="444" t="str">
        <f t="shared" si="15"/>
        <v>ohne Verschlussraster (Zylinder)</v>
      </c>
      <c r="I160" s="451"/>
    </row>
    <row r="161" spans="4:10" x14ac:dyDescent="0.2">
      <c r="D161" s="281"/>
      <c r="E161" s="316"/>
      <c r="F161" s="316"/>
      <c r="G161" s="317"/>
      <c r="H161" s="444">
        <f t="shared" si="15"/>
        <v>0</v>
      </c>
      <c r="I161" s="451"/>
    </row>
    <row r="162" spans="4:10" x14ac:dyDescent="0.2">
      <c r="D162" s="281"/>
      <c r="E162" s="316"/>
      <c r="F162" s="316"/>
      <c r="G162" s="317"/>
      <c r="H162" s="444">
        <f t="shared" si="15"/>
        <v>0</v>
      </c>
      <c r="I162" s="451"/>
    </row>
    <row r="163" spans="4:10" x14ac:dyDescent="0.2">
      <c r="D163" s="281"/>
      <c r="E163" s="316"/>
      <c r="F163" s="316"/>
      <c r="G163" s="317"/>
      <c r="H163" s="444">
        <f t="shared" si="15"/>
        <v>0</v>
      </c>
      <c r="I163" s="451"/>
    </row>
    <row r="164" spans="4:10" x14ac:dyDescent="0.2">
      <c r="D164" s="281"/>
      <c r="E164" s="316"/>
      <c r="F164" s="316"/>
      <c r="G164" s="317"/>
      <c r="H164" s="444">
        <f t="shared" si="15"/>
        <v>0</v>
      </c>
      <c r="I164" s="451"/>
    </row>
    <row r="165" spans="4:10" x14ac:dyDescent="0.2">
      <c r="D165" s="281" t="s">
        <v>927</v>
      </c>
      <c r="E165" s="331" t="s">
        <v>928</v>
      </c>
      <c r="F165" s="331" t="s">
        <v>518</v>
      </c>
      <c r="G165" s="331" t="s">
        <v>929</v>
      </c>
      <c r="H165" s="531" t="str">
        <f t="shared" si="15"/>
        <v>Hinweise:</v>
      </c>
      <c r="I165" s="451"/>
    </row>
    <row r="166" spans="4:10" x14ac:dyDescent="0.2">
      <c r="D166" s="281" t="s">
        <v>804</v>
      </c>
      <c r="E166" s="332" t="s">
        <v>812</v>
      </c>
      <c r="F166" s="331" t="s">
        <v>820</v>
      </c>
      <c r="G166" s="332" t="s">
        <v>828</v>
      </c>
      <c r="H166" s="531" t="str">
        <f t="shared" si="15"/>
        <v>Angabe erstöffnender Flügel</v>
      </c>
      <c r="I166" s="451"/>
    </row>
    <row r="167" spans="4:10" ht="102" x14ac:dyDescent="0.2">
      <c r="D167" s="330" t="s">
        <v>805</v>
      </c>
      <c r="E167" s="333" t="s">
        <v>813</v>
      </c>
      <c r="F167" s="333" t="s">
        <v>821</v>
      </c>
      <c r="G167" s="333" t="s">
        <v>829</v>
      </c>
      <c r="H167" s="531" t="str">
        <f t="shared" si="15"/>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1"/>
    </row>
    <row r="168" spans="4:10" x14ac:dyDescent="0.2">
      <c r="D168" s="330" t="s">
        <v>806</v>
      </c>
      <c r="E168" s="332" t="s">
        <v>814</v>
      </c>
      <c r="F168" s="332" t="s">
        <v>822</v>
      </c>
      <c r="G168" s="333" t="s">
        <v>830</v>
      </c>
      <c r="H168" s="531" t="str">
        <f t="shared" si="15"/>
        <v>Eingabe Ecke ≠ 90° (von 60° - 160°)</v>
      </c>
      <c r="I168" s="451"/>
    </row>
    <row r="169" spans="4:10" ht="63.75" x14ac:dyDescent="0.2">
      <c r="D169" s="330" t="s">
        <v>807</v>
      </c>
      <c r="E169" s="333" t="s">
        <v>815</v>
      </c>
      <c r="F169" s="333" t="s">
        <v>823</v>
      </c>
      <c r="G169" s="333" t="s">
        <v>831</v>
      </c>
      <c r="H169" s="531" t="str">
        <f t="shared" si="15"/>
        <v xml:space="preserve">Um eine Ecke auszuwählen, welche grösser oder kleiner wie 90° ist, muss das dementsprechende Feld ausgewählt werden. Danach muss der gewünschte Wert angegeben werden. </v>
      </c>
      <c r="I169" s="451"/>
    </row>
    <row r="170" spans="4:10" ht="25.5" x14ac:dyDescent="0.2">
      <c r="D170" s="330" t="s">
        <v>808</v>
      </c>
      <c r="E170" s="332" t="s">
        <v>816</v>
      </c>
      <c r="F170" s="332" t="s">
        <v>824</v>
      </c>
      <c r="G170" s="333" t="s">
        <v>832</v>
      </c>
      <c r="H170" s="531" t="str">
        <f t="shared" si="15"/>
        <v>Breitenangabe bei Eckanlagen</v>
      </c>
      <c r="I170" s="451"/>
    </row>
    <row r="171" spans="4:10" ht="102" x14ac:dyDescent="0.2">
      <c r="D171" s="330" t="s">
        <v>809</v>
      </c>
      <c r="E171" s="333" t="s">
        <v>817</v>
      </c>
      <c r="F171" s="333" t="s">
        <v>825</v>
      </c>
      <c r="G171" s="333" t="s">
        <v>833</v>
      </c>
      <c r="H171" s="531" t="str">
        <f t="shared" si="15"/>
        <v>Wird eine Eckanlage eingegeben, erscheint bei der Angabe "Breite" automatisch ein neues Eingabefeld. Die Länge der einzelnen Fronten muss hier separat angegeben werden (Rahmenaussenmass). Die verschiedenen Fronten sind von links nach rechts anzugeben:</v>
      </c>
      <c r="I171" s="451"/>
    </row>
    <row r="172" spans="4:10" x14ac:dyDescent="0.2">
      <c r="D172" s="330" t="s">
        <v>810</v>
      </c>
      <c r="E172" s="332" t="s">
        <v>818</v>
      </c>
      <c r="F172" s="332" t="s">
        <v>826</v>
      </c>
      <c r="G172" s="333" t="s">
        <v>834</v>
      </c>
      <c r="H172" s="531" t="str">
        <f t="shared" si="15"/>
        <v>Rinnenlänge angeben</v>
      </c>
      <c r="I172" s="451"/>
    </row>
    <row r="173" spans="4:10" ht="140.25" x14ac:dyDescent="0.2">
      <c r="D173" s="442" t="s">
        <v>811</v>
      </c>
      <c r="E173" s="334" t="s">
        <v>819</v>
      </c>
      <c r="F173" s="333" t="s">
        <v>827</v>
      </c>
      <c r="G173" s="333" t="s">
        <v>835</v>
      </c>
      <c r="H173" s="531" t="str">
        <f t="shared" si="1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1"/>
    </row>
    <row r="174" spans="4:10" x14ac:dyDescent="0.2">
      <c r="D174" s="281" t="s">
        <v>16</v>
      </c>
      <c r="E174" s="316" t="s">
        <v>16</v>
      </c>
      <c r="F174" s="316" t="s">
        <v>16</v>
      </c>
      <c r="G174" s="317" t="s">
        <v>16</v>
      </c>
      <c r="H174" s="531" t="str">
        <f t="shared" si="15"/>
        <v>Standard</v>
      </c>
      <c r="I174" s="451"/>
      <c r="J174" s="280" t="str">
        <f>H174</f>
        <v>Standard</v>
      </c>
    </row>
    <row r="175" spans="4:10" x14ac:dyDescent="0.2">
      <c r="D175" s="281" t="s">
        <v>852</v>
      </c>
      <c r="E175" s="316" t="s">
        <v>853</v>
      </c>
      <c r="F175" s="316" t="s">
        <v>854</v>
      </c>
      <c r="G175" s="317" t="s">
        <v>855</v>
      </c>
      <c r="H175" s="531" t="str">
        <f t="shared" si="15"/>
        <v>Seaside (Pool/Meer)</v>
      </c>
      <c r="I175" s="451"/>
      <c r="J175" s="280" t="str">
        <f>H175</f>
        <v>Seaside (Pool/Meer)</v>
      </c>
    </row>
    <row r="176" spans="4:10" x14ac:dyDescent="0.2">
      <c r="D176" s="281" t="s">
        <v>862</v>
      </c>
      <c r="E176" s="316" t="s">
        <v>896</v>
      </c>
      <c r="F176" s="316" t="s">
        <v>863</v>
      </c>
      <c r="G176" s="317" t="s">
        <v>864</v>
      </c>
      <c r="H176" s="531" t="str">
        <f t="shared" si="15"/>
        <v>Pulverlack Klasse:</v>
      </c>
      <c r="I176" s="451"/>
    </row>
    <row r="177" spans="4:10" x14ac:dyDescent="0.2">
      <c r="D177" s="281" t="s">
        <v>860</v>
      </c>
      <c r="E177" s="316" t="s">
        <v>860</v>
      </c>
      <c r="F177" s="316" t="s">
        <v>860</v>
      </c>
      <c r="G177" s="317" t="s">
        <v>860</v>
      </c>
      <c r="H177" s="531" t="str">
        <f t="shared" si="15"/>
        <v>Qualicoat 1</v>
      </c>
      <c r="I177" s="451"/>
      <c r="J177" s="280" t="str">
        <f t="shared" ref="J177:J178" si="16">H177</f>
        <v>Qualicoat 1</v>
      </c>
    </row>
    <row r="178" spans="4:10" x14ac:dyDescent="0.2">
      <c r="D178" s="281" t="s">
        <v>861</v>
      </c>
      <c r="E178" s="316" t="s">
        <v>861</v>
      </c>
      <c r="F178" s="316" t="s">
        <v>861</v>
      </c>
      <c r="G178" s="317" t="s">
        <v>861</v>
      </c>
      <c r="H178" s="531" t="str">
        <f t="shared" si="15"/>
        <v>Qualicoat 2</v>
      </c>
      <c r="I178" s="451"/>
      <c r="J178" s="280" t="str">
        <f t="shared" si="16"/>
        <v>Qualicoat 2</v>
      </c>
    </row>
    <row r="179" spans="4:10" x14ac:dyDescent="0.2">
      <c r="D179" s="281" t="s">
        <v>888</v>
      </c>
      <c r="E179" s="316" t="s">
        <v>889</v>
      </c>
      <c r="F179" s="316" t="s">
        <v>890</v>
      </c>
      <c r="G179" s="317" t="s">
        <v>891</v>
      </c>
      <c r="H179" s="531" t="str">
        <f t="shared" si="15"/>
        <v>Übersicht:</v>
      </c>
      <c r="I179" s="451"/>
    </row>
    <row r="180" spans="4:10" x14ac:dyDescent="0.2">
      <c r="D180" s="281" t="s">
        <v>875</v>
      </c>
      <c r="E180" s="316" t="s">
        <v>876</v>
      </c>
      <c r="F180" s="316" t="s">
        <v>877</v>
      </c>
      <c r="G180" s="317" t="s">
        <v>878</v>
      </c>
      <c r="H180" s="531" t="str">
        <f t="shared" si="15"/>
        <v>VE</v>
      </c>
      <c r="I180" s="451"/>
    </row>
    <row r="181" spans="4:10" x14ac:dyDescent="0.2">
      <c r="D181" s="281" t="s">
        <v>893</v>
      </c>
      <c r="E181" s="316" t="s">
        <v>947</v>
      </c>
      <c r="F181" s="316" t="s">
        <v>954</v>
      </c>
      <c r="G181" s="317" t="s">
        <v>922</v>
      </c>
      <c r="H181" s="531" t="str">
        <f t="shared" ref="H181:H205" si="17">IF($B$3=$A$3,D181,IF($B$3=$A$4,E181,IF($B$3=$A$5,F181,IF($B$3=$A$6,G181,""))))</f>
        <v>Sky-Frame Beratung vorhanden:</v>
      </c>
      <c r="I181" s="451"/>
    </row>
    <row r="182" spans="4:10" x14ac:dyDescent="0.2">
      <c r="D182" s="281" t="s">
        <v>895</v>
      </c>
      <c r="E182" s="316" t="s">
        <v>948</v>
      </c>
      <c r="F182" s="316" t="s">
        <v>955</v>
      </c>
      <c r="G182" s="317" t="s">
        <v>921</v>
      </c>
      <c r="H182" s="531" t="str">
        <f t="shared" si="17"/>
        <v>Beratungsnummer: (z.B. P123456)</v>
      </c>
      <c r="I182" s="451"/>
    </row>
    <row r="183" spans="4:10" x14ac:dyDescent="0.2">
      <c r="D183" s="281" t="s">
        <v>897</v>
      </c>
      <c r="E183" s="316" t="s">
        <v>900</v>
      </c>
      <c r="F183" s="316" t="s">
        <v>956</v>
      </c>
      <c r="G183" s="317" t="s">
        <v>920</v>
      </c>
      <c r="H183" s="531" t="str">
        <f t="shared" si="17"/>
        <v>Inch-Rechner</v>
      </c>
      <c r="I183" s="451"/>
    </row>
    <row r="184" spans="4:10" x14ac:dyDescent="0.2">
      <c r="D184" s="281" t="s">
        <v>899</v>
      </c>
      <c r="E184" s="316" t="s">
        <v>901</v>
      </c>
      <c r="F184" s="316" t="s">
        <v>957</v>
      </c>
      <c r="G184" s="317" t="s">
        <v>919</v>
      </c>
      <c r="H184" s="531" t="str">
        <f t="shared" si="17"/>
        <v>Fuss:</v>
      </c>
      <c r="I184" s="451"/>
    </row>
    <row r="185" spans="4:10" x14ac:dyDescent="0.2">
      <c r="D185" s="281" t="s">
        <v>898</v>
      </c>
      <c r="E185" s="316" t="s">
        <v>902</v>
      </c>
      <c r="F185" s="316" t="s">
        <v>958</v>
      </c>
      <c r="G185" s="317" t="s">
        <v>918</v>
      </c>
      <c r="H185" s="531" t="str">
        <f t="shared" si="17"/>
        <v>Zoll:</v>
      </c>
      <c r="I185" s="451"/>
    </row>
    <row r="186" spans="4:10" x14ac:dyDescent="0.2">
      <c r="D186" s="281" t="s">
        <v>903</v>
      </c>
      <c r="E186" s="316" t="s">
        <v>949</v>
      </c>
      <c r="F186" s="316" t="s">
        <v>959</v>
      </c>
      <c r="G186" s="317" t="s">
        <v>917</v>
      </c>
      <c r="H186" s="531" t="str">
        <f t="shared" si="17"/>
        <v>Bemassung Bahnhof</v>
      </c>
      <c r="I186" s="451"/>
    </row>
    <row r="187" spans="4:10" ht="102" x14ac:dyDescent="0.2">
      <c r="D187" s="442" t="s">
        <v>904</v>
      </c>
      <c r="E187" s="334" t="s">
        <v>952</v>
      </c>
      <c r="F187" s="334" t="s">
        <v>953</v>
      </c>
      <c r="G187" s="443" t="s">
        <v>914</v>
      </c>
      <c r="H187" s="531"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51"/>
    </row>
    <row r="188" spans="4:10" x14ac:dyDescent="0.2">
      <c r="D188" s="281" t="s">
        <v>905</v>
      </c>
      <c r="E188" s="316" t="s">
        <v>950</v>
      </c>
      <c r="F188" s="316" t="s">
        <v>960</v>
      </c>
      <c r="G188" s="317" t="s">
        <v>916</v>
      </c>
      <c r="H188" s="531" t="str">
        <f t="shared" si="17"/>
        <v>Bahnhof Typ 1:</v>
      </c>
      <c r="I188" s="451"/>
    </row>
    <row r="189" spans="4:10" x14ac:dyDescent="0.2">
      <c r="D189" s="281" t="s">
        <v>906</v>
      </c>
      <c r="E189" s="316" t="s">
        <v>951</v>
      </c>
      <c r="F189" s="316" t="s">
        <v>961</v>
      </c>
      <c r="G189" s="317" t="s">
        <v>915</v>
      </c>
      <c r="H189" s="531" t="str">
        <f t="shared" si="17"/>
        <v>Bahnhof Typ 2:</v>
      </c>
      <c r="I189" s="451"/>
    </row>
    <row r="190" spans="4:10" x14ac:dyDescent="0.2">
      <c r="D190" s="281" t="s">
        <v>908</v>
      </c>
      <c r="E190" s="316" t="s">
        <v>286</v>
      </c>
      <c r="F190" s="316" t="s">
        <v>304</v>
      </c>
      <c r="G190" s="317" t="s">
        <v>315</v>
      </c>
      <c r="H190" s="531" t="str">
        <f t="shared" si="17"/>
        <v>schwarz</v>
      </c>
      <c r="I190" s="451"/>
    </row>
    <row r="191" spans="4:10" x14ac:dyDescent="0.2">
      <c r="D191" s="281" t="s">
        <v>696</v>
      </c>
      <c r="E191" s="316" t="s">
        <v>911</v>
      </c>
      <c r="F191" s="316" t="s">
        <v>910</v>
      </c>
      <c r="G191" s="317" t="s">
        <v>909</v>
      </c>
      <c r="H191" s="531" t="str">
        <f t="shared" si="17"/>
        <v>Rahmenfarbe</v>
      </c>
      <c r="I191" s="451"/>
    </row>
    <row r="192" spans="4:10" x14ac:dyDescent="0.2">
      <c r="D192" s="281" t="s">
        <v>908</v>
      </c>
      <c r="E192" s="316" t="s">
        <v>286</v>
      </c>
      <c r="F192" s="316" t="s">
        <v>304</v>
      </c>
      <c r="G192" s="317" t="s">
        <v>315</v>
      </c>
      <c r="H192" s="531" t="str">
        <f t="shared" si="17"/>
        <v>schwarz</v>
      </c>
      <c r="I192" s="451"/>
    </row>
    <row r="193" spans="4:9" x14ac:dyDescent="0.2">
      <c r="D193" s="281" t="s">
        <v>930</v>
      </c>
      <c r="E193" s="316" t="s">
        <v>931</v>
      </c>
      <c r="F193" s="316" t="s">
        <v>962</v>
      </c>
      <c r="G193" s="317" t="s">
        <v>966</v>
      </c>
      <c r="H193" s="531" t="str">
        <f t="shared" si="17"/>
        <v>Sonstiges:</v>
      </c>
      <c r="I193" s="451"/>
    </row>
    <row r="194" spans="4:9" x14ac:dyDescent="0.2">
      <c r="D194" s="281" t="s">
        <v>946</v>
      </c>
      <c r="E194" s="316" t="s">
        <v>942</v>
      </c>
      <c r="F194" s="316" t="s">
        <v>968</v>
      </c>
      <c r="G194" s="317" t="s">
        <v>967</v>
      </c>
      <c r="H194" s="531" t="str">
        <f t="shared" si="17"/>
        <v>Sichtbare Rahmenprofile (aussen):</v>
      </c>
      <c r="I194" s="451"/>
    </row>
    <row r="195" spans="4:9" x14ac:dyDescent="0.2">
      <c r="D195" s="281" t="s">
        <v>941</v>
      </c>
      <c r="E195" s="316" t="s">
        <v>940</v>
      </c>
      <c r="F195" s="316" t="s">
        <v>969</v>
      </c>
      <c r="G195" s="317" t="s">
        <v>970</v>
      </c>
      <c r="H195" s="531" t="str">
        <f t="shared" si="17"/>
        <v>Lieferung Glas und Rahmen:</v>
      </c>
      <c r="I195" s="451"/>
    </row>
    <row r="196" spans="4:9" x14ac:dyDescent="0.2">
      <c r="D196" s="281" t="s">
        <v>932</v>
      </c>
      <c r="E196" s="316" t="s">
        <v>938</v>
      </c>
      <c r="F196" s="316" t="s">
        <v>963</v>
      </c>
      <c r="G196" s="317" t="s">
        <v>971</v>
      </c>
      <c r="H196" s="531" t="str">
        <f t="shared" si="17"/>
        <v>zusammen</v>
      </c>
      <c r="I196" s="451"/>
    </row>
    <row r="197" spans="4:9" x14ac:dyDescent="0.2">
      <c r="D197" s="281" t="s">
        <v>933</v>
      </c>
      <c r="E197" s="316" t="s">
        <v>939</v>
      </c>
      <c r="F197" s="316" t="s">
        <v>964</v>
      </c>
      <c r="G197" s="317" t="s">
        <v>972</v>
      </c>
      <c r="H197" s="531" t="str">
        <f t="shared" si="17"/>
        <v>getrennt</v>
      </c>
      <c r="I197" s="451"/>
    </row>
    <row r="198" spans="4:9" x14ac:dyDescent="0.2">
      <c r="D198" s="281" t="s">
        <v>934</v>
      </c>
      <c r="E198" s="316" t="s">
        <v>936</v>
      </c>
      <c r="F198" s="316" t="s">
        <v>936</v>
      </c>
      <c r="G198" s="317" t="s">
        <v>973</v>
      </c>
      <c r="H198" s="531" t="str">
        <f t="shared" si="17"/>
        <v>sichtbar</v>
      </c>
      <c r="I198" s="451"/>
    </row>
    <row r="199" spans="4:9" x14ac:dyDescent="0.2">
      <c r="D199" s="281" t="s">
        <v>935</v>
      </c>
      <c r="E199" s="316" t="s">
        <v>937</v>
      </c>
      <c r="F199" s="316" t="s">
        <v>965</v>
      </c>
      <c r="G199" s="317" t="s">
        <v>974</v>
      </c>
      <c r="H199" s="531" t="str">
        <f t="shared" si="17"/>
        <v>nicht sichtbar</v>
      </c>
      <c r="I199" s="451"/>
    </row>
    <row r="200" spans="4:9" x14ac:dyDescent="0.2">
      <c r="D200" s="281"/>
      <c r="E200" s="316"/>
      <c r="F200" s="316"/>
      <c r="G200" s="317"/>
      <c r="H200" s="531">
        <f t="shared" si="17"/>
        <v>0</v>
      </c>
      <c r="I200" s="451"/>
    </row>
    <row r="201" spans="4:9" x14ac:dyDescent="0.2">
      <c r="D201" s="281"/>
      <c r="E201" s="316"/>
      <c r="F201" s="316"/>
      <c r="G201" s="317"/>
      <c r="H201" s="531">
        <f t="shared" si="17"/>
        <v>0</v>
      </c>
      <c r="I201" s="451"/>
    </row>
    <row r="202" spans="4:9" x14ac:dyDescent="0.2">
      <c r="D202" s="281"/>
      <c r="E202" s="316"/>
      <c r="F202" s="316"/>
      <c r="G202" s="317"/>
      <c r="H202" s="531">
        <f t="shared" si="17"/>
        <v>0</v>
      </c>
      <c r="I202" s="451"/>
    </row>
    <row r="203" spans="4:9" x14ac:dyDescent="0.2">
      <c r="D203" s="281"/>
      <c r="E203" s="316"/>
      <c r="F203" s="316"/>
      <c r="G203" s="317"/>
      <c r="H203" s="531">
        <f t="shared" si="17"/>
        <v>0</v>
      </c>
      <c r="I203" s="451"/>
    </row>
    <row r="204" spans="4:9" x14ac:dyDescent="0.2">
      <c r="D204" s="281"/>
      <c r="E204" s="316"/>
      <c r="F204" s="316"/>
      <c r="G204" s="317"/>
      <c r="H204" s="531">
        <f t="shared" si="17"/>
        <v>0</v>
      </c>
      <c r="I204" s="451"/>
    </row>
    <row r="205" spans="4:9" x14ac:dyDescent="0.2">
      <c r="D205" s="281"/>
      <c r="E205" s="316"/>
      <c r="F205" s="316"/>
      <c r="G205" s="317"/>
      <c r="H205" s="531">
        <f t="shared" si="17"/>
        <v>0</v>
      </c>
      <c r="I205" s="451"/>
    </row>
  </sheetData>
  <mergeCells count="5">
    <mergeCell ref="AB4:AB18"/>
    <mergeCell ref="N40:P40"/>
    <mergeCell ref="M60:M61"/>
    <mergeCell ref="L85:M85"/>
    <mergeCell ref="B87:C87"/>
  </mergeCells>
  <dataValidations count="1">
    <dataValidation type="list" allowBlank="1" showInputMessage="1" showErrorMessage="1" sqref="P38" xr:uid="{9374BD62-C96E-4780-B7AC-92AF2AB440E4}">
      <formula1>$O$45:$O$46</formula1>
    </dataValidation>
  </dataValidation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07C2-F964-4D33-AB17-3CFC550B98BE}">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41" customWidth="1"/>
    <col min="2" max="2" width="3.7109375" style="141" customWidth="1"/>
    <col min="3" max="3" width="2.85546875" style="141" customWidth="1"/>
    <col min="4" max="4" width="1.28515625" style="141" customWidth="1"/>
    <col min="5" max="44" width="3.28515625" style="141" customWidth="1"/>
    <col min="45" max="45" width="1.42578125" style="141" customWidth="1"/>
    <col min="46" max="46" width="4.5703125" style="141" customWidth="1"/>
    <col min="47" max="47" width="3.7109375" style="141" customWidth="1"/>
    <col min="48" max="48" width="7.28515625" style="141" customWidth="1"/>
    <col min="49" max="50" width="11.42578125" style="141"/>
    <col min="51" max="51" width="20.28515625" style="141" customWidth="1"/>
    <col min="52" max="53" width="10.140625" style="141" customWidth="1"/>
    <col min="54" max="54" width="9.5703125" style="141" customWidth="1"/>
    <col min="55" max="56" width="5.5703125" style="141" customWidth="1"/>
    <col min="57" max="57" width="5.140625" style="141" customWidth="1"/>
    <col min="58" max="58" width="1.85546875" style="141" customWidth="1"/>
    <col min="59" max="59" width="5.7109375" style="141" customWidth="1"/>
    <col min="60" max="60" width="6.28515625" style="141" customWidth="1"/>
    <col min="61" max="61" width="5.85546875" style="141" customWidth="1"/>
    <col min="62" max="64" width="11.42578125" style="141" hidden="1" customWidth="1"/>
    <col min="65" max="16384" width="11.42578125" style="141"/>
  </cols>
  <sheetData>
    <row r="1" spans="1:64" ht="13.5" thickBot="1" x14ac:dyDescent="0.25">
      <c r="A1" s="159" t="s">
        <v>533</v>
      </c>
      <c r="C1" s="61"/>
      <c r="AW1" s="160"/>
    </row>
    <row r="2" spans="1:64" ht="13.5" thickTop="1" x14ac:dyDescent="0.2">
      <c r="B2" s="204">
        <v>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13"/>
      <c r="AW2" s="422"/>
      <c r="AX2" s="241"/>
      <c r="AY2" s="241"/>
      <c r="AZ2" s="241"/>
      <c r="BA2" s="241"/>
      <c r="BB2" s="359" t="str">
        <f>CONCATENATE(ROUND(SUM(I46:K49)*Z42/1000000,2)*AJ6,"m²")</f>
        <v>0m²</v>
      </c>
      <c r="BD2" s="240"/>
      <c r="BE2" s="241"/>
      <c r="BF2" s="241"/>
      <c r="BG2" s="241"/>
      <c r="BH2" s="241"/>
      <c r="BI2" s="242"/>
    </row>
    <row r="3" spans="1:64" ht="36.75" customHeight="1" x14ac:dyDescent="0.3">
      <c r="B3" s="203"/>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42"/>
      <c r="AR3" s="84"/>
      <c r="AS3" s="84"/>
      <c r="AT3" s="143" t="s">
        <v>456</v>
      </c>
      <c r="AU3" s="115"/>
      <c r="AW3" s="243"/>
      <c r="AX3" s="244" t="str">
        <f>'Sprachen &amp; Rückgabewerte(3)'!$H$2</f>
        <v>Sprache:</v>
      </c>
      <c r="AY3" s="61"/>
      <c r="AZ3" s="61"/>
      <c r="BA3" s="61"/>
      <c r="BB3" s="378" t="str">
        <f>IF(AND(AJ6&gt;1),CONCATENATE(AH6," ",AJ6),"")</f>
        <v/>
      </c>
      <c r="BD3" s="243"/>
      <c r="BE3" s="416" t="str">
        <f>'Sprachen &amp; Rückgabewerte(3)'!H183</f>
        <v>Inch-Rechner</v>
      </c>
      <c r="BF3" s="416"/>
      <c r="BG3" s="61"/>
      <c r="BH3" s="61"/>
      <c r="BI3" s="245"/>
    </row>
    <row r="4" spans="1:64" ht="19.5" customHeight="1" x14ac:dyDescent="0.2">
      <c r="B4" s="111"/>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13"/>
      <c r="AW4" s="243"/>
      <c r="AX4" s="61"/>
      <c r="AY4" s="61"/>
      <c r="AZ4" s="61"/>
      <c r="BA4" s="61"/>
      <c r="BB4" s="245"/>
      <c r="BD4" s="243"/>
      <c r="BE4" s="156" t="str">
        <f>'Sprachen &amp; Rückgabewerte(3)'!H184</f>
        <v>Fuss:</v>
      </c>
      <c r="BF4" s="156"/>
      <c r="BG4" s="156" t="str">
        <f>'Sprachen &amp; Rückgabewerte(3)'!H185</f>
        <v>Zoll:</v>
      </c>
      <c r="BH4" s="61"/>
      <c r="BI4" s="245"/>
    </row>
    <row r="5" spans="1:64" ht="15" customHeight="1" x14ac:dyDescent="0.2">
      <c r="B5" s="60"/>
      <c r="C5" s="126"/>
      <c r="D5" s="127"/>
      <c r="E5" s="128" t="str">
        <f>'Sprachen &amp; Rückgabewerte(3)'!H4</f>
        <v>BESTELLUNG</v>
      </c>
      <c r="F5" s="127"/>
      <c r="G5" s="127"/>
      <c r="H5" s="127"/>
      <c r="I5" s="127"/>
      <c r="J5" s="127"/>
      <c r="K5" s="127"/>
      <c r="L5" s="127"/>
      <c r="M5" s="127"/>
      <c r="N5" s="127"/>
      <c r="O5" s="127"/>
      <c r="P5" s="127"/>
      <c r="Q5" s="127"/>
      <c r="R5" s="129"/>
      <c r="S5" s="680" t="str">
        <f>'Sprachen &amp; Rückgabewerte(3)'!$H$130</f>
        <v>Vertriebspartner:</v>
      </c>
      <c r="T5" s="681"/>
      <c r="U5" s="681"/>
      <c r="V5" s="681"/>
      <c r="W5" s="681"/>
      <c r="X5" s="682"/>
      <c r="Y5" s="689"/>
      <c r="Z5" s="690"/>
      <c r="AA5" s="690"/>
      <c r="AB5" s="690"/>
      <c r="AC5" s="690"/>
      <c r="AD5" s="690"/>
      <c r="AE5" s="690"/>
      <c r="AF5" s="691"/>
      <c r="AG5" s="144"/>
      <c r="AH5" s="130" t="str">
        <f>'Sprachen &amp; Rückgabewerte(3)'!H55</f>
        <v>Pos:</v>
      </c>
      <c r="AI5" s="145"/>
      <c r="AJ5" s="683"/>
      <c r="AK5" s="684"/>
      <c r="AL5" s="685"/>
      <c r="AM5" s="144"/>
      <c r="AN5" s="130" t="str">
        <f>'Sprachen &amp; Rückgabewerte(3)'!$H$10</f>
        <v>2-gleisig</v>
      </c>
      <c r="AO5" s="145"/>
      <c r="AP5" s="145"/>
      <c r="AQ5" s="145"/>
      <c r="AR5" s="145"/>
      <c r="AS5" s="145"/>
      <c r="AT5" s="189"/>
      <c r="AU5" s="114"/>
      <c r="AW5" s="243"/>
      <c r="AY5" s="61"/>
      <c r="AZ5" s="61"/>
      <c r="BA5" s="61"/>
      <c r="BB5" s="245"/>
      <c r="BD5" s="243"/>
      <c r="BE5" s="582"/>
      <c r="BF5" s="586" t="str">
        <f>"'"</f>
        <v>'</v>
      </c>
      <c r="BG5" s="584"/>
      <c r="BH5" s="414"/>
      <c r="BI5" s="245"/>
      <c r="BJ5" s="141">
        <f>BE5*304.8</f>
        <v>0</v>
      </c>
      <c r="BK5" s="141">
        <f>BG5*25.4</f>
        <v>0</v>
      </c>
      <c r="BL5" s="141">
        <f>IF(AND(BH5="",BH6=""),0,25.4*BH5/BH6)</f>
        <v>0</v>
      </c>
    </row>
    <row r="6" spans="1:64" ht="12" customHeight="1" x14ac:dyDescent="0.2">
      <c r="B6" s="60"/>
      <c r="C6" s="131"/>
      <c r="D6" s="132"/>
      <c r="E6" s="67"/>
      <c r="F6" s="132" t="str">
        <f>'Sprachen &amp; Rückgabewerte(3)'!$H$5</f>
        <v>Gemäss Zeichnung Nr.:</v>
      </c>
      <c r="G6" s="132"/>
      <c r="H6" s="132"/>
      <c r="I6" s="132"/>
      <c r="J6" s="132"/>
      <c r="K6" s="132"/>
      <c r="L6" s="146"/>
      <c r="M6" s="546"/>
      <c r="N6" s="547"/>
      <c r="O6" s="547"/>
      <c r="P6" s="547"/>
      <c r="Q6" s="548"/>
      <c r="R6" s="133"/>
      <c r="S6" s="134" t="str">
        <f>'Sprachen &amp; Rückgabewerte(3)'!$H$7</f>
        <v xml:space="preserve">Objekt: </v>
      </c>
      <c r="T6" s="132"/>
      <c r="U6" s="132"/>
      <c r="V6" s="132"/>
      <c r="W6" s="132"/>
      <c r="X6" s="91"/>
      <c r="Y6" s="686"/>
      <c r="Z6" s="687"/>
      <c r="AA6" s="687"/>
      <c r="AB6" s="687"/>
      <c r="AC6" s="687"/>
      <c r="AD6" s="687"/>
      <c r="AE6" s="687"/>
      <c r="AF6" s="688"/>
      <c r="AG6" s="133"/>
      <c r="AH6" s="134" t="str">
        <f>'Sprachen &amp; Rückgabewerte(3)'!H56</f>
        <v>Stück:</v>
      </c>
      <c r="AI6" s="132"/>
      <c r="AJ6" s="692"/>
      <c r="AK6" s="693"/>
      <c r="AL6" s="694"/>
      <c r="AM6" s="116"/>
      <c r="AN6" s="134" t="str">
        <f>'Sprachen &amp; Rückgabewerte(3)'!$H$11</f>
        <v>3-gleisig</v>
      </c>
      <c r="AO6" s="132"/>
      <c r="AP6" s="132"/>
      <c r="AQ6" s="132"/>
      <c r="AR6" s="132"/>
      <c r="AS6" s="132"/>
      <c r="AT6" s="133"/>
      <c r="AU6" s="114"/>
      <c r="AW6" s="243"/>
      <c r="AY6" s="61"/>
      <c r="AZ6" s="61"/>
      <c r="BA6" s="61"/>
      <c r="BB6" s="245"/>
      <c r="BD6" s="243"/>
      <c r="BE6" s="583"/>
      <c r="BF6" s="586"/>
      <c r="BG6" s="585"/>
      <c r="BH6" s="415"/>
      <c r="BI6" s="245"/>
    </row>
    <row r="7" spans="1:64" ht="12" customHeight="1" x14ac:dyDescent="0.2">
      <c r="B7" s="60"/>
      <c r="C7" s="131"/>
      <c r="D7" s="132"/>
      <c r="E7" s="67"/>
      <c r="F7" s="132" t="str">
        <f>'Sprachen &amp; Rückgabewerte(3)'!$H$6</f>
        <v>Gemäss Skizze: (Ansicht von Aussen)</v>
      </c>
      <c r="G7" s="132"/>
      <c r="H7" s="132"/>
      <c r="I7" s="132"/>
      <c r="J7" s="132"/>
      <c r="K7" s="132"/>
      <c r="L7" s="132"/>
      <c r="M7" s="132"/>
      <c r="N7" s="132"/>
      <c r="O7" s="132"/>
      <c r="P7" s="132"/>
      <c r="Q7" s="132"/>
      <c r="R7" s="133"/>
      <c r="S7" s="134" t="str">
        <f>'Sprachen &amp; Rückgabewerte(3)'!$H$8</f>
        <v>Bestelldatum:</v>
      </c>
      <c r="T7" s="132"/>
      <c r="U7" s="132"/>
      <c r="V7" s="132"/>
      <c r="W7" s="132"/>
      <c r="X7" s="91"/>
      <c r="Y7" s="673"/>
      <c r="Z7" s="674"/>
      <c r="AA7" s="674"/>
      <c r="AB7" s="674"/>
      <c r="AC7" s="674"/>
      <c r="AD7" s="674"/>
      <c r="AE7" s="674"/>
      <c r="AF7" s="675"/>
      <c r="AG7" s="147"/>
      <c r="AH7" s="134" t="str">
        <f>'Sprachen &amp; Rückgabewerte(3)'!H57</f>
        <v>Seite:</v>
      </c>
      <c r="AI7" s="148"/>
      <c r="AJ7" s="683"/>
      <c r="AK7" s="684"/>
      <c r="AL7" s="685"/>
      <c r="AM7" s="116"/>
      <c r="AN7" s="134" t="str">
        <f>IF($AT$5="",'Sprachen &amp; Rückgabewerte(3)'!$H$12,'Sprachen &amp; Rückgabewerte(3)'!$H$133)</f>
        <v>4-gleisig</v>
      </c>
      <c r="AO7" s="91"/>
      <c r="AP7" s="146"/>
      <c r="AQ7" s="146"/>
      <c r="AR7" s="146"/>
      <c r="AS7" s="146"/>
      <c r="AT7" s="133"/>
      <c r="AU7" s="114"/>
      <c r="AW7" s="243"/>
      <c r="AX7" s="155" t="str">
        <f>'Sprachen &amp; Rückgabewerte(3)'!H193</f>
        <v>Sonstiges:</v>
      </c>
      <c r="AY7" s="61"/>
      <c r="AZ7" s="61"/>
      <c r="BA7" s="61"/>
      <c r="BB7" s="245"/>
      <c r="BD7" s="243"/>
      <c r="BE7" s="61"/>
      <c r="BF7" s="61"/>
      <c r="BG7" s="61"/>
      <c r="BH7" s="61"/>
      <c r="BI7" s="245"/>
    </row>
    <row r="8" spans="1:64" ht="7.5" customHeight="1" thickBot="1" x14ac:dyDescent="0.25">
      <c r="B8" s="60"/>
      <c r="C8" s="135"/>
      <c r="D8" s="136"/>
      <c r="E8" s="136"/>
      <c r="F8" s="136"/>
      <c r="G8" s="136"/>
      <c r="H8" s="136"/>
      <c r="I8" s="136"/>
      <c r="J8" s="136"/>
      <c r="K8" s="136"/>
      <c r="L8" s="136"/>
      <c r="M8" s="136"/>
      <c r="N8" s="136"/>
      <c r="O8" s="136"/>
      <c r="P8" s="136"/>
      <c r="Q8" s="136"/>
      <c r="R8" s="137"/>
      <c r="S8" s="135"/>
      <c r="T8" s="136"/>
      <c r="U8" s="136"/>
      <c r="V8" s="136"/>
      <c r="W8" s="136"/>
      <c r="X8" s="136"/>
      <c r="Y8" s="136"/>
      <c r="Z8" s="136"/>
      <c r="AA8" s="136"/>
      <c r="AB8" s="136"/>
      <c r="AC8" s="136"/>
      <c r="AD8" s="136"/>
      <c r="AE8" s="136"/>
      <c r="AF8" s="136"/>
      <c r="AG8" s="137"/>
      <c r="AH8" s="135"/>
      <c r="AI8" s="136"/>
      <c r="AJ8" s="136"/>
      <c r="AK8" s="136"/>
      <c r="AL8" s="136"/>
      <c r="AM8" s="117"/>
      <c r="AN8" s="135"/>
      <c r="AO8" s="136"/>
      <c r="AP8" s="136"/>
      <c r="AQ8" s="136"/>
      <c r="AR8" s="136"/>
      <c r="AS8" s="136"/>
      <c r="AT8" s="137"/>
      <c r="AU8" s="114"/>
      <c r="AW8" s="243"/>
      <c r="AX8" s="61"/>
      <c r="AY8" s="61"/>
      <c r="AZ8" s="61"/>
      <c r="BA8" s="61"/>
      <c r="BB8" s="245"/>
      <c r="BD8" s="243"/>
      <c r="BE8" s="61"/>
      <c r="BF8" s="61"/>
      <c r="BG8" s="61"/>
      <c r="BH8" s="61"/>
      <c r="BI8" s="245"/>
    </row>
    <row r="9" spans="1:64" ht="15" customHeight="1" thickTop="1" x14ac:dyDescent="0.2">
      <c r="A9" s="653" t="str">
        <f>IF('Sprachen &amp; Rückgabewerte(3)'!L62=1,'Sprachen &amp; Rückgabewerte(3)'!$H$132,"")</f>
        <v/>
      </c>
      <c r="B9" s="228"/>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4"/>
      <c r="AU9" s="114"/>
      <c r="AW9" s="243"/>
      <c r="AX9" s="426" t="str">
        <f>'Sprachen &amp; Rückgabewerte(3)'!H194</f>
        <v>Sichtbare Rahmenprofile (aussen):</v>
      </c>
      <c r="AY9" s="426"/>
      <c r="AZ9" s="617"/>
      <c r="BA9" s="619"/>
      <c r="BB9" s="245"/>
      <c r="BD9" s="243"/>
      <c r="BE9" s="587">
        <f>ROUND(SUM(BJ5,BK5,BL5),1)</f>
        <v>0</v>
      </c>
      <c r="BF9" s="588"/>
      <c r="BG9" s="589"/>
      <c r="BH9" s="156" t="s">
        <v>179</v>
      </c>
      <c r="BI9" s="245"/>
    </row>
    <row r="10" spans="1:64" ht="15" customHeight="1" thickBot="1" x14ac:dyDescent="0.25">
      <c r="A10" s="654"/>
      <c r="B10" s="228"/>
      <c r="C10" s="60"/>
      <c r="D10" s="61"/>
      <c r="E10" s="61"/>
      <c r="F10" s="676"/>
      <c r="G10" s="677"/>
      <c r="H10" s="61"/>
      <c r="I10" s="61"/>
      <c r="J10" s="676"/>
      <c r="K10" s="677"/>
      <c r="L10" s="61"/>
      <c r="M10" s="61"/>
      <c r="N10" s="676"/>
      <c r="O10" s="677"/>
      <c r="P10" s="61"/>
      <c r="Q10" s="61"/>
      <c r="R10" s="676"/>
      <c r="S10" s="677"/>
      <c r="T10" s="61"/>
      <c r="U10" s="61"/>
      <c r="V10" s="676"/>
      <c r="W10" s="677"/>
      <c r="X10" s="61"/>
      <c r="Y10" s="61"/>
      <c r="Z10" s="676"/>
      <c r="AA10" s="677"/>
      <c r="AB10" s="61"/>
      <c r="AC10" s="61"/>
      <c r="AD10" s="676"/>
      <c r="AE10" s="677"/>
      <c r="AF10" s="61"/>
      <c r="AG10" s="61"/>
      <c r="AH10" s="676"/>
      <c r="AI10" s="677"/>
      <c r="AJ10" s="61"/>
      <c r="AK10" s="61"/>
      <c r="AL10" s="676"/>
      <c r="AM10" s="677"/>
      <c r="AN10" s="61"/>
      <c r="AO10" s="61"/>
      <c r="AP10" s="676"/>
      <c r="AQ10" s="677"/>
      <c r="AR10" s="61"/>
      <c r="AS10" s="61"/>
      <c r="AT10" s="114"/>
      <c r="AU10" s="114"/>
      <c r="AW10" s="243"/>
      <c r="AX10" s="426" t="str">
        <f>'Sprachen &amp; Rückgabewerte(3)'!H195</f>
        <v>Lieferung Glas und Rahmen:</v>
      </c>
      <c r="AY10" s="426"/>
      <c r="AZ10" s="617"/>
      <c r="BA10" s="619"/>
      <c r="BB10" s="245"/>
      <c r="BD10" s="259"/>
      <c r="BE10" s="249"/>
      <c r="BF10" s="249"/>
      <c r="BG10" s="249"/>
      <c r="BH10" s="249"/>
      <c r="BI10" s="251"/>
    </row>
    <row r="11" spans="1:64" ht="15" customHeight="1" thickTop="1" thickBot="1" x14ac:dyDescent="0.25">
      <c r="A11" s="655"/>
      <c r="B11" s="228"/>
      <c r="C11" s="239">
        <f>COUNTBLANK(E11:AO11)</f>
        <v>37</v>
      </c>
      <c r="D11" s="61"/>
      <c r="E11" s="67"/>
      <c r="F11" s="67"/>
      <c r="G11" s="67"/>
      <c r="H11" s="162"/>
      <c r="I11" s="162"/>
      <c r="J11" s="67"/>
      <c r="K11" s="67"/>
      <c r="L11" s="162"/>
      <c r="M11" s="162"/>
      <c r="N11" s="67"/>
      <c r="O11" s="67"/>
      <c r="P11" s="162"/>
      <c r="Q11" s="162"/>
      <c r="R11" s="67"/>
      <c r="S11" s="67"/>
      <c r="T11" s="162"/>
      <c r="U11" s="162"/>
      <c r="V11" s="67"/>
      <c r="W11" s="67"/>
      <c r="X11" s="162"/>
      <c r="Y11" s="162"/>
      <c r="Z11" s="67"/>
      <c r="AA11" s="67"/>
      <c r="AB11" s="162"/>
      <c r="AC11" s="162"/>
      <c r="AD11" s="67"/>
      <c r="AE11" s="67"/>
      <c r="AF11" s="162"/>
      <c r="AG11" s="162"/>
      <c r="AH11" s="67"/>
      <c r="AI11" s="67"/>
      <c r="AJ11" s="162"/>
      <c r="AK11" s="162"/>
      <c r="AL11" s="67"/>
      <c r="AM11" s="67"/>
      <c r="AN11" s="162"/>
      <c r="AO11" s="162"/>
      <c r="AP11" s="67"/>
      <c r="AQ11" s="67"/>
      <c r="AR11" s="67"/>
      <c r="AS11" s="61"/>
      <c r="AT11" s="114"/>
      <c r="AU11" s="114"/>
      <c r="AW11" s="243"/>
      <c r="AY11" s="61"/>
      <c r="AZ11" s="61"/>
      <c r="BA11" s="61"/>
      <c r="BB11" s="245"/>
    </row>
    <row r="12" spans="1:64" ht="13.5" customHeight="1" thickTop="1" x14ac:dyDescent="0.2">
      <c r="B12" s="60"/>
      <c r="C12" s="60"/>
      <c r="D12" s="61"/>
      <c r="E12" s="95"/>
      <c r="F12" s="82"/>
      <c r="G12" s="82"/>
      <c r="H12" s="83" t="str">
        <f>IF(F10&lt;&gt;"",IF(AND(F10&gt;0,F10&lt;&gt;"F"),CONCATENATE('Sprachen &amp; Rückgabewerte(3)'!$C$28," ",'Sprachen &amp; Rückgabewerte(3)'!$C$29," ",'Sprachen &amp; Rückgabewerte(3)'!$C$30),'Sprachen &amp; Rückgabewerte(3)'!$C$30),"")</f>
        <v/>
      </c>
      <c r="I12" s="95"/>
      <c r="J12" s="82"/>
      <c r="K12" s="82"/>
      <c r="L12" s="83" t="str">
        <f>IF(J10&lt;&gt;"",IF(AND(J10&gt;0,J10&lt;&gt;"F"),CONCATENATE('Sprachen &amp; Rückgabewerte(3)'!$C$28," ",'Sprachen &amp; Rückgabewerte(3)'!$C$29," ",'Sprachen &amp; Rückgabewerte(3)'!$C$30),'Sprachen &amp; Rückgabewerte(3)'!$C$30),"")</f>
        <v/>
      </c>
      <c r="M12" s="95"/>
      <c r="N12" s="82"/>
      <c r="O12" s="82"/>
      <c r="P12" s="83" t="str">
        <f>IF(N10&lt;&gt;"",IF(AND(N10&gt;0,N10&lt;&gt;"F"),CONCATENATE('Sprachen &amp; Rückgabewerte(3)'!$C$28," ",'Sprachen &amp; Rückgabewerte(3)'!$C$29," ",'Sprachen &amp; Rückgabewerte(3)'!$C$30),'Sprachen &amp; Rückgabewerte(3)'!$C$30),"")</f>
        <v/>
      </c>
      <c r="Q12" s="95"/>
      <c r="R12" s="82"/>
      <c r="S12" s="82"/>
      <c r="T12" s="83" t="str">
        <f>IF(R10&lt;&gt;"",IF(AND(R10&gt;0,R10&lt;&gt;"F"),CONCATENATE('Sprachen &amp; Rückgabewerte(3)'!$C$28," ",'Sprachen &amp; Rückgabewerte(3)'!$C$29," ",'Sprachen &amp; Rückgabewerte(3)'!$C$30),'Sprachen &amp; Rückgabewerte(3)'!$C$30),"")</f>
        <v/>
      </c>
      <c r="U12" s="95"/>
      <c r="V12" s="82"/>
      <c r="W12" s="82"/>
      <c r="X12" s="83" t="str">
        <f>IF(V10&lt;&gt;"",IF(AND(V10&gt;0,V10&lt;&gt;"F"),CONCATENATE('Sprachen &amp; Rückgabewerte(3)'!$C$28," ",'Sprachen &amp; Rückgabewerte(3)'!$C$29," ",'Sprachen &amp; Rückgabewerte(3)'!$C$30),'Sprachen &amp; Rückgabewerte(3)'!$C$30),"")</f>
        <v/>
      </c>
      <c r="Y12" s="95"/>
      <c r="Z12" s="82"/>
      <c r="AA12" s="82"/>
      <c r="AB12" s="83" t="str">
        <f>IF(Z10&lt;&gt;"",IF(AND(Z10&gt;0,Z10&lt;&gt;"F"),CONCATENATE('Sprachen &amp; Rückgabewerte(3)'!$C$28," ",'Sprachen &amp; Rückgabewerte(3)'!$C$29," ",'Sprachen &amp; Rückgabewerte(3)'!$C$30),'Sprachen &amp; Rückgabewerte(3)'!$C$30),"")</f>
        <v/>
      </c>
      <c r="AC12" s="95"/>
      <c r="AD12" s="82"/>
      <c r="AE12" s="82"/>
      <c r="AF12" s="83" t="str">
        <f>IF(AD10&lt;&gt;"",IF(AND(AD10&gt;0,AD10&lt;&gt;"F"),CONCATENATE('Sprachen &amp; Rückgabewerte(3)'!$C$28," ",'Sprachen &amp; Rückgabewerte(3)'!$C$29," ",'Sprachen &amp; Rückgabewerte(3)'!$C$30),'Sprachen &amp; Rückgabewerte(3)'!$C$30),"")</f>
        <v/>
      </c>
      <c r="AG12" s="95"/>
      <c r="AH12" s="82"/>
      <c r="AI12" s="82"/>
      <c r="AJ12" s="83" t="str">
        <f>IF(AH10&lt;&gt;"",IF(AND(AH10&gt;0,AH10&lt;&gt;"F"),CONCATENATE('Sprachen &amp; Rückgabewerte(3)'!$C$28," ",'Sprachen &amp; Rückgabewerte(3)'!$C$29," ",'Sprachen &amp; Rückgabewerte(3)'!$C$30),'Sprachen &amp; Rückgabewerte(3)'!$C$30),"")</f>
        <v/>
      </c>
      <c r="AK12" s="95"/>
      <c r="AL12" s="82"/>
      <c r="AM12" s="82"/>
      <c r="AN12" s="83" t="str">
        <f>IF(AL10&lt;&gt;"",IF(AND(AL10&gt;0,AL10&lt;&gt;"F"),CONCATENATE('Sprachen &amp; Rückgabewerte(3)'!$C$28," ",'Sprachen &amp; Rückgabewerte(3)'!$C$29," ",'Sprachen &amp; Rückgabewerte(3)'!$C$30),'Sprachen &amp; Rückgabewerte(3)'!$C$30),"")</f>
        <v/>
      </c>
      <c r="AO12" s="95"/>
      <c r="AP12" s="82"/>
      <c r="AQ12" s="82"/>
      <c r="AR12" s="83" t="str">
        <f>IF(AP10&lt;&gt;"",IF(AND(AP10&gt;0,AP10&lt;&gt;"F"),CONCATENATE('Sprachen &amp; Rückgabewerte(3)'!$C$28," ",'Sprachen &amp; Rückgabewerte(3)'!$C$29," ",'Sprachen &amp; Rückgabewerte(3)'!$C$30),'Sprachen &amp; Rückgabewerte(3)'!$C$30),"")</f>
        <v/>
      </c>
      <c r="AS12" s="149"/>
      <c r="AT12" s="114"/>
      <c r="AU12" s="114"/>
      <c r="AW12" s="243"/>
      <c r="AX12" s="246"/>
      <c r="AY12" s="61"/>
      <c r="AZ12" s="61"/>
      <c r="BA12" s="61"/>
      <c r="BB12" s="245"/>
    </row>
    <row r="13" spans="1:64" ht="13.5" customHeight="1" x14ac:dyDescent="0.2">
      <c r="B13" s="60"/>
      <c r="C13" s="60"/>
      <c r="D13" s="61"/>
      <c r="E13" s="656" t="str">
        <f>IF(AND('Sprachen &amp; Rückgabewerte(3)'!$I$30=TRUE,$F$10="R"),'Sprachen &amp; Rückgabewerte(3)'!H60,"")</f>
        <v/>
      </c>
      <c r="F13" s="61"/>
      <c r="G13" s="61"/>
      <c r="H13" s="647" t="str">
        <f>IF(AND('Sprachen &amp; Rückgabewerte(3)'!$I$31=TRUE,$F$10="L",$J$10=""),'Sprachen &amp; Rückgabewerte(3)'!$H$60,"")</f>
        <v/>
      </c>
      <c r="I13" s="60"/>
      <c r="J13" s="61"/>
      <c r="K13" s="61"/>
      <c r="L13" s="647" t="str">
        <f>IF(AND('Sprachen &amp; Rückgabewerte(3)'!$I$31=TRUE,$J$10="L",$N$10=""),'Sprachen &amp; Rückgabewerte(3)'!$H$60,"")</f>
        <v/>
      </c>
      <c r="M13" s="60"/>
      <c r="N13" s="61"/>
      <c r="O13" s="61"/>
      <c r="P13" s="647" t="str">
        <f>IF(AND('Sprachen &amp; Rückgabewerte(3)'!$I$31=TRUE,$N$10="L",$R$10=""),'Sprachen &amp; Rückgabewerte(3)'!$H$60,"")</f>
        <v/>
      </c>
      <c r="Q13" s="60"/>
      <c r="R13" s="61"/>
      <c r="S13" s="61"/>
      <c r="T13" s="647" t="str">
        <f>IF(AND('Sprachen &amp; Rückgabewerte(3)'!$I$31=TRUE,$R$10="L",$V$10=""),'Sprachen &amp; Rückgabewerte(3)'!$H$60,"")</f>
        <v/>
      </c>
      <c r="U13" s="60"/>
      <c r="V13" s="61"/>
      <c r="W13" s="61"/>
      <c r="X13" s="647" t="str">
        <f>IF(AND('Sprachen &amp; Rückgabewerte(3)'!$I$31=TRUE,$V$10="L",$Z$10=""),'Sprachen &amp; Rückgabewerte(3)'!$H$60,"")</f>
        <v/>
      </c>
      <c r="Y13" s="60"/>
      <c r="Z13" s="61"/>
      <c r="AA13" s="61"/>
      <c r="AB13" s="647" t="str">
        <f>IF(AND('Sprachen &amp; Rückgabewerte(3)'!$I$31=TRUE,$Z$10="L",$AD$10=""),'Sprachen &amp; Rückgabewerte(3)'!$H$60,"")</f>
        <v/>
      </c>
      <c r="AC13" s="60"/>
      <c r="AD13" s="61"/>
      <c r="AE13" s="61"/>
      <c r="AF13" s="647" t="str">
        <f>IF(AND('Sprachen &amp; Rückgabewerte(3)'!$I$31=TRUE,$AD$10="L",$AH$10=""),'Sprachen &amp; Rückgabewerte(3)'!$H$60,"")</f>
        <v/>
      </c>
      <c r="AG13" s="60"/>
      <c r="AH13" s="61"/>
      <c r="AI13" s="61"/>
      <c r="AJ13" s="647" t="str">
        <f>IF(AND('Sprachen &amp; Rückgabewerte(3)'!$I$31=TRUE,$AH$10="L",$AL$10=""),'Sprachen &amp; Rückgabewerte(3)'!$H$60,"")</f>
        <v/>
      </c>
      <c r="AK13" s="60"/>
      <c r="AL13" s="61"/>
      <c r="AM13" s="61"/>
      <c r="AN13" s="647" t="str">
        <f>IF(AND('Sprachen &amp; Rückgabewerte(3)'!$I$31=TRUE,$AL$10="L",$AP$10=""),'Sprachen &amp; Rückgabewerte(3)'!$H$60,"")</f>
        <v/>
      </c>
      <c r="AO13" s="60"/>
      <c r="AP13" s="61"/>
      <c r="AQ13" s="61"/>
      <c r="AR13" s="647" t="str">
        <f>IF(AND('Sprachen &amp; Rückgabewerte(3)'!$I$31=TRUE,$AP$10="L"),'Sprachen &amp; Rückgabewerte(3)'!$H$60,"")</f>
        <v/>
      </c>
      <c r="AS13" s="150"/>
      <c r="AT13" s="114"/>
      <c r="AU13" s="114"/>
      <c r="AW13" s="243"/>
      <c r="AX13" s="61"/>
      <c r="AY13" s="61"/>
      <c r="AZ13" s="61"/>
      <c r="BA13" s="61"/>
      <c r="BB13" s="245"/>
    </row>
    <row r="14" spans="1:64" ht="13.5" customHeight="1" x14ac:dyDescent="0.2">
      <c r="B14" s="60"/>
      <c r="C14" s="60"/>
      <c r="D14" s="61"/>
      <c r="E14" s="656"/>
      <c r="F14" s="635" t="str">
        <f>IF(F10='Sprachen &amp; Rückgabewerte(3)'!$B$9,'Sprachen &amp; Rückgabewerte(3)'!$C$9,IF(F10='Sprachen &amp; Rückgabewerte(3)'!$B$10,'Sprachen &amp; Rückgabewerte(3)'!$C$10,IF(F10='Sprachen &amp; Rückgabewerte(3)'!$B$11,'Sprachen &amp; Rückgabewerte(3)'!$C$11,IF(F10='Sprachen &amp; Rückgabewerte(3)'!$B$12,'Sprachen &amp; Rückgabewerte(3)'!$C$12,IF(F10='Sprachen &amp; Rückgabewerte(3)'!$B$13,'Sprachen &amp; Rückgabewerte(3)'!$C$13,IF(F10='Sprachen &amp; Rückgabewerte(3)'!$B$14,'Sprachen &amp; Rückgabewerte(3)'!$C$14,""))))))</f>
        <v/>
      </c>
      <c r="G14" s="635"/>
      <c r="H14" s="647"/>
      <c r="I14" s="60"/>
      <c r="J14" s="635" t="str">
        <f>IF(J10='Sprachen &amp; Rückgabewerte(3)'!$B$9,'Sprachen &amp; Rückgabewerte(3)'!$C$9,IF(J10='Sprachen &amp; Rückgabewerte(3)'!$B$10,'Sprachen &amp; Rückgabewerte(3)'!$C$10,IF(J10='Sprachen &amp; Rückgabewerte(3)'!$B$11,'Sprachen &amp; Rückgabewerte(3)'!$C$11,IF(J10='Sprachen &amp; Rückgabewerte(3)'!$B$12,'Sprachen &amp; Rückgabewerte(3)'!$C$12,IF(J10='Sprachen &amp; Rückgabewerte(3)'!$B$13,'Sprachen &amp; Rückgabewerte(3)'!$C$13,IF(J10='Sprachen &amp; Rückgabewerte(3)'!$B$14,'Sprachen &amp; Rückgabewerte(3)'!$C$14,""))))))</f>
        <v/>
      </c>
      <c r="K14" s="635"/>
      <c r="L14" s="647"/>
      <c r="M14" s="60"/>
      <c r="N14" s="635" t="str">
        <f>IF(N10='Sprachen &amp; Rückgabewerte(3)'!$B$9,'Sprachen &amp; Rückgabewerte(3)'!$C$9,IF(N10='Sprachen &amp; Rückgabewerte(3)'!$B$10,'Sprachen &amp; Rückgabewerte(3)'!$C$10,IF(N10='Sprachen &amp; Rückgabewerte(3)'!$B$11,'Sprachen &amp; Rückgabewerte(3)'!$C$11,IF(N10='Sprachen &amp; Rückgabewerte(3)'!$B$12,'Sprachen &amp; Rückgabewerte(3)'!$C$12,IF(N10='Sprachen &amp; Rückgabewerte(3)'!$B$13,'Sprachen &amp; Rückgabewerte(3)'!$C$13,IF(N10='Sprachen &amp; Rückgabewerte(3)'!$B$14,'Sprachen &amp; Rückgabewerte(3)'!$C$14,""))))))</f>
        <v/>
      </c>
      <c r="O14" s="635"/>
      <c r="P14" s="647"/>
      <c r="Q14" s="60"/>
      <c r="R14" s="635" t="str">
        <f>IF(R10='Sprachen &amp; Rückgabewerte(3)'!$B$9,'Sprachen &amp; Rückgabewerte(3)'!$C$9,IF(R10='Sprachen &amp; Rückgabewerte(3)'!$B$10,'Sprachen &amp; Rückgabewerte(3)'!$C$10,IF(R10='Sprachen &amp; Rückgabewerte(3)'!$B$11,'Sprachen &amp; Rückgabewerte(3)'!$C$11,IF(R10='Sprachen &amp; Rückgabewerte(3)'!$B$12,'Sprachen &amp; Rückgabewerte(3)'!$C$12,IF(R10='Sprachen &amp; Rückgabewerte(3)'!$B$13,'Sprachen &amp; Rückgabewerte(3)'!$C$13,IF(R10='Sprachen &amp; Rückgabewerte(3)'!$B$14,'Sprachen &amp; Rückgabewerte(3)'!$C$14,""))))))</f>
        <v/>
      </c>
      <c r="S14" s="635"/>
      <c r="T14" s="647"/>
      <c r="U14" s="60"/>
      <c r="V14" s="635" t="str">
        <f>IF(V10='Sprachen &amp; Rückgabewerte(3)'!$B$9,'Sprachen &amp; Rückgabewerte(3)'!$C$9,IF(V10='Sprachen &amp; Rückgabewerte(3)'!$B$10,'Sprachen &amp; Rückgabewerte(3)'!$C$10,IF(V10='Sprachen &amp; Rückgabewerte(3)'!$B$11,'Sprachen &amp; Rückgabewerte(3)'!$C$11,IF(V10='Sprachen &amp; Rückgabewerte(3)'!$B$12,'Sprachen &amp; Rückgabewerte(3)'!$C$12,IF(V10='Sprachen &amp; Rückgabewerte(3)'!$B$13,'Sprachen &amp; Rückgabewerte(3)'!$C$13,IF(V10='Sprachen &amp; Rückgabewerte(3)'!$B$14,'Sprachen &amp; Rückgabewerte(3)'!$C$14,""))))))</f>
        <v/>
      </c>
      <c r="W14" s="635"/>
      <c r="X14" s="647"/>
      <c r="Y14" s="60"/>
      <c r="Z14" s="635" t="str">
        <f>IF(Z10='Sprachen &amp; Rückgabewerte(3)'!$B$9,'Sprachen &amp; Rückgabewerte(3)'!$C$9,IF(Z10='Sprachen &amp; Rückgabewerte(3)'!$B$10,'Sprachen &amp; Rückgabewerte(3)'!$C$10,IF(Z10='Sprachen &amp; Rückgabewerte(3)'!$B$11,'Sprachen &amp; Rückgabewerte(3)'!$C$11,IF(Z10='Sprachen &amp; Rückgabewerte(3)'!$B$12,'Sprachen &amp; Rückgabewerte(3)'!$C$12,IF(Z10='Sprachen &amp; Rückgabewerte(3)'!$B$13,'Sprachen &amp; Rückgabewerte(3)'!$C$13,IF(Z10='Sprachen &amp; Rückgabewerte(3)'!$B$14,'Sprachen &amp; Rückgabewerte(3)'!$C$14,""))))))</f>
        <v/>
      </c>
      <c r="AA14" s="635"/>
      <c r="AB14" s="647"/>
      <c r="AC14" s="60"/>
      <c r="AD14" s="635" t="str">
        <f>IF(AD10='Sprachen &amp; Rückgabewerte(3)'!$B$9,'Sprachen &amp; Rückgabewerte(3)'!$C$9,IF(AD10='Sprachen &amp; Rückgabewerte(3)'!$B$10,'Sprachen &amp; Rückgabewerte(3)'!$C$10,IF(AD10='Sprachen &amp; Rückgabewerte(3)'!$B$11,'Sprachen &amp; Rückgabewerte(3)'!$C$11,IF(AD10='Sprachen &amp; Rückgabewerte(3)'!$B$12,'Sprachen &amp; Rückgabewerte(3)'!$C$12,IF(AD10='Sprachen &amp; Rückgabewerte(3)'!$B$13,'Sprachen &amp; Rückgabewerte(3)'!$C$13,IF(AD10='Sprachen &amp; Rückgabewerte(3)'!$B$14,'Sprachen &amp; Rückgabewerte(3)'!$C$14,""))))))</f>
        <v/>
      </c>
      <c r="AE14" s="635"/>
      <c r="AF14" s="647"/>
      <c r="AG14" s="60"/>
      <c r="AH14" s="635" t="str">
        <f>IF(AH10='Sprachen &amp; Rückgabewerte(3)'!$B$9,'Sprachen &amp; Rückgabewerte(3)'!$C$9,IF(AH10='Sprachen &amp; Rückgabewerte(3)'!$B$10,'Sprachen &amp; Rückgabewerte(3)'!$C$10,IF(AH10='Sprachen &amp; Rückgabewerte(3)'!$B$11,'Sprachen &amp; Rückgabewerte(3)'!$C$11,IF(AH10='Sprachen &amp; Rückgabewerte(3)'!$B$12,'Sprachen &amp; Rückgabewerte(3)'!$C$12,IF(AH10='Sprachen &amp; Rückgabewerte(3)'!$B$13,'Sprachen &amp; Rückgabewerte(3)'!$C$13,IF(AH10='Sprachen &amp; Rückgabewerte(3)'!$B$14,'Sprachen &amp; Rückgabewerte(3)'!$C$14,""))))))</f>
        <v/>
      </c>
      <c r="AI14" s="635"/>
      <c r="AJ14" s="647"/>
      <c r="AK14" s="60"/>
      <c r="AL14" s="635" t="str">
        <f>IF(AL10='Sprachen &amp; Rückgabewerte(3)'!$B$9,'Sprachen &amp; Rückgabewerte(3)'!$C$9,IF(AL10='Sprachen &amp; Rückgabewerte(3)'!$B$10,'Sprachen &amp; Rückgabewerte(3)'!$C$10,IF(AL10='Sprachen &amp; Rückgabewerte(3)'!$B$11,'Sprachen &amp; Rückgabewerte(3)'!$C$11,IF(AL10='Sprachen &amp; Rückgabewerte(3)'!$B$12,'Sprachen &amp; Rückgabewerte(3)'!$C$12,IF(AL10='Sprachen &amp; Rückgabewerte(3)'!$B$13,'Sprachen &amp; Rückgabewerte(3)'!$C$13,IF(AL10='Sprachen &amp; Rückgabewerte(3)'!$B$14,'Sprachen &amp; Rückgabewerte(3)'!$C$14,""))))))</f>
        <v/>
      </c>
      <c r="AM14" s="635"/>
      <c r="AN14" s="647"/>
      <c r="AO14" s="60"/>
      <c r="AP14" s="635" t="str">
        <f>IF(AP10='Sprachen &amp; Rückgabewerte(3)'!$B$9,'Sprachen &amp; Rückgabewerte(3)'!$C$9,IF(AP10='Sprachen &amp; Rückgabewerte(3)'!$B$10,'Sprachen &amp; Rückgabewerte(3)'!$C$10,IF(AP10='Sprachen &amp; Rückgabewerte(3)'!$B$11,'Sprachen &amp; Rückgabewerte(3)'!$C$11,IF(AP10='Sprachen &amp; Rückgabewerte(3)'!$B$12,'Sprachen &amp; Rückgabewerte(3)'!$C$12,IF(AP10='Sprachen &amp; Rückgabewerte(3)'!$B$13,'Sprachen &amp; Rückgabewerte(3)'!$C$13,IF(AP10='Sprachen &amp; Rückgabewerte(3)'!$B$14,'Sprachen &amp; Rückgabewerte(3)'!$C$14,""))))))</f>
        <v/>
      </c>
      <c r="AQ14" s="635"/>
      <c r="AR14" s="647"/>
      <c r="AS14" s="149"/>
      <c r="AT14" s="114"/>
      <c r="AU14" s="114"/>
      <c r="AW14" s="243"/>
      <c r="AX14" s="155" t="str">
        <f>'Sprachen &amp; Rückgabewerte(3)'!H131</f>
        <v>Bemerkungen:</v>
      </c>
      <c r="AY14" s="61"/>
      <c r="AZ14" s="61"/>
      <c r="BA14" s="61"/>
      <c r="BB14" s="245"/>
    </row>
    <row r="15" spans="1:64" ht="13.5" customHeight="1" x14ac:dyDescent="0.2">
      <c r="B15" s="60"/>
      <c r="C15" s="60"/>
      <c r="D15" s="61"/>
      <c r="E15" s="656"/>
      <c r="F15" s="635"/>
      <c r="G15" s="635"/>
      <c r="H15" s="647"/>
      <c r="I15" s="60"/>
      <c r="J15" s="635"/>
      <c r="K15" s="635"/>
      <c r="L15" s="647"/>
      <c r="M15" s="60"/>
      <c r="N15" s="635"/>
      <c r="O15" s="635"/>
      <c r="P15" s="647"/>
      <c r="Q15" s="60"/>
      <c r="R15" s="635"/>
      <c r="S15" s="635"/>
      <c r="T15" s="647"/>
      <c r="U15" s="60"/>
      <c r="V15" s="635"/>
      <c r="W15" s="635"/>
      <c r="X15" s="647"/>
      <c r="Y15" s="60"/>
      <c r="Z15" s="635"/>
      <c r="AA15" s="635"/>
      <c r="AB15" s="647"/>
      <c r="AC15" s="60"/>
      <c r="AD15" s="635"/>
      <c r="AE15" s="635"/>
      <c r="AF15" s="647"/>
      <c r="AG15" s="60"/>
      <c r="AH15" s="635"/>
      <c r="AI15" s="635"/>
      <c r="AJ15" s="647"/>
      <c r="AK15" s="60"/>
      <c r="AL15" s="635"/>
      <c r="AM15" s="635"/>
      <c r="AN15" s="647"/>
      <c r="AO15" s="60"/>
      <c r="AP15" s="635"/>
      <c r="AQ15" s="635"/>
      <c r="AR15" s="647"/>
      <c r="AS15" s="61"/>
      <c r="AT15" s="114"/>
      <c r="AU15" s="114"/>
      <c r="AW15" s="243"/>
      <c r="AX15" s="637" t="s">
        <v>520</v>
      </c>
      <c r="AY15" s="638"/>
      <c r="AZ15" s="638"/>
      <c r="BA15" s="639"/>
      <c r="BB15" s="245"/>
    </row>
    <row r="16" spans="1:64" ht="13.5" customHeight="1" x14ac:dyDescent="0.2">
      <c r="B16" s="60"/>
      <c r="C16" s="60"/>
      <c r="D16" s="61"/>
      <c r="E16" s="656"/>
      <c r="F16" s="634"/>
      <c r="G16" s="634"/>
      <c r="H16" s="647"/>
      <c r="I16" s="60"/>
      <c r="J16" s="634"/>
      <c r="K16" s="634"/>
      <c r="L16" s="647"/>
      <c r="M16" s="60"/>
      <c r="N16" s="634"/>
      <c r="O16" s="634"/>
      <c r="P16" s="647"/>
      <c r="Q16" s="60"/>
      <c r="R16" s="634"/>
      <c r="S16" s="634"/>
      <c r="T16" s="647"/>
      <c r="U16" s="60"/>
      <c r="V16" s="634"/>
      <c r="W16" s="634"/>
      <c r="X16" s="647"/>
      <c r="Y16" s="60"/>
      <c r="Z16" s="634"/>
      <c r="AA16" s="634"/>
      <c r="AB16" s="647"/>
      <c r="AC16" s="60"/>
      <c r="AD16" s="634"/>
      <c r="AE16" s="634"/>
      <c r="AF16" s="647"/>
      <c r="AG16" s="60"/>
      <c r="AH16" s="634"/>
      <c r="AI16" s="634"/>
      <c r="AJ16" s="647"/>
      <c r="AK16" s="60"/>
      <c r="AL16" s="634"/>
      <c r="AM16" s="634"/>
      <c r="AN16" s="647"/>
      <c r="AO16" s="60"/>
      <c r="AP16" s="634"/>
      <c r="AQ16" s="634"/>
      <c r="AR16" s="647"/>
      <c r="AS16" s="61"/>
      <c r="AT16" s="114"/>
      <c r="AU16" s="114"/>
      <c r="AW16" s="247"/>
      <c r="AX16" s="640"/>
      <c r="AY16" s="641"/>
      <c r="AZ16" s="641"/>
      <c r="BA16" s="642"/>
      <c r="BB16" s="245"/>
    </row>
    <row r="17" spans="1:57" ht="13.5" customHeight="1" x14ac:dyDescent="0.2">
      <c r="B17" s="60"/>
      <c r="C17" s="60"/>
      <c r="D17" s="61"/>
      <c r="E17" s="656"/>
      <c r="F17" s="634"/>
      <c r="G17" s="634"/>
      <c r="H17" s="647"/>
      <c r="I17" s="60"/>
      <c r="J17" s="634"/>
      <c r="K17" s="634"/>
      <c r="L17" s="647"/>
      <c r="M17" s="60"/>
      <c r="N17" s="634"/>
      <c r="O17" s="634"/>
      <c r="P17" s="647"/>
      <c r="Q17" s="60"/>
      <c r="R17" s="634"/>
      <c r="S17" s="634"/>
      <c r="T17" s="647"/>
      <c r="U17" s="60"/>
      <c r="V17" s="634"/>
      <c r="W17" s="634"/>
      <c r="X17" s="647"/>
      <c r="Y17" s="60"/>
      <c r="Z17" s="634"/>
      <c r="AA17" s="634"/>
      <c r="AB17" s="647"/>
      <c r="AC17" s="60"/>
      <c r="AD17" s="634"/>
      <c r="AE17" s="634"/>
      <c r="AF17" s="647"/>
      <c r="AG17" s="60"/>
      <c r="AH17" s="634"/>
      <c r="AI17" s="634"/>
      <c r="AJ17" s="647"/>
      <c r="AK17" s="60"/>
      <c r="AL17" s="634"/>
      <c r="AM17" s="634"/>
      <c r="AN17" s="647"/>
      <c r="AO17" s="60"/>
      <c r="AP17" s="634"/>
      <c r="AQ17" s="634"/>
      <c r="AR17" s="647"/>
      <c r="AS17" s="61"/>
      <c r="AT17" s="114"/>
      <c r="AU17" s="114"/>
      <c r="AW17" s="247"/>
      <c r="AX17" s="640"/>
      <c r="AY17" s="641"/>
      <c r="AZ17" s="641"/>
      <c r="BA17" s="642"/>
      <c r="BB17" s="245"/>
    </row>
    <row r="18" spans="1:57" ht="13.5" customHeight="1" x14ac:dyDescent="0.2">
      <c r="B18" s="60"/>
      <c r="C18" s="60"/>
      <c r="D18" s="61"/>
      <c r="E18" s="656"/>
      <c r="F18" s="427"/>
      <c r="G18" s="427"/>
      <c r="H18" s="647"/>
      <c r="I18" s="60"/>
      <c r="J18" s="427"/>
      <c r="K18" s="427"/>
      <c r="L18" s="647"/>
      <c r="M18" s="60"/>
      <c r="N18" s="427"/>
      <c r="O18" s="427"/>
      <c r="P18" s="647"/>
      <c r="Q18" s="60"/>
      <c r="R18" s="427"/>
      <c r="S18" s="427"/>
      <c r="T18" s="647"/>
      <c r="U18" s="60"/>
      <c r="V18" s="427"/>
      <c r="W18" s="427"/>
      <c r="X18" s="647"/>
      <c r="Y18" s="60"/>
      <c r="Z18" s="427"/>
      <c r="AA18" s="427"/>
      <c r="AB18" s="647"/>
      <c r="AC18" s="60"/>
      <c r="AD18" s="427"/>
      <c r="AE18" s="427"/>
      <c r="AF18" s="647"/>
      <c r="AG18" s="60"/>
      <c r="AH18" s="427"/>
      <c r="AI18" s="427"/>
      <c r="AJ18" s="647"/>
      <c r="AK18" s="60"/>
      <c r="AL18" s="427"/>
      <c r="AM18" s="427"/>
      <c r="AN18" s="647"/>
      <c r="AO18" s="60"/>
      <c r="AP18" s="427"/>
      <c r="AQ18" s="427"/>
      <c r="AR18" s="647"/>
      <c r="AS18" s="61"/>
      <c r="AT18" s="114"/>
      <c r="AU18" s="114"/>
      <c r="AW18" s="247"/>
      <c r="AX18" s="643"/>
      <c r="AY18" s="644"/>
      <c r="AZ18" s="644"/>
      <c r="BA18" s="645"/>
      <c r="BB18" s="245"/>
    </row>
    <row r="19" spans="1:57" ht="13.5" customHeight="1" x14ac:dyDescent="0.2">
      <c r="B19" s="60"/>
      <c r="C19" s="60"/>
      <c r="D19" s="61"/>
      <c r="E19" s="657"/>
      <c r="F19" s="84"/>
      <c r="G19" s="84"/>
      <c r="H19" s="648"/>
      <c r="I19" s="68"/>
      <c r="J19" s="84"/>
      <c r="K19" s="84"/>
      <c r="L19" s="648"/>
      <c r="M19" s="68"/>
      <c r="N19" s="84"/>
      <c r="O19" s="84"/>
      <c r="P19" s="648"/>
      <c r="Q19" s="68"/>
      <c r="R19" s="84"/>
      <c r="S19" s="84"/>
      <c r="T19" s="648"/>
      <c r="U19" s="68"/>
      <c r="V19" s="84"/>
      <c r="W19" s="84"/>
      <c r="X19" s="648"/>
      <c r="Y19" s="68"/>
      <c r="Z19" s="84"/>
      <c r="AA19" s="84"/>
      <c r="AB19" s="648"/>
      <c r="AC19" s="68"/>
      <c r="AD19" s="84"/>
      <c r="AE19" s="84"/>
      <c r="AF19" s="648"/>
      <c r="AG19" s="68"/>
      <c r="AH19" s="84"/>
      <c r="AI19" s="84"/>
      <c r="AJ19" s="648"/>
      <c r="AK19" s="68"/>
      <c r="AL19" s="84"/>
      <c r="AM19" s="84"/>
      <c r="AN19" s="648"/>
      <c r="AO19" s="68"/>
      <c r="AP19" s="84"/>
      <c r="AQ19" s="84"/>
      <c r="AR19" s="648"/>
      <c r="AS19" s="61"/>
      <c r="AT19" s="114"/>
      <c r="AU19" s="114"/>
      <c r="AW19" s="247"/>
      <c r="AX19" s="561" t="str">
        <f>IF('Sprachen &amp; Rückgabewerte(3)'!U83=FALSE,'Sprachen &amp; Rückgabewerte(3)'!H155,'Sprachen &amp; Rückgabewerte(3)'!H156)</f>
        <v>Bestellformular unvollständig!</v>
      </c>
      <c r="AY19" s="561"/>
      <c r="AZ19" s="561"/>
      <c r="BA19" s="561"/>
      <c r="BB19" s="245"/>
    </row>
    <row r="20" spans="1:57" ht="13.5" customHeight="1" thickBot="1" x14ac:dyDescent="0.25">
      <c r="B20" s="60"/>
      <c r="C20" s="60"/>
      <c r="D20" s="61"/>
      <c r="E20" s="61"/>
      <c r="F20" s="91" t="str">
        <f>'Sprachen &amp; Rückgabewerte(3)'!$H$124</f>
        <v>Ecke:</v>
      </c>
      <c r="G20" s="679"/>
      <c r="H20" s="679"/>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79"/>
      <c r="AP20" s="679"/>
      <c r="AQ20" s="61"/>
      <c r="AR20" s="62"/>
      <c r="AS20" s="61"/>
      <c r="AT20" s="114"/>
      <c r="AU20" s="114"/>
      <c r="AW20" s="248"/>
      <c r="AX20" s="562"/>
      <c r="AY20" s="562"/>
      <c r="AZ20" s="562"/>
      <c r="BA20" s="562"/>
      <c r="BB20" s="251"/>
    </row>
    <row r="21" spans="1:57" ht="13.5" customHeight="1" thickTop="1" thickBot="1" x14ac:dyDescent="0.25">
      <c r="B21" s="60"/>
      <c r="C21" s="60"/>
      <c r="D21" s="61"/>
      <c r="E21" s="64"/>
      <c r="F21" s="91" t="str">
        <f>IF(OR(G20='Sprachen &amp; Rückgabewerte(3)'!$H$106,G20='Sprachen &amp; Rückgabewerte(3)'!$H$107,K20='Sprachen &amp; Rückgabewerte(3)'!$H$106,K20='Sprachen &amp; Rückgabewerte(3)'!$H$107,O20='Sprachen &amp; Rückgabewerte(3)'!$H$106,O20='Sprachen &amp; Rückgabewerte(3)'!$H$107,S20='Sprachen &amp; Rückgabewerte(3)'!$H$106,S20='Sprachen &amp; Rückgabewerte(3)'!$H$107,W20='Sprachen &amp; Rückgabewerte(3)'!$H$106,W20='Sprachen &amp; Rückgabewerte(3)'!$H$107,AA20='Sprachen &amp; Rückgabewerte(3)'!$H$106,AA20='Sprachen &amp; Rückgabewerte(3)'!$H$107,AE20='Sprachen &amp; Rückgabewerte(3)'!$H$106,AE20='Sprachen &amp; Rückgabewerte(3)'!$H$107,AI20='Sprachen &amp; Rückgabewerte(3)'!$H$106,AI20='Sprachen &amp; Rückgabewerte(3)'!$H$107,AM20='Sprachen &amp; Rückgabewerte(3)'!$H$106,AM20='Sprachen &amp; Rückgabewerte(3)'!$H$107),'Sprachen &amp; Rückgabewerte(3)'!$H$108,"")</f>
        <v/>
      </c>
      <c r="G21" s="65"/>
      <c r="H21" s="646"/>
      <c r="I21" s="646"/>
      <c r="J21" s="66"/>
      <c r="K21" s="66"/>
      <c r="L21" s="646"/>
      <c r="M21" s="646"/>
      <c r="N21" s="649"/>
      <c r="O21" s="649"/>
      <c r="P21" s="646"/>
      <c r="Q21" s="646"/>
      <c r="R21" s="678"/>
      <c r="S21" s="678"/>
      <c r="T21" s="646"/>
      <c r="U21" s="646"/>
      <c r="V21" s="649"/>
      <c r="W21" s="649"/>
      <c r="X21" s="646"/>
      <c r="Y21" s="646"/>
      <c r="Z21" s="649"/>
      <c r="AA21" s="649"/>
      <c r="AB21" s="646"/>
      <c r="AC21" s="646"/>
      <c r="AD21" s="649"/>
      <c r="AE21" s="649"/>
      <c r="AF21" s="646"/>
      <c r="AG21" s="646"/>
      <c r="AH21" s="649"/>
      <c r="AI21" s="649"/>
      <c r="AJ21" s="646"/>
      <c r="AK21" s="646"/>
      <c r="AL21" s="649"/>
      <c r="AM21" s="649"/>
      <c r="AN21" s="646"/>
      <c r="AO21" s="646"/>
      <c r="AP21" s="61"/>
      <c r="AQ21" s="61"/>
      <c r="AR21" s="62"/>
      <c r="AS21" s="61"/>
      <c r="AT21" s="114"/>
      <c r="AU21" s="114"/>
      <c r="AW21" s="151"/>
      <c r="AY21" s="190"/>
      <c r="AZ21" s="190"/>
      <c r="BA21" s="190"/>
    </row>
    <row r="22" spans="1:57" ht="9.75" customHeight="1" thickTop="1" x14ac:dyDescent="0.2">
      <c r="B22" s="60"/>
      <c r="C22" s="60"/>
      <c r="D22" s="61"/>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c r="AC22" s="577"/>
      <c r="AD22" s="577"/>
      <c r="AE22" s="577"/>
      <c r="AF22" s="577"/>
      <c r="AG22" s="577"/>
      <c r="AH22" s="577"/>
      <c r="AI22" s="577"/>
      <c r="AJ22" s="577"/>
      <c r="AK22" s="577"/>
      <c r="AL22" s="577"/>
      <c r="AM22" s="577"/>
      <c r="AN22" s="577"/>
      <c r="AO22" s="577"/>
      <c r="AP22" s="577"/>
      <c r="AQ22" s="577"/>
      <c r="AR22" s="577"/>
      <c r="AS22" s="61"/>
      <c r="AT22" s="114"/>
      <c r="AU22" s="114"/>
      <c r="AW22" s="240"/>
      <c r="AX22" s="569" t="str">
        <f>'Sprachen &amp; Rückgabewerte(3)'!H157</f>
        <v>B2B-Login Projektnr:</v>
      </c>
      <c r="AY22" s="569"/>
      <c r="AZ22" s="569"/>
      <c r="BA22" s="569"/>
      <c r="BB22" s="242"/>
    </row>
    <row r="23" spans="1:57" ht="9.9499999999999993" customHeight="1" x14ac:dyDescent="0.2">
      <c r="B23" s="60"/>
      <c r="C23" s="60"/>
      <c r="D23" s="61"/>
      <c r="E23" s="576"/>
      <c r="F23" s="576"/>
      <c r="G23" s="576"/>
      <c r="H23" s="576"/>
      <c r="I23" s="576"/>
      <c r="J23" s="576"/>
      <c r="K23" s="576"/>
      <c r="L23" s="576"/>
      <c r="M23" s="576"/>
      <c r="N23" s="576"/>
      <c r="O23" s="576"/>
      <c r="P23" s="576"/>
      <c r="Q23" s="576"/>
      <c r="R23" s="576"/>
      <c r="S23" s="576"/>
      <c r="T23" s="576"/>
      <c r="U23" s="576"/>
      <c r="V23" s="576"/>
      <c r="W23" s="576"/>
      <c r="X23" s="576"/>
      <c r="Y23" s="576"/>
      <c r="Z23" s="576"/>
      <c r="AA23" s="576"/>
      <c r="AB23" s="576"/>
      <c r="AC23" s="576"/>
      <c r="AD23" s="576"/>
      <c r="AE23" s="576"/>
      <c r="AF23" s="576"/>
      <c r="AG23" s="576"/>
      <c r="AH23" s="576"/>
      <c r="AI23" s="576"/>
      <c r="AJ23" s="576"/>
      <c r="AK23" s="576"/>
      <c r="AL23" s="576"/>
      <c r="AM23" s="576"/>
      <c r="AN23" s="576"/>
      <c r="AO23" s="576"/>
      <c r="AP23" s="576"/>
      <c r="AQ23" s="576"/>
      <c r="AR23" s="576"/>
      <c r="AS23" s="67"/>
      <c r="AT23" s="114"/>
      <c r="AU23" s="114"/>
      <c r="AW23" s="243"/>
      <c r="AX23" s="570"/>
      <c r="AY23" s="570"/>
      <c r="AZ23" s="570"/>
      <c r="BA23" s="570"/>
      <c r="BB23" s="245"/>
    </row>
    <row r="24" spans="1:57" ht="9.9499999999999993" customHeight="1" x14ac:dyDescent="0.2">
      <c r="B24" s="60"/>
      <c r="C24" s="60"/>
      <c r="D24" s="61"/>
      <c r="E24" s="576"/>
      <c r="F24" s="576"/>
      <c r="G24" s="576"/>
      <c r="H24" s="576"/>
      <c r="I24" s="576"/>
      <c r="J24" s="576"/>
      <c r="K24" s="576"/>
      <c r="L24" s="576"/>
      <c r="M24" s="576"/>
      <c r="N24" s="576"/>
      <c r="O24" s="576"/>
      <c r="P24" s="576"/>
      <c r="Q24" s="576"/>
      <c r="R24" s="576"/>
      <c r="S24" s="576"/>
      <c r="T24" s="576"/>
      <c r="U24" s="576"/>
      <c r="V24" s="576"/>
      <c r="W24" s="576"/>
      <c r="X24" s="576"/>
      <c r="Y24" s="576"/>
      <c r="Z24" s="576"/>
      <c r="AA24" s="576"/>
      <c r="AB24" s="576"/>
      <c r="AC24" s="576"/>
      <c r="AD24" s="576"/>
      <c r="AE24" s="576"/>
      <c r="AF24" s="576"/>
      <c r="AG24" s="576"/>
      <c r="AH24" s="576"/>
      <c r="AI24" s="576"/>
      <c r="AJ24" s="576"/>
      <c r="AK24" s="576"/>
      <c r="AL24" s="576"/>
      <c r="AM24" s="576"/>
      <c r="AN24" s="576"/>
      <c r="AO24" s="576"/>
      <c r="AP24" s="576"/>
      <c r="AQ24" s="576"/>
      <c r="AR24" s="576"/>
      <c r="AS24" s="67"/>
      <c r="AT24" s="114"/>
      <c r="AU24" s="114"/>
      <c r="AW24" s="243"/>
      <c r="AX24" s="570"/>
      <c r="AY24" s="570"/>
      <c r="AZ24" s="570"/>
      <c r="BA24" s="570"/>
      <c r="BB24" s="245"/>
    </row>
    <row r="25" spans="1:57" ht="9.9499999999999993" customHeight="1" x14ac:dyDescent="0.2">
      <c r="B25" s="60"/>
      <c r="C25" s="60"/>
      <c r="D25" s="61"/>
      <c r="E25" s="576"/>
      <c r="F25" s="576"/>
      <c r="G25" s="576"/>
      <c r="H25" s="576"/>
      <c r="I25" s="576"/>
      <c r="J25" s="576"/>
      <c r="K25" s="576"/>
      <c r="L25" s="576"/>
      <c r="M25" s="576"/>
      <c r="N25" s="576"/>
      <c r="O25" s="576"/>
      <c r="P25" s="576"/>
      <c r="Q25" s="576"/>
      <c r="R25" s="576"/>
      <c r="S25" s="576"/>
      <c r="T25" s="576"/>
      <c r="U25" s="576"/>
      <c r="V25" s="576"/>
      <c r="W25" s="576"/>
      <c r="X25" s="576"/>
      <c r="Y25" s="576"/>
      <c r="Z25" s="576"/>
      <c r="AA25" s="576"/>
      <c r="AB25" s="576"/>
      <c r="AC25" s="576"/>
      <c r="AD25" s="576"/>
      <c r="AE25" s="576"/>
      <c r="AF25" s="576"/>
      <c r="AG25" s="576"/>
      <c r="AH25" s="576"/>
      <c r="AI25" s="576"/>
      <c r="AJ25" s="576"/>
      <c r="AK25" s="576"/>
      <c r="AL25" s="576"/>
      <c r="AM25" s="576"/>
      <c r="AN25" s="576"/>
      <c r="AO25" s="576"/>
      <c r="AP25" s="576"/>
      <c r="AQ25" s="576"/>
      <c r="AR25" s="576"/>
      <c r="AS25" s="67"/>
      <c r="AT25" s="114"/>
      <c r="AU25" s="114"/>
      <c r="AW25" s="243"/>
      <c r="AX25" s="563"/>
      <c r="AY25" s="564"/>
      <c r="AZ25" s="565"/>
      <c r="BA25" s="190"/>
      <c r="BB25" s="245"/>
    </row>
    <row r="26" spans="1:57" ht="9.9499999999999993" customHeight="1" x14ac:dyDescent="0.2">
      <c r="B26" s="60"/>
      <c r="C26" s="60"/>
      <c r="D26" s="61"/>
      <c r="E26" s="576"/>
      <c r="F26" s="576"/>
      <c r="G26" s="576"/>
      <c r="H26" s="576"/>
      <c r="I26" s="576"/>
      <c r="J26" s="576"/>
      <c r="K26" s="576"/>
      <c r="L26" s="576"/>
      <c r="M26" s="576"/>
      <c r="N26" s="576"/>
      <c r="O26" s="576"/>
      <c r="P26" s="576"/>
      <c r="Q26" s="576"/>
      <c r="R26" s="576"/>
      <c r="S26" s="576"/>
      <c r="T26" s="576"/>
      <c r="U26" s="576"/>
      <c r="V26" s="576"/>
      <c r="W26" s="576"/>
      <c r="X26" s="576"/>
      <c r="Y26" s="576"/>
      <c r="Z26" s="576"/>
      <c r="AA26" s="576"/>
      <c r="AB26" s="576"/>
      <c r="AC26" s="576"/>
      <c r="AD26" s="576"/>
      <c r="AE26" s="576"/>
      <c r="AF26" s="576"/>
      <c r="AG26" s="576"/>
      <c r="AH26" s="576"/>
      <c r="AI26" s="576"/>
      <c r="AJ26" s="576"/>
      <c r="AK26" s="576"/>
      <c r="AL26" s="576"/>
      <c r="AM26" s="576"/>
      <c r="AN26" s="576"/>
      <c r="AO26" s="576"/>
      <c r="AP26" s="576"/>
      <c r="AQ26" s="576"/>
      <c r="AR26" s="576"/>
      <c r="AS26" s="67"/>
      <c r="AT26" s="114"/>
      <c r="AU26" s="114"/>
      <c r="AW26" s="243"/>
      <c r="AX26" s="566"/>
      <c r="AY26" s="567"/>
      <c r="AZ26" s="568"/>
      <c r="BA26" s="190"/>
      <c r="BB26" s="245"/>
    </row>
    <row r="27" spans="1:57" ht="15.75" customHeight="1" thickBot="1" x14ac:dyDescent="0.25">
      <c r="B27" s="60"/>
      <c r="C27" s="60"/>
      <c r="D27" s="61"/>
      <c r="E27" s="92"/>
      <c r="F27" s="93"/>
      <c r="G27" s="93"/>
      <c r="H27" s="94"/>
      <c r="I27" s="92"/>
      <c r="J27" s="93"/>
      <c r="K27" s="93"/>
      <c r="L27" s="94"/>
      <c r="M27" s="92"/>
      <c r="N27" s="93"/>
      <c r="O27" s="93"/>
      <c r="P27" s="94"/>
      <c r="Q27" s="92"/>
      <c r="R27" s="93"/>
      <c r="S27" s="93"/>
      <c r="T27" s="94"/>
      <c r="U27" s="92"/>
      <c r="V27" s="93"/>
      <c r="W27" s="93"/>
      <c r="X27" s="94"/>
      <c r="Y27" s="92"/>
      <c r="Z27" s="93"/>
      <c r="AA27" s="93"/>
      <c r="AB27" s="94"/>
      <c r="AC27" s="92"/>
      <c r="AD27" s="93"/>
      <c r="AE27" s="93"/>
      <c r="AF27" s="94"/>
      <c r="AG27" s="92"/>
      <c r="AH27" s="93"/>
      <c r="AI27" s="93"/>
      <c r="AJ27" s="94"/>
      <c r="AK27" s="92"/>
      <c r="AL27" s="93"/>
      <c r="AM27" s="93"/>
      <c r="AN27" s="94"/>
      <c r="AO27" s="92"/>
      <c r="AP27" s="93"/>
      <c r="AQ27" s="93"/>
      <c r="AR27" s="94"/>
      <c r="AS27" s="67"/>
      <c r="AT27" s="114"/>
      <c r="AU27" s="114"/>
      <c r="AW27" s="243"/>
      <c r="AX27" s="318"/>
      <c r="AY27" s="190"/>
      <c r="AZ27" s="190"/>
      <c r="BA27" s="190"/>
      <c r="BB27" s="245"/>
    </row>
    <row r="28" spans="1:57" ht="18" customHeight="1" thickBot="1" x14ac:dyDescent="0.25">
      <c r="A28" s="157" t="str">
        <f>IF('Sprachen &amp; Rückgabewerte(3)'!$I$13=TRUE,'Sprachen &amp; Rückgabewerte(3)'!$H$58,"")</f>
        <v/>
      </c>
      <c r="B28" s="228"/>
      <c r="C28" s="60"/>
      <c r="D28" s="84"/>
      <c r="E28" s="573"/>
      <c r="F28" s="574"/>
      <c r="G28" s="574"/>
      <c r="H28" s="575"/>
      <c r="I28" s="573"/>
      <c r="J28" s="574"/>
      <c r="K28" s="574"/>
      <c r="L28" s="575"/>
      <c r="M28" s="573"/>
      <c r="N28" s="574"/>
      <c r="O28" s="574"/>
      <c r="P28" s="575"/>
      <c r="Q28" s="573"/>
      <c r="R28" s="574"/>
      <c r="S28" s="574"/>
      <c r="T28" s="575"/>
      <c r="U28" s="573"/>
      <c r="V28" s="574"/>
      <c r="W28" s="574"/>
      <c r="X28" s="575"/>
      <c r="Y28" s="573"/>
      <c r="Z28" s="574"/>
      <c r="AA28" s="574"/>
      <c r="AB28" s="575"/>
      <c r="AC28" s="573"/>
      <c r="AD28" s="574"/>
      <c r="AE28" s="574"/>
      <c r="AF28" s="575"/>
      <c r="AG28" s="573"/>
      <c r="AH28" s="574"/>
      <c r="AI28" s="574"/>
      <c r="AJ28" s="575"/>
      <c r="AK28" s="573"/>
      <c r="AL28" s="574"/>
      <c r="AM28" s="574"/>
      <c r="AN28" s="575"/>
      <c r="AO28" s="573"/>
      <c r="AP28" s="574"/>
      <c r="AQ28" s="574"/>
      <c r="AR28" s="575"/>
      <c r="AS28" s="68"/>
      <c r="AT28" s="114"/>
      <c r="AU28" s="114"/>
      <c r="AW28" s="259"/>
      <c r="AX28" s="249"/>
      <c r="AY28" s="250"/>
      <c r="AZ28" s="250"/>
      <c r="BA28" s="250"/>
      <c r="BB28" s="251"/>
    </row>
    <row r="29" spans="1:57"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4"/>
      <c r="AU29" s="114"/>
      <c r="AY29" s="190"/>
      <c r="AZ29" s="190"/>
      <c r="BA29" s="190"/>
      <c r="BE29" s="141" t="s">
        <v>945</v>
      </c>
    </row>
    <row r="30" spans="1:57" ht="10.5" customHeight="1" x14ac:dyDescent="0.2">
      <c r="B30" s="60"/>
      <c r="C30" s="68"/>
      <c r="D30" s="84"/>
      <c r="E30" s="429"/>
      <c r="F30" s="429"/>
      <c r="G30" s="429"/>
      <c r="H30" s="429"/>
      <c r="I30" s="429"/>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c r="AH30" s="429"/>
      <c r="AI30" s="429"/>
      <c r="AJ30" s="429"/>
      <c r="AK30" s="429"/>
      <c r="AL30" s="429"/>
      <c r="AM30" s="429"/>
      <c r="AN30" s="429"/>
      <c r="AO30" s="429"/>
      <c r="AP30" s="429"/>
      <c r="AQ30" s="429"/>
      <c r="AR30" s="429"/>
      <c r="AS30" s="84"/>
      <c r="AT30" s="115"/>
      <c r="AU30" s="114"/>
      <c r="AW30" s="628" t="str">
        <f>IF('Sprachen &amp; Rückgabewerte(3)'!$I$19=TRUE,'Sprachen &amp; Rückgabewerte(3)'!$H$137,"")</f>
        <v/>
      </c>
      <c r="AX30" s="629"/>
      <c r="AY30" s="629"/>
      <c r="AZ30" s="629"/>
      <c r="BA30" s="630"/>
    </row>
    <row r="31" spans="1:57"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4"/>
      <c r="AW31" s="631"/>
      <c r="AX31" s="632"/>
      <c r="AY31" s="632"/>
      <c r="AZ31" s="632"/>
      <c r="BA31" s="633"/>
    </row>
    <row r="32" spans="1:57" ht="12.75" customHeight="1" x14ac:dyDescent="0.2">
      <c r="B32" s="60"/>
      <c r="C32" s="111"/>
      <c r="D32" s="82"/>
      <c r="E32" s="82"/>
      <c r="F32" s="82"/>
      <c r="G32" s="82"/>
      <c r="H32" s="82"/>
      <c r="I32" s="82"/>
      <c r="J32" s="82"/>
      <c r="K32" s="82"/>
      <c r="L32" s="82"/>
      <c r="M32" s="82"/>
      <c r="N32" s="82"/>
      <c r="O32" s="82"/>
      <c r="P32" s="82"/>
      <c r="Q32" s="82"/>
      <c r="R32" s="82"/>
      <c r="S32" s="82"/>
      <c r="T32" s="82"/>
      <c r="U32" s="82"/>
      <c r="V32" s="82"/>
      <c r="W32" s="82"/>
      <c r="X32" s="82"/>
      <c r="Y32" s="82"/>
      <c r="Z32" s="82"/>
      <c r="AA32" s="82"/>
      <c r="AB32" s="113"/>
      <c r="AC32" s="61"/>
      <c r="AD32" s="111"/>
      <c r="AE32" s="120" t="str">
        <f>'Sprachen &amp; Rückgabewerte(3)'!$H$134</f>
        <v>Features</v>
      </c>
      <c r="AF32" s="120"/>
      <c r="AG32" s="82"/>
      <c r="AH32" s="82"/>
      <c r="AI32" s="82"/>
      <c r="AJ32" s="82"/>
      <c r="AK32" s="82"/>
      <c r="AL32" s="82"/>
      <c r="AM32" s="138"/>
      <c r="AN32" s="82"/>
      <c r="AO32" s="82"/>
      <c r="AP32" s="82"/>
      <c r="AQ32" s="82"/>
      <c r="AR32" s="82"/>
      <c r="AS32" s="82"/>
      <c r="AT32" s="113"/>
      <c r="AU32" s="205"/>
      <c r="AV32" s="113"/>
      <c r="AW32" s="631"/>
      <c r="AX32" s="632"/>
      <c r="AY32" s="632"/>
      <c r="AZ32" s="632"/>
      <c r="BA32" s="633"/>
    </row>
    <row r="33" spans="2:53" ht="12.75" customHeight="1" x14ac:dyDescent="0.2">
      <c r="B33" s="60"/>
      <c r="C33" s="60"/>
      <c r="D33" s="72"/>
      <c r="E33" s="428"/>
      <c r="F33" s="426" t="str">
        <f>'Sprachen &amp; Rückgabewerte(3)'!$H$13</f>
        <v>Teilung Achsmasse</v>
      </c>
      <c r="G33" s="72"/>
      <c r="H33" s="72"/>
      <c r="I33" s="72"/>
      <c r="J33" s="72"/>
      <c r="K33" s="72"/>
      <c r="L33" s="72"/>
      <c r="M33" s="72"/>
      <c r="N33" s="72"/>
      <c r="O33" s="72"/>
      <c r="P33" s="72"/>
      <c r="Q33" s="72"/>
      <c r="R33" s="72"/>
      <c r="S33" s="72"/>
      <c r="T33" s="72"/>
      <c r="U33" s="72"/>
      <c r="V33" s="72"/>
      <c r="W33" s="72"/>
      <c r="X33" s="72"/>
      <c r="Y33" s="72"/>
      <c r="Z33" s="72"/>
      <c r="AA33" s="72"/>
      <c r="AB33" s="122"/>
      <c r="AC33" s="72"/>
      <c r="AD33" s="121"/>
      <c r="AE33" s="72"/>
      <c r="AF33" s="72" t="str">
        <f>'Sprachen &amp; Rückgabewerte(3)'!$H$15</f>
        <v>Standard</v>
      </c>
      <c r="AH33" s="72"/>
      <c r="AI33" s="72"/>
      <c r="AJ33" s="72"/>
      <c r="AK33" s="72"/>
      <c r="AL33" s="72"/>
      <c r="AM33" s="72"/>
      <c r="AN33" s="428"/>
      <c r="AO33" s="61"/>
      <c r="AP33" s="72" t="str">
        <f>'Sprachen &amp; Rückgabewerte(3)'!$H$25</f>
        <v>Pool</v>
      </c>
      <c r="AQ33" s="72"/>
      <c r="AR33" s="72"/>
      <c r="AS33" s="426"/>
      <c r="AT33" s="114"/>
      <c r="AU33" s="114"/>
      <c r="AW33" s="191" t="str">
        <f>IF(AND(F$10&gt;0,'Sprachen &amp; Rückgabewerte(3)'!$I$19=TRUE),CONCATENATE("Pos. ",'Pos. 3'!$B$2,".1"),"")</f>
        <v/>
      </c>
      <c r="AX33" s="729" t="s">
        <v>600</v>
      </c>
      <c r="AY33" s="730"/>
      <c r="AZ33" s="190"/>
      <c r="BA33" s="192"/>
    </row>
    <row r="34" spans="2:53" ht="12.75" customHeight="1" x14ac:dyDescent="0.2">
      <c r="B34" s="60"/>
      <c r="C34" s="60"/>
      <c r="D34" s="72"/>
      <c r="E34" s="428"/>
      <c r="F34" s="73" t="str">
        <f>'Sprachen &amp; Rückgabewerte(3)'!$H$14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22"/>
      <c r="AC34" s="72"/>
      <c r="AD34" s="121"/>
      <c r="AE34" s="72"/>
      <c r="AF34" s="72" t="str">
        <f>'Sprachen &amp; Rückgabewerte(3)'!$H$16</f>
        <v>Einbruchschutz RC2</v>
      </c>
      <c r="AH34" s="72"/>
      <c r="AI34" s="72"/>
      <c r="AJ34" s="72"/>
      <c r="AK34" s="72"/>
      <c r="AL34" s="72"/>
      <c r="AM34" s="72"/>
      <c r="AN34" s="428"/>
      <c r="AO34" s="72"/>
      <c r="AP34" s="72" t="str">
        <f>'Sprachen &amp; Rückgabewerte(3)'!H125</f>
        <v>NFRC (USA)</v>
      </c>
      <c r="AQ34" s="72"/>
      <c r="AR34" s="72"/>
      <c r="AS34" s="426"/>
      <c r="AT34" s="114"/>
      <c r="AU34" s="114"/>
      <c r="AW34" s="191" t="str">
        <f>IF(AND(J10&gt;0,'Sprachen &amp; Rückgabewerte(3)'!$I$19=TRUE),CONCATENATE("Pos. ",'Pos. 3'!$B$2,".2"),"")</f>
        <v/>
      </c>
      <c r="AX34" s="729"/>
      <c r="AY34" s="730"/>
      <c r="AZ34" s="190"/>
      <c r="BA34" s="192"/>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22"/>
      <c r="AC35" s="72"/>
      <c r="AD35" s="121"/>
      <c r="AE35" s="72"/>
      <c r="AF35" s="72" t="str">
        <f>'Sprachen &amp; Rückgabewerte(3)'!$H$17</f>
        <v>Positionsüberwachung (P)</v>
      </c>
      <c r="AH35" s="72"/>
      <c r="AI35" s="72"/>
      <c r="AJ35" s="72"/>
      <c r="AK35" s="72"/>
      <c r="AL35" s="72"/>
      <c r="AM35" s="72"/>
      <c r="AN35" s="428"/>
      <c r="AO35" s="72"/>
      <c r="AP35" s="72"/>
      <c r="AQ35" s="72"/>
      <c r="AR35" s="72"/>
      <c r="AS35" s="74"/>
      <c r="AT35" s="114"/>
      <c r="AU35" s="114"/>
      <c r="AW35" s="191" t="str">
        <f>IF(AND(N10&gt;0,'Sprachen &amp; Rückgabewerte(3)'!$I$19=TRUE),CONCATENATE("Pos. ",'Pos. 3'!$B$2,".3"),"")</f>
        <v/>
      </c>
      <c r="AX35" s="729"/>
      <c r="AY35" s="730"/>
      <c r="AZ35" s="190"/>
      <c r="BA35" s="192"/>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22"/>
      <c r="AC36" s="72"/>
      <c r="AD36" s="121"/>
      <c r="AE36" s="72"/>
      <c r="AF36" s="72" t="str">
        <f>'Sprachen &amp; Rückgabewerte(3)'!$H$18</f>
        <v xml:space="preserve">Riegelüberwachung (R) </v>
      </c>
      <c r="AH36" s="72"/>
      <c r="AI36" s="72"/>
      <c r="AJ36" s="72"/>
      <c r="AK36" s="72"/>
      <c r="AL36" s="72"/>
      <c r="AM36" s="72"/>
      <c r="AN36" s="428"/>
      <c r="AO36" s="72"/>
      <c r="AP36" s="72"/>
      <c r="AQ36" s="72"/>
      <c r="AR36" s="72"/>
      <c r="AS36" s="74"/>
      <c r="AT36" s="114"/>
      <c r="AU36" s="114"/>
      <c r="AW36" s="191" t="str">
        <f>IF(AND(R10&gt;0,'Sprachen &amp; Rückgabewerte(3)'!$I$19=TRUE),CONCATENATE("Pos. ",'Pos. 3'!$B$2,".4"),"")</f>
        <v/>
      </c>
      <c r="AX36" s="729"/>
      <c r="AY36" s="730"/>
      <c r="AZ36" s="190"/>
      <c r="BA36" s="192"/>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22"/>
      <c r="AC37" s="72"/>
      <c r="AD37" s="121"/>
      <c r="AE37" s="72"/>
      <c r="AF37" s="72" t="str">
        <f>'Sprachen &amp; Rückgabewerte(3)'!$H$19</f>
        <v>Glasbruchüberwachung (G)</v>
      </c>
      <c r="AH37" s="72"/>
      <c r="AI37" s="72"/>
      <c r="AJ37" s="72"/>
      <c r="AK37" s="72"/>
      <c r="AL37" s="72"/>
      <c r="AM37" s="72"/>
      <c r="AN37" s="428"/>
      <c r="AO37" s="72"/>
      <c r="AP37" s="72"/>
      <c r="AQ37" s="72"/>
      <c r="AR37" s="72"/>
      <c r="AS37" s="74"/>
      <c r="AT37" s="114"/>
      <c r="AU37" s="114"/>
      <c r="AW37" s="191" t="str">
        <f>IF(AND(V10&gt;0,'Sprachen &amp; Rückgabewerte(3)'!$I$19=TRUE),CONCATENATE("Pos. ",'Pos. 3'!$B$2,".5"),"")</f>
        <v/>
      </c>
      <c r="AX37" s="729"/>
      <c r="AY37" s="730"/>
      <c r="AZ37" s="190"/>
      <c r="BA37" s="192"/>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22"/>
      <c r="AC38" s="72"/>
      <c r="AD38" s="121"/>
      <c r="AE38" s="72"/>
      <c r="AF38" s="607" t="str">
        <f>'Sprachen &amp; Rückgabewerte(3)'!$H$20</f>
        <v>Elektrischer Antrieb, Anzahl</v>
      </c>
      <c r="AG38" s="607"/>
      <c r="AH38" s="607"/>
      <c r="AI38" s="607"/>
      <c r="AJ38" s="607"/>
      <c r="AK38" s="607"/>
      <c r="AL38" s="607"/>
      <c r="AM38" s="636">
        <f>IF('Sprachen &amp; Rückgabewerte(3)'!I20=FALSE,0,COUNTIF(F13:AQ19,"E"))</f>
        <v>0</v>
      </c>
      <c r="AN38" s="636"/>
      <c r="AO38" s="72" t="str">
        <f>'Sprachen &amp; Rückgabewerte(3)'!$H$21</f>
        <v>Stk.</v>
      </c>
      <c r="AQ38" s="72"/>
      <c r="AR38" s="72"/>
      <c r="AS38" s="426"/>
      <c r="AT38" s="114"/>
      <c r="AU38" s="114"/>
      <c r="AW38" s="191" t="str">
        <f>IF(AND(Z10&gt;0,'Sprachen &amp; Rückgabewerte(3)'!$I$19=TRUE),CONCATENATE("Pos. ",'Pos. 3'!$B$2,".6"),"")</f>
        <v/>
      </c>
      <c r="AX38" s="729"/>
      <c r="AY38" s="730"/>
      <c r="AZ38" s="61"/>
      <c r="BA38" s="114"/>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22"/>
      <c r="AC39" s="72"/>
      <c r="AD39" s="121"/>
      <c r="AE39" s="72"/>
      <c r="AF39" s="72" t="str">
        <f>'Sprachen &amp; Rückgabewerte(3)'!$H$22</f>
        <v>geforderte Klassen:</v>
      </c>
      <c r="AH39" s="72"/>
      <c r="AI39" s="72"/>
      <c r="AJ39" s="72"/>
      <c r="AK39" s="72"/>
      <c r="AL39" s="667"/>
      <c r="AM39" s="668"/>
      <c r="AN39" s="668"/>
      <c r="AO39" s="668"/>
      <c r="AP39" s="668"/>
      <c r="AQ39" s="668"/>
      <c r="AR39" s="668"/>
      <c r="AS39" s="669"/>
      <c r="AT39" s="114"/>
      <c r="AU39" s="114"/>
      <c r="AW39" s="191" t="str">
        <f>IF(AND(AD10&gt;0,'Sprachen &amp; Rückgabewerte(3)'!$I$19=TRUE),CONCATENATE("Pos. ",'Pos. 3'!$B$2,".7"),"")</f>
        <v/>
      </c>
      <c r="AX39" s="729"/>
      <c r="AY39" s="730"/>
      <c r="AZ39" s="61"/>
      <c r="BA39" s="114"/>
    </row>
    <row r="40" spans="2:53" ht="12.75" customHeight="1" x14ac:dyDescent="0.2">
      <c r="B40" s="60"/>
      <c r="C40" s="60"/>
      <c r="D40" s="72"/>
      <c r="E40" s="427"/>
      <c r="F40" s="73" t="str">
        <f>'Sprachen &amp; Rückgabewerte(3)'!H30</f>
        <v>nach rechts</v>
      </c>
      <c r="G40" s="72"/>
      <c r="H40" s="72"/>
      <c r="I40" s="72"/>
      <c r="J40" s="72"/>
      <c r="K40" s="72"/>
      <c r="L40" s="72"/>
      <c r="M40" s="72"/>
      <c r="N40" s="75" t="str">
        <f>'Sprachen &amp; Rückgabewerte(3)'!H31</f>
        <v>nach links</v>
      </c>
      <c r="O40" s="427"/>
      <c r="P40" s="75"/>
      <c r="Q40" s="428"/>
      <c r="R40" s="72"/>
      <c r="S40" s="72"/>
      <c r="T40" s="72"/>
      <c r="U40" s="72"/>
      <c r="V40" s="72"/>
      <c r="W40" s="72"/>
      <c r="X40" s="72"/>
      <c r="Y40" s="72"/>
      <c r="Z40" s="578" t="s">
        <v>179</v>
      </c>
      <c r="AA40" s="72"/>
      <c r="AB40" s="122"/>
      <c r="AC40" s="72"/>
      <c r="AD40" s="123"/>
      <c r="AE40" s="124"/>
      <c r="AF40" s="124"/>
      <c r="AG40" s="666"/>
      <c r="AH40" s="666"/>
      <c r="AI40" s="666"/>
      <c r="AJ40" s="666"/>
      <c r="AK40" s="666"/>
      <c r="AL40" s="666"/>
      <c r="AM40" s="666"/>
      <c r="AN40" s="666"/>
      <c r="AO40" s="666"/>
      <c r="AP40" s="666"/>
      <c r="AQ40" s="666"/>
      <c r="AR40" s="666"/>
      <c r="AS40" s="124"/>
      <c r="AT40" s="115"/>
      <c r="AU40" s="114"/>
      <c r="AW40" s="191" t="str">
        <f>IF(AND(AH10&gt;0,'Sprachen &amp; Rückgabewerte(3)'!$I$19=TRUE),CONCATENATE("Pos. ",'Pos. 3'!$B$2,".8"),"")</f>
        <v/>
      </c>
      <c r="AX40" s="729"/>
      <c r="AY40" s="730"/>
      <c r="AZ40" s="61"/>
      <c r="BA40" s="114"/>
    </row>
    <row r="41" spans="2:53" ht="12.75" customHeight="1" x14ac:dyDescent="0.2">
      <c r="B41" s="60"/>
      <c r="C41" s="60"/>
      <c r="D41" s="72"/>
      <c r="E41" s="427"/>
      <c r="F41" s="73"/>
      <c r="G41" s="72"/>
      <c r="H41" s="72"/>
      <c r="I41" s="72"/>
      <c r="J41" s="72"/>
      <c r="K41" s="72"/>
      <c r="L41" s="72"/>
      <c r="M41" s="72"/>
      <c r="N41" s="75"/>
      <c r="O41" s="427"/>
      <c r="P41" s="75"/>
      <c r="Q41" s="428"/>
      <c r="R41" s="72"/>
      <c r="S41" s="72"/>
      <c r="T41" s="72"/>
      <c r="U41" s="72"/>
      <c r="V41" s="72"/>
      <c r="W41" s="72"/>
      <c r="X41" s="72"/>
      <c r="Y41" s="72"/>
      <c r="Z41" s="579"/>
      <c r="AA41" s="72"/>
      <c r="AB41" s="122"/>
      <c r="AC41" s="72"/>
      <c r="AD41" s="72"/>
      <c r="AE41" s="72"/>
      <c r="AF41" s="72"/>
      <c r="AG41" s="76"/>
      <c r="AH41" s="76"/>
      <c r="AI41" s="76"/>
      <c r="AJ41" s="76"/>
      <c r="AK41" s="76"/>
      <c r="AL41" s="76"/>
      <c r="AM41" s="76"/>
      <c r="AN41" s="76"/>
      <c r="AO41" s="76"/>
      <c r="AP41" s="76"/>
      <c r="AQ41" s="76"/>
      <c r="AR41" s="76"/>
      <c r="AS41" s="72"/>
      <c r="AT41" s="61"/>
      <c r="AU41" s="114"/>
      <c r="AW41" s="191" t="str">
        <f>IF(AND(AL10&gt;0,'Sprachen &amp; Rückgabewerte(3)'!$I$19=TRUE),CONCATENATE("Pos. ",'Pos. 3'!$B$2,".9"),"")</f>
        <v/>
      </c>
      <c r="AX41" s="729"/>
      <c r="AY41" s="730"/>
      <c r="AZ41" s="61"/>
      <c r="BA41" s="114"/>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63"/>
      <c r="AA42" s="72"/>
      <c r="AB42" s="122"/>
      <c r="AC42" s="77"/>
      <c r="AD42" s="118"/>
      <c r="AE42" s="120" t="str">
        <f>'Sprachen &amp; Rückgabewerte(3)'!$H$35</f>
        <v>Oberfläche:</v>
      </c>
      <c r="AF42" s="120"/>
      <c r="AG42" s="119"/>
      <c r="AH42" s="119"/>
      <c r="AI42" s="119"/>
      <c r="AJ42" s="119"/>
      <c r="AK42" s="119"/>
      <c r="AL42" s="119"/>
      <c r="AM42" s="139"/>
      <c r="AN42" s="119"/>
      <c r="AO42" s="119"/>
      <c r="AP42" s="119"/>
      <c r="AQ42" s="119"/>
      <c r="AR42" s="119"/>
      <c r="AS42" s="119"/>
      <c r="AT42" s="113"/>
      <c r="AU42" s="114"/>
      <c r="AW42" s="191" t="str">
        <f>IF(AND(AP10&gt;0,'Sprachen &amp; Rückgabewerte(3)'!$I$19=TRUE),CONCATENATE("Pos. ",'Pos. 3'!$B$2,".10"),"")</f>
        <v/>
      </c>
      <c r="AX42" s="729"/>
      <c r="AY42" s="730"/>
      <c r="AZ42" s="61"/>
      <c r="BA42" s="114"/>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64"/>
      <c r="AA43" s="72"/>
      <c r="AB43" s="122"/>
      <c r="AC43" s="77"/>
      <c r="AD43" s="121"/>
      <c r="AE43" s="72"/>
      <c r="AF43" s="180" t="str">
        <f>'Sprachen &amp; Rückgabewerte(3)'!H36</f>
        <v>eloxiert (Qualanod):</v>
      </c>
      <c r="AG43" s="72"/>
      <c r="AH43" s="72"/>
      <c r="AI43" s="72"/>
      <c r="AJ43" s="72"/>
      <c r="AK43" s="72"/>
      <c r="AL43" s="72"/>
      <c r="AM43" s="627"/>
      <c r="AN43" s="627"/>
      <c r="AO43" s="627"/>
      <c r="AP43" s="627"/>
      <c r="AQ43" s="627"/>
      <c r="AR43" s="627"/>
      <c r="AS43" s="627"/>
      <c r="AT43" s="114"/>
      <c r="AU43" s="114"/>
      <c r="AW43" s="206">
        <f>COUNTBLANK(AW33:AW42)</f>
        <v>10</v>
      </c>
      <c r="AX43" s="207">
        <f>COUNTBLANK(AX33:AX42)</f>
        <v>9</v>
      </c>
      <c r="AY43" s="207">
        <f>AW43-AX43</f>
        <v>1</v>
      </c>
      <c r="AZ43" s="84"/>
      <c r="BA43" s="115"/>
    </row>
    <row r="44" spans="2:53" ht="12.75" customHeight="1" x14ac:dyDescent="0.2">
      <c r="B44" s="60"/>
      <c r="C44" s="60"/>
      <c r="D44" s="72"/>
      <c r="E44" s="72"/>
      <c r="F44" s="72"/>
      <c r="G44" s="72"/>
      <c r="H44" s="72"/>
      <c r="I44" s="72"/>
      <c r="J44" s="72"/>
      <c r="K44" s="72"/>
      <c r="L44" s="72"/>
      <c r="M44" s="72"/>
      <c r="N44" s="72"/>
      <c r="O44" s="72"/>
      <c r="P44" s="670" t="str">
        <f>'Sprachen &amp; Rückgabewerte(3)'!$H$33</f>
        <v>Griffhöhe:</v>
      </c>
      <c r="Q44" s="670"/>
      <c r="R44" s="670"/>
      <c r="S44" s="670"/>
      <c r="T44" s="72"/>
      <c r="U44" s="72"/>
      <c r="V44" s="72"/>
      <c r="W44" s="72"/>
      <c r="X44" s="72"/>
      <c r="Y44" s="72"/>
      <c r="Z44" s="664"/>
      <c r="AA44" s="72"/>
      <c r="AB44" s="122"/>
      <c r="AC44" s="77"/>
      <c r="AD44" s="121"/>
      <c r="AE44" s="72"/>
      <c r="AF44" s="428"/>
      <c r="AG44" s="73"/>
      <c r="AH44" s="72"/>
      <c r="AI44" s="72"/>
      <c r="AJ44" s="72"/>
      <c r="AK44" s="72"/>
      <c r="AL44" s="72"/>
      <c r="AM44" s="426"/>
      <c r="AN44" s="428"/>
      <c r="AO44" s="616"/>
      <c r="AP44" s="616"/>
      <c r="AQ44" s="616"/>
      <c r="AR44" s="616"/>
      <c r="AS44" s="616"/>
      <c r="AT44" s="114"/>
      <c r="AU44" s="114"/>
    </row>
    <row r="45" spans="2:53" ht="12.75" customHeight="1" x14ac:dyDescent="0.2">
      <c r="B45" s="60"/>
      <c r="C45" s="60"/>
      <c r="D45" s="72"/>
      <c r="E45" s="72"/>
      <c r="F45" s="72"/>
      <c r="G45" s="72"/>
      <c r="H45" s="72"/>
      <c r="I45" s="72"/>
      <c r="J45" s="72"/>
      <c r="K45" s="72"/>
      <c r="L45" s="72"/>
      <c r="M45" s="72"/>
      <c r="N45" s="72"/>
      <c r="O45" s="72"/>
      <c r="P45" s="670"/>
      <c r="Q45" s="670"/>
      <c r="R45" s="670"/>
      <c r="S45" s="670"/>
      <c r="T45" s="671"/>
      <c r="U45" s="672"/>
      <c r="V45" s="73" t="s">
        <v>179</v>
      </c>
      <c r="W45" s="72"/>
      <c r="X45" s="72"/>
      <c r="Y45" s="72"/>
      <c r="Z45" s="665"/>
      <c r="AA45" s="72"/>
      <c r="AB45" s="122"/>
      <c r="AC45" s="77"/>
      <c r="AD45" s="121"/>
      <c r="AE45" s="72"/>
      <c r="AF45" s="426" t="str">
        <f>'Sprachen &amp; Rückgabewerte(3)'!$H$39</f>
        <v>pulverbeschichtet:</v>
      </c>
      <c r="AG45" s="152"/>
      <c r="AH45" s="152"/>
      <c r="AI45" s="152"/>
      <c r="AJ45" s="152"/>
      <c r="AK45" s="152"/>
      <c r="AL45" s="152"/>
      <c r="AM45" s="601"/>
      <c r="AN45" s="602"/>
      <c r="AO45" s="602"/>
      <c r="AP45" s="602"/>
      <c r="AQ45" s="602"/>
      <c r="AR45" s="602"/>
      <c r="AS45" s="603"/>
      <c r="AT45" s="114"/>
      <c r="AU45" s="205"/>
      <c r="AV45" s="113"/>
      <c r="AW45" s="111"/>
      <c r="AX45" s="113"/>
    </row>
    <row r="46" spans="2:53" ht="12.75" customHeight="1" x14ac:dyDescent="0.2">
      <c r="B46" s="60"/>
      <c r="C46" s="60"/>
      <c r="D46" s="72"/>
      <c r="E46" s="72"/>
      <c r="F46" s="72"/>
      <c r="G46" s="72"/>
      <c r="H46" s="72"/>
      <c r="I46" s="609"/>
      <c r="J46" s="609"/>
      <c r="K46" s="609"/>
      <c r="L46" s="163" t="s">
        <v>193</v>
      </c>
      <c r="M46" s="72"/>
      <c r="N46" s="72"/>
      <c r="O46" s="72"/>
      <c r="P46" s="72"/>
      <c r="Q46" s="72"/>
      <c r="R46" s="72"/>
      <c r="S46" s="72"/>
      <c r="T46" s="72"/>
      <c r="U46" s="72"/>
      <c r="V46" s="72"/>
      <c r="W46" s="72"/>
      <c r="X46" s="72"/>
      <c r="Y46" s="72"/>
      <c r="Z46" s="592" t="str">
        <f>'Sprachen &amp; Rückgabewerte(3)'!$H$34</f>
        <v xml:space="preserve">Höhe = </v>
      </c>
      <c r="AA46" s="72"/>
      <c r="AB46" s="122"/>
      <c r="AC46" s="77"/>
      <c r="AD46" s="121"/>
      <c r="AE46" s="72"/>
      <c r="AF46" s="426" t="str">
        <f>'Sprachen &amp; Rückgabewerte(3)'!$H$40</f>
        <v>Vorbehandlung:</v>
      </c>
      <c r="AG46" s="72"/>
      <c r="AH46" s="72"/>
      <c r="AI46" s="72"/>
      <c r="AJ46" s="72"/>
      <c r="AK46" s="72"/>
      <c r="AL46" s="72"/>
      <c r="AM46" s="658"/>
      <c r="AN46" s="659"/>
      <c r="AO46" s="659"/>
      <c r="AP46" s="659"/>
      <c r="AQ46" s="659"/>
      <c r="AR46" s="659"/>
      <c r="AS46" s="660"/>
      <c r="AT46" s="114"/>
      <c r="AU46" s="114"/>
      <c r="AW46" s="237" t="str">
        <f>'Sprachen &amp; Rückgabewerte(3)'!$H$150</f>
        <v>Farbe Panele:</v>
      </c>
      <c r="AX46" s="114"/>
    </row>
    <row r="47" spans="2:53" ht="12.75" customHeight="1" x14ac:dyDescent="0.2">
      <c r="B47" s="60"/>
      <c r="C47" s="60"/>
      <c r="D47" s="72"/>
      <c r="E47" s="72"/>
      <c r="F47" s="72"/>
      <c r="G47" s="72"/>
      <c r="H47" s="72"/>
      <c r="I47" s="609"/>
      <c r="J47" s="609"/>
      <c r="K47" s="609"/>
      <c r="L47" s="163" t="s">
        <v>193</v>
      </c>
      <c r="M47" s="72"/>
      <c r="N47" s="72"/>
      <c r="O47" s="427"/>
      <c r="P47" s="72"/>
      <c r="Q47" s="72"/>
      <c r="R47" s="72"/>
      <c r="S47" s="72"/>
      <c r="T47" s="72"/>
      <c r="U47" s="72"/>
      <c r="V47" s="72"/>
      <c r="W47" s="72"/>
      <c r="X47" s="72"/>
      <c r="Y47" s="72"/>
      <c r="Z47" s="593"/>
      <c r="AA47" s="427"/>
      <c r="AB47" s="122"/>
      <c r="AC47" s="78"/>
      <c r="AD47" s="121"/>
      <c r="AE47" s="72"/>
      <c r="AF47" s="426" t="str">
        <f>'Sprachen &amp; Rückgabewerte(3)'!H176</f>
        <v>Pulverlack Klasse:</v>
      </c>
      <c r="AG47" s="72"/>
      <c r="AH47" s="72"/>
      <c r="AI47" s="72"/>
      <c r="AJ47" s="72"/>
      <c r="AK47" s="72"/>
      <c r="AL47" s="72"/>
      <c r="AM47" s="624"/>
      <c r="AN47" s="625"/>
      <c r="AO47" s="625"/>
      <c r="AP47" s="625"/>
      <c r="AQ47" s="625"/>
      <c r="AR47" s="625"/>
      <c r="AS47" s="626"/>
      <c r="AT47" s="114"/>
      <c r="AU47" s="114"/>
      <c r="AW47" s="60"/>
      <c r="AX47" s="114"/>
    </row>
    <row r="48" spans="2:53" ht="12.75" customHeight="1" x14ac:dyDescent="0.2">
      <c r="B48" s="60"/>
      <c r="C48" s="60"/>
      <c r="D48" s="72"/>
      <c r="E48" s="72"/>
      <c r="F48" s="72"/>
      <c r="G48" s="72"/>
      <c r="H48" s="72"/>
      <c r="I48" s="597"/>
      <c r="J48" s="597"/>
      <c r="K48" s="597"/>
      <c r="L48" s="163" t="s">
        <v>193</v>
      </c>
      <c r="M48" s="72"/>
      <c r="N48" s="72"/>
      <c r="O48" s="427"/>
      <c r="P48" s="72"/>
      <c r="Q48" s="72"/>
      <c r="R48" s="72"/>
      <c r="S48" s="72"/>
      <c r="T48" s="72"/>
      <c r="U48" s="72"/>
      <c r="V48" s="72"/>
      <c r="W48" s="72"/>
      <c r="X48" s="72"/>
      <c r="Y48" s="72"/>
      <c r="Z48" s="593"/>
      <c r="AA48" s="427"/>
      <c r="AB48" s="122"/>
      <c r="AC48" s="78"/>
      <c r="AD48" s="121"/>
      <c r="AE48" s="72"/>
      <c r="AF48" s="661" t="str">
        <f>'Sprachen &amp; Rückgabewerte(3)'!$H$91</f>
        <v>Farbe Laufschiene + Schraubenarretierungen:</v>
      </c>
      <c r="AG48" s="661"/>
      <c r="AH48" s="661"/>
      <c r="AI48" s="661"/>
      <c r="AJ48" s="661"/>
      <c r="AK48" s="661"/>
      <c r="AL48" s="661"/>
      <c r="AM48" s="61"/>
      <c r="AN48" s="61"/>
      <c r="AO48" s="426"/>
      <c r="AP48" s="72"/>
      <c r="AQ48" s="72"/>
      <c r="AR48" s="72"/>
      <c r="AS48" s="72"/>
      <c r="AT48" s="114"/>
      <c r="AU48" s="114"/>
      <c r="AW48" s="650"/>
      <c r="AX48" s="651"/>
    </row>
    <row r="49" spans="2:50" ht="12.75" customHeight="1" x14ac:dyDescent="0.2">
      <c r="B49" s="60"/>
      <c r="C49" s="60"/>
      <c r="D49" s="72"/>
      <c r="E49" s="72"/>
      <c r="F49" s="72"/>
      <c r="G49" s="72"/>
      <c r="H49" s="75" t="str">
        <f>'Sprachen &amp; Rückgabewerte(3)'!$H$32</f>
        <v>Breite =</v>
      </c>
      <c r="I49" s="594"/>
      <c r="J49" s="595"/>
      <c r="K49" s="596"/>
      <c r="L49" s="73" t="s">
        <v>179</v>
      </c>
      <c r="M49" s="72"/>
      <c r="N49" s="72"/>
      <c r="O49" s="427"/>
      <c r="P49" s="72"/>
      <c r="Q49" s="72"/>
      <c r="R49" s="72"/>
      <c r="S49" s="72"/>
      <c r="T49" s="72"/>
      <c r="U49" s="72"/>
      <c r="V49" s="72"/>
      <c r="W49" s="72"/>
      <c r="X49" s="72"/>
      <c r="Y49" s="72"/>
      <c r="Z49" s="593"/>
      <c r="AA49" s="427"/>
      <c r="AB49" s="122"/>
      <c r="AC49" s="78"/>
      <c r="AD49" s="121"/>
      <c r="AE49" s="72"/>
      <c r="AF49" s="661"/>
      <c r="AG49" s="661"/>
      <c r="AH49" s="661"/>
      <c r="AI49" s="661"/>
      <c r="AJ49" s="661"/>
      <c r="AK49" s="661"/>
      <c r="AL49" s="661"/>
      <c r="AM49" s="604"/>
      <c r="AN49" s="605"/>
      <c r="AO49" s="605"/>
      <c r="AP49" s="606"/>
      <c r="AQ49" s="72"/>
      <c r="AR49" s="72"/>
      <c r="AS49" s="72"/>
      <c r="AT49" s="114"/>
      <c r="AU49" s="114"/>
      <c r="AW49" s="68"/>
      <c r="AX49" s="115"/>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593"/>
      <c r="AA50" s="72"/>
      <c r="AB50" s="122"/>
      <c r="AC50" s="78"/>
      <c r="AD50" s="123"/>
      <c r="AE50" s="124"/>
      <c r="AF50" s="662"/>
      <c r="AG50" s="662"/>
      <c r="AH50" s="662"/>
      <c r="AI50" s="662"/>
      <c r="AJ50" s="662"/>
      <c r="AK50" s="662"/>
      <c r="AL50" s="662"/>
      <c r="AM50" s="140"/>
      <c r="AN50" s="124"/>
      <c r="AO50" s="124"/>
      <c r="AP50" s="124"/>
      <c r="AQ50" s="124"/>
      <c r="AR50" s="124"/>
      <c r="AS50" s="124"/>
      <c r="AT50" s="115"/>
      <c r="AU50" s="114"/>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593"/>
      <c r="AA51" s="72"/>
      <c r="AB51" s="122"/>
      <c r="AC51" s="78"/>
      <c r="AD51" s="72"/>
      <c r="AE51" s="72"/>
      <c r="AF51" s="72"/>
      <c r="AG51" s="72"/>
      <c r="AH51" s="72"/>
      <c r="AI51" s="72"/>
      <c r="AJ51" s="72"/>
      <c r="AK51" s="72"/>
      <c r="AL51" s="72"/>
      <c r="AM51" s="426"/>
      <c r="AN51" s="72"/>
      <c r="AO51" s="72"/>
      <c r="AP51" s="72"/>
      <c r="AQ51" s="72"/>
      <c r="AR51" s="72"/>
      <c r="AS51" s="72"/>
      <c r="AT51" s="61"/>
      <c r="AU51" s="114"/>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593"/>
      <c r="AA52" s="72"/>
      <c r="AB52" s="122"/>
      <c r="AC52" s="78"/>
      <c r="AD52" s="118"/>
      <c r="AE52" s="120" t="str">
        <f>'Sprachen &amp; Rückgabewerte(3)'!$H$42</f>
        <v>Glas-Typ: SG = "Sky-Glass"</v>
      </c>
      <c r="AF52" s="120"/>
      <c r="AG52" s="119"/>
      <c r="AH52" s="119"/>
      <c r="AI52" s="119"/>
      <c r="AJ52" s="119"/>
      <c r="AK52" s="119"/>
      <c r="AL52" s="119"/>
      <c r="AM52" s="139"/>
      <c r="AN52" s="119"/>
      <c r="AO52" s="119"/>
      <c r="AP52" s="119"/>
      <c r="AQ52" s="119"/>
      <c r="AR52" s="119"/>
      <c r="AS52" s="119"/>
      <c r="AT52" s="324"/>
      <c r="AU52" s="114"/>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593"/>
      <c r="AA53" s="72"/>
      <c r="AB53" s="122"/>
      <c r="AC53" s="78"/>
      <c r="AD53" s="121"/>
      <c r="AE53" s="613"/>
      <c r="AF53" s="614"/>
      <c r="AG53" s="615"/>
      <c r="AH53" s="72" t="str">
        <f>'Sprachen &amp; Rückgabewerte(3)'!$W$1</f>
        <v>Ug=</v>
      </c>
      <c r="AI53" s="611">
        <f>LOOKUP($AE$53,'Sprachen &amp; Rückgabewerte(3)'!$V$3:$V$35,'Sprachen &amp; Rückgabewerte(3)'!W3:W35)</f>
        <v>0</v>
      </c>
      <c r="AJ53" s="611"/>
      <c r="AK53" s="612" t="str">
        <f>'Sprachen &amp; Rückgabewerte(3)'!$X$1</f>
        <v>Lt=</v>
      </c>
      <c r="AL53" s="612"/>
      <c r="AM53" s="610">
        <f>LOOKUP(AE53,'Sprachen &amp; Rückgabewerte(3)'!V3:V35,'Sprachen &amp; Rückgabewerte(3)'!X3:X35)</f>
        <v>0</v>
      </c>
      <c r="AN53" s="610"/>
      <c r="AO53" s="211" t="str">
        <f>'Sprachen &amp; Rückgabewerte(3)'!$Y$1</f>
        <v>g=</v>
      </c>
      <c r="AP53" s="610">
        <f>LOOKUP(AE53,'Sprachen &amp; Rückgabewerte(3)'!V3:V35,'Sprachen &amp; Rückgabewerte(3)'!Y3:Y35)</f>
        <v>0</v>
      </c>
      <c r="AQ53" s="610"/>
      <c r="AR53" s="72"/>
      <c r="AS53" s="72"/>
      <c r="AT53" s="114"/>
      <c r="AU53" s="114"/>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593"/>
      <c r="AA54" s="72"/>
      <c r="AB54" s="122"/>
      <c r="AC54" s="72"/>
      <c r="AD54" s="121"/>
      <c r="AE54" s="72"/>
      <c r="AF54" s="72"/>
      <c r="AG54" s="72"/>
      <c r="AH54" s="73" t="str">
        <f>IF(AT52=1,'Sprachen &amp; Rückgabewerte(3)'!H158,LOOKUP(AE53,'Sprachen &amp; Rückgabewerte(3)'!V3:V35,'Sprachen &amp; Rückgabewerte(3)'!Z3:Z35))</f>
        <v>Glastyp wählen</v>
      </c>
      <c r="AI54" s="72"/>
      <c r="AJ54" s="72"/>
      <c r="AK54" s="72"/>
      <c r="AL54" s="72"/>
      <c r="AM54" s="426"/>
      <c r="AN54" s="79"/>
      <c r="AO54" s="79"/>
      <c r="AP54" s="72"/>
      <c r="AQ54" s="72"/>
      <c r="AR54" s="72"/>
      <c r="AS54" s="72"/>
      <c r="AT54" s="114"/>
      <c r="AU54" s="114"/>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22"/>
      <c r="AC55" s="72"/>
      <c r="AD55" s="121"/>
      <c r="AE55" s="607" t="str">
        <f>'Sprachen &amp; Rückgabewerte(3)'!$H$94</f>
        <v>Druckausgleichsventile :</v>
      </c>
      <c r="AF55" s="607"/>
      <c r="AG55" s="607"/>
      <c r="AH55" s="607"/>
      <c r="AI55" s="607"/>
      <c r="AJ55" s="607"/>
      <c r="AK55" s="607"/>
      <c r="AL55" s="607"/>
      <c r="AM55" s="607"/>
      <c r="AN55" s="608"/>
      <c r="AO55" s="549"/>
      <c r="AP55" s="550"/>
      <c r="AQ55" s="72"/>
      <c r="AR55" s="80" t="s">
        <v>379</v>
      </c>
      <c r="AS55" s="72"/>
      <c r="AT55" s="114"/>
      <c r="AU55" s="114"/>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22"/>
      <c r="AC56" s="72"/>
      <c r="AD56" s="121"/>
      <c r="AE56" s="72"/>
      <c r="AF56" s="132" t="str">
        <f>'Sprachen &amp; Rückgabewerte(3)'!$H$43</f>
        <v>Swisspacer-U schwarz</v>
      </c>
      <c r="AG56" s="72"/>
      <c r="AH56" s="72"/>
      <c r="AI56" s="72"/>
      <c r="AJ56" s="72"/>
      <c r="AK56" s="72"/>
      <c r="AL56" s="72"/>
      <c r="AM56" s="72"/>
      <c r="AN56" s="132" t="str">
        <f>'Sprachen &amp; Rückgabewerte(3)'!$H$44</f>
        <v>Swisspacer-U grau</v>
      </c>
      <c r="AQ56" s="72"/>
      <c r="AS56" s="80"/>
      <c r="AT56" s="114"/>
      <c r="AU56" s="114"/>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22"/>
      <c r="AC57" s="72"/>
      <c r="AD57" s="121"/>
      <c r="AE57" s="72"/>
      <c r="AF57" s="132" t="str">
        <f>'Sprachen &amp; Rückgabewerte(3)'!$H$45</f>
        <v>Speziell:</v>
      </c>
      <c r="AG57" s="72"/>
      <c r="AH57" s="72"/>
      <c r="AI57" s="621"/>
      <c r="AJ57" s="622"/>
      <c r="AK57" s="622"/>
      <c r="AL57" s="622"/>
      <c r="AM57" s="622"/>
      <c r="AN57" s="622"/>
      <c r="AO57" s="622"/>
      <c r="AP57" s="622"/>
      <c r="AQ57" s="622"/>
      <c r="AR57" s="622"/>
      <c r="AS57" s="623"/>
      <c r="AT57" s="114"/>
      <c r="AU57" s="114"/>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22"/>
      <c r="AC58" s="72"/>
      <c r="AD58" s="123"/>
      <c r="AE58" s="124"/>
      <c r="AF58" s="124"/>
      <c r="AG58" s="124"/>
      <c r="AH58" s="124"/>
      <c r="AI58" s="153"/>
      <c r="AJ58" s="153"/>
      <c r="AK58" s="153"/>
      <c r="AL58" s="153"/>
      <c r="AM58" s="153"/>
      <c r="AN58" s="153"/>
      <c r="AO58" s="153"/>
      <c r="AP58" s="153"/>
      <c r="AQ58" s="153"/>
      <c r="AR58" s="153"/>
      <c r="AS58" s="153"/>
      <c r="AT58" s="115"/>
      <c r="AU58" s="114"/>
    </row>
    <row r="59" spans="2:50" ht="12.75" customHeight="1" x14ac:dyDescent="0.2">
      <c r="B59" s="60"/>
      <c r="C59" s="60"/>
      <c r="D59" s="72"/>
      <c r="E59" s="72"/>
      <c r="F59" s="72"/>
      <c r="G59" s="72"/>
      <c r="H59" s="72"/>
      <c r="I59" s="75"/>
      <c r="J59" s="73"/>
      <c r="K59" s="73"/>
      <c r="L59" s="73"/>
      <c r="M59" s="73"/>
      <c r="N59" s="73"/>
      <c r="O59" s="72"/>
      <c r="P59" s="72"/>
      <c r="Q59" s="72"/>
      <c r="R59" s="72"/>
      <c r="S59" s="72"/>
      <c r="T59" s="72"/>
      <c r="U59" s="72"/>
      <c r="V59" s="72"/>
      <c r="W59" s="72"/>
      <c r="X59" s="72"/>
      <c r="Y59" s="72"/>
      <c r="Z59" s="72"/>
      <c r="AA59" s="72"/>
      <c r="AB59" s="122"/>
      <c r="AC59" s="72"/>
      <c r="AD59" s="72"/>
      <c r="AE59" s="72"/>
      <c r="AF59" s="72"/>
      <c r="AG59" s="72"/>
      <c r="AH59" s="72"/>
      <c r="AI59" s="79"/>
      <c r="AJ59" s="79"/>
      <c r="AK59" s="79"/>
      <c r="AL59" s="79"/>
      <c r="AM59" s="79"/>
      <c r="AN59" s="79"/>
      <c r="AO59" s="79"/>
      <c r="AP59" s="79"/>
      <c r="AQ59" s="79"/>
      <c r="AR59" s="79"/>
      <c r="AS59" s="79"/>
      <c r="AT59" s="61"/>
      <c r="AU59" s="114"/>
    </row>
    <row r="60" spans="2:50" ht="12.75" customHeight="1" x14ac:dyDescent="0.2">
      <c r="B60" s="60"/>
      <c r="C60" s="68"/>
      <c r="D60" s="124"/>
      <c r="E60" s="124"/>
      <c r="F60" s="183" t="str">
        <f>'Sprachen &amp; Rückgabewerte(3)'!$H$110</f>
        <v>KABA (22)</v>
      </c>
      <c r="G60" s="124"/>
      <c r="H60" s="124"/>
      <c r="I60" s="124"/>
      <c r="J60" s="124"/>
      <c r="K60" s="124"/>
      <c r="L60" s="183" t="str">
        <f>'Sprachen &amp; Rückgabewerte(3)'!$H$111</f>
        <v>PZ / Euro (17)</v>
      </c>
      <c r="M60" s="124"/>
      <c r="N60" s="124"/>
      <c r="O60" s="124"/>
      <c r="P60" s="124"/>
      <c r="Q60" s="124"/>
      <c r="R60" s="124"/>
      <c r="S60" s="124"/>
      <c r="T60" s="124"/>
      <c r="U60" s="124"/>
      <c r="V60" s="124"/>
      <c r="W60" s="124"/>
      <c r="X60" s="124"/>
      <c r="Y60" s="124"/>
      <c r="Z60" s="124"/>
      <c r="AA60" s="154"/>
      <c r="AB60" s="125"/>
      <c r="AC60" s="72"/>
      <c r="AD60" s="118"/>
      <c r="AE60" s="120" t="str">
        <f>'Sprachen &amp; Rückgabewerte(3)'!$H$64</f>
        <v>Verschlussgriffe:</v>
      </c>
      <c r="AF60" s="120"/>
      <c r="AG60" s="119"/>
      <c r="AH60" s="119"/>
      <c r="AI60" s="119"/>
      <c r="AJ60" s="119"/>
      <c r="AK60" s="119"/>
      <c r="AL60" s="119"/>
      <c r="AM60" s="139"/>
      <c r="AN60" s="119"/>
      <c r="AO60" s="119"/>
      <c r="AP60" s="119"/>
      <c r="AQ60" s="119"/>
      <c r="AR60" s="119"/>
      <c r="AS60" s="119"/>
      <c r="AT60" s="113"/>
      <c r="AU60" s="114"/>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21"/>
      <c r="AE61" s="72"/>
      <c r="AF61" s="81"/>
      <c r="AG61" s="72"/>
      <c r="AH61" s="72"/>
      <c r="AI61" s="72"/>
      <c r="AJ61" s="72"/>
      <c r="AK61" s="72"/>
      <c r="AL61" s="72"/>
      <c r="AM61" s="426"/>
      <c r="AN61" s="72"/>
      <c r="AO61" s="72"/>
      <c r="AP61" s="72"/>
      <c r="AQ61" s="72"/>
      <c r="AR61" s="72"/>
      <c r="AS61" s="72"/>
      <c r="AT61" s="114"/>
      <c r="AU61" s="114"/>
    </row>
    <row r="62" spans="2:50" ht="12.75" customHeight="1" x14ac:dyDescent="0.2">
      <c r="B62" s="60"/>
      <c r="C62" s="111"/>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328"/>
      <c r="AC62" s="72"/>
      <c r="AD62" s="121"/>
      <c r="AE62" s="72"/>
      <c r="AF62" s="81"/>
      <c r="AG62" s="72"/>
      <c r="AH62" s="72"/>
      <c r="AI62" s="72"/>
      <c r="AJ62" s="72"/>
      <c r="AK62" s="72"/>
      <c r="AL62" s="72"/>
      <c r="AM62" s="426"/>
      <c r="AN62" s="72"/>
      <c r="AO62" s="72"/>
      <c r="AP62" s="72"/>
      <c r="AQ62" s="72"/>
      <c r="AR62" s="72"/>
      <c r="AS62" s="72"/>
      <c r="AT62" s="114"/>
      <c r="AU62" s="114"/>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22"/>
      <c r="AC63" s="72"/>
      <c r="AD63" s="121"/>
      <c r="AE63" s="72"/>
      <c r="AF63" s="72"/>
      <c r="AG63" s="72"/>
      <c r="AH63" s="72"/>
      <c r="AI63" s="72"/>
      <c r="AJ63" s="72"/>
      <c r="AK63" s="72"/>
      <c r="AL63" s="72"/>
      <c r="AM63" s="426"/>
      <c r="AN63" s="72"/>
      <c r="AO63" s="72"/>
      <c r="AP63" s="72"/>
      <c r="AQ63" s="72"/>
      <c r="AR63" s="72"/>
      <c r="AS63" s="72"/>
      <c r="AT63" s="114"/>
      <c r="AU63" s="114"/>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22"/>
      <c r="AC64" s="72"/>
      <c r="AD64" s="121"/>
      <c r="AE64" s="72"/>
      <c r="AF64" s="72"/>
      <c r="AG64" s="72"/>
      <c r="AH64" s="72"/>
      <c r="AI64" s="72"/>
      <c r="AJ64" s="72"/>
      <c r="AK64" s="72"/>
      <c r="AL64" s="72"/>
      <c r="AM64" s="426"/>
      <c r="AN64" s="72"/>
      <c r="AO64" s="72"/>
      <c r="AP64" s="72"/>
      <c r="AQ64" s="72"/>
      <c r="AR64" s="72"/>
      <c r="AS64" s="72"/>
      <c r="AT64" s="114"/>
      <c r="AU64" s="114"/>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22"/>
      <c r="AC65" s="72"/>
      <c r="AD65" s="121"/>
      <c r="AE65" s="72"/>
      <c r="AF65" s="72"/>
      <c r="AG65" s="72"/>
      <c r="AH65" s="72"/>
      <c r="AI65" s="72"/>
      <c r="AJ65" s="72"/>
      <c r="AK65" s="72"/>
      <c r="AL65" s="72"/>
      <c r="AM65" s="72"/>
      <c r="AN65" s="72"/>
      <c r="AO65" s="72"/>
      <c r="AP65" s="72"/>
      <c r="AQ65" s="72"/>
      <c r="AR65" s="72"/>
      <c r="AS65" s="72"/>
      <c r="AT65" s="114"/>
      <c r="AU65" s="114"/>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22"/>
      <c r="AC66" s="72"/>
      <c r="AD66" s="121"/>
      <c r="AE66" s="72"/>
      <c r="AF66" s="72"/>
      <c r="AG66" s="72"/>
      <c r="AH66" s="72"/>
      <c r="AI66" s="72"/>
      <c r="AJ66" s="72"/>
      <c r="AK66" s="72"/>
      <c r="AL66" s="72"/>
      <c r="AM66" s="72"/>
      <c r="AN66" s="72"/>
      <c r="AO66" s="72"/>
      <c r="AP66" s="72"/>
      <c r="AQ66" s="72"/>
      <c r="AR66" s="72"/>
      <c r="AS66" s="72"/>
      <c r="AT66" s="114"/>
      <c r="AU66" s="114"/>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22"/>
      <c r="AC67" s="72"/>
      <c r="AD67" s="121"/>
      <c r="AE67" s="72"/>
      <c r="AF67" s="72"/>
      <c r="AG67" s="72"/>
      <c r="AH67" s="72"/>
      <c r="AI67" s="72"/>
      <c r="AJ67" s="72"/>
      <c r="AK67" s="72"/>
      <c r="AL67" s="72"/>
      <c r="AM67" s="72"/>
      <c r="AN67" s="72"/>
      <c r="AO67" s="72"/>
      <c r="AP67" s="72"/>
      <c r="AQ67" s="72"/>
      <c r="AR67" s="72"/>
      <c r="AS67" s="72"/>
      <c r="AT67" s="114"/>
      <c r="AU67" s="114"/>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22"/>
      <c r="AC68" s="72"/>
      <c r="AD68" s="121"/>
      <c r="AE68" s="72"/>
      <c r="AF68" s="72"/>
      <c r="AG68" s="72"/>
      <c r="AH68" s="72"/>
      <c r="AI68" s="72"/>
      <c r="AJ68" s="72"/>
      <c r="AK68" s="72"/>
      <c r="AL68" s="72"/>
      <c r="AM68" s="72"/>
      <c r="AN68" s="72"/>
      <c r="AO68" s="72"/>
      <c r="AP68" s="72"/>
      <c r="AQ68" s="72"/>
      <c r="AR68" s="72"/>
      <c r="AS68" s="72"/>
      <c r="AT68" s="114"/>
      <c r="AU68" s="114"/>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22"/>
      <c r="AC69" s="72"/>
      <c r="AD69" s="121"/>
      <c r="AE69" s="72"/>
      <c r="AF69" s="72"/>
      <c r="AG69" s="72"/>
      <c r="AH69" s="72"/>
      <c r="AI69" s="72"/>
      <c r="AJ69" s="72"/>
      <c r="AK69" s="72"/>
      <c r="AL69" s="72"/>
      <c r="AM69" s="72"/>
      <c r="AN69" s="72"/>
      <c r="AO69" s="72"/>
      <c r="AP69" s="72"/>
      <c r="AQ69" s="72"/>
      <c r="AR69" s="72"/>
      <c r="AS69" s="72"/>
      <c r="AT69" s="114"/>
      <c r="AU69" s="114"/>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22"/>
      <c r="AC70" s="72"/>
      <c r="AD70" s="121"/>
      <c r="AE70" s="598"/>
      <c r="AF70" s="599"/>
      <c r="AG70" s="599"/>
      <c r="AH70" s="599"/>
      <c r="AI70" s="599"/>
      <c r="AJ70" s="599"/>
      <c r="AK70" s="599"/>
      <c r="AL70" s="600"/>
      <c r="AM70" s="72"/>
      <c r="AN70" s="551"/>
      <c r="AO70" s="552"/>
      <c r="AP70" s="552"/>
      <c r="AQ70" s="552"/>
      <c r="AR70" s="552"/>
      <c r="AS70" s="553"/>
      <c r="AT70" s="114"/>
      <c r="AU70" s="114"/>
    </row>
    <row r="71" spans="2:50" ht="12.75" customHeight="1" x14ac:dyDescent="0.2">
      <c r="B71" s="60"/>
      <c r="C71" s="60"/>
      <c r="D71" s="72"/>
      <c r="E71" s="72"/>
      <c r="F71" s="73" t="str">
        <f>'Sprachen &amp; Rückgabewerte(3)'!$B$41</f>
        <v>120101/120101</v>
      </c>
      <c r="G71" s="72"/>
      <c r="H71" s="72"/>
      <c r="I71" s="72"/>
      <c r="J71" s="72"/>
      <c r="K71" s="72"/>
      <c r="L71" s="73" t="str">
        <f>'Sprachen &amp; Rückgabewerte(3)'!$B$42</f>
        <v>120101/120401</v>
      </c>
      <c r="M71" s="61"/>
      <c r="N71" s="72"/>
      <c r="O71" s="72"/>
      <c r="P71" s="72"/>
      <c r="Q71" s="72"/>
      <c r="R71" s="73" t="str">
        <f>'Sprachen &amp; Rückgabewerte(3)'!$B$43</f>
        <v>120401/120401</v>
      </c>
      <c r="S71" s="72"/>
      <c r="T71" s="72"/>
      <c r="U71" s="72"/>
      <c r="V71" s="72"/>
      <c r="W71" s="72"/>
      <c r="X71" s="73" t="str">
        <f>'Sprachen &amp; Rückgabewerte(3)'!$B$44</f>
        <v>121101/121101</v>
      </c>
      <c r="Y71" s="61"/>
      <c r="Z71" s="72"/>
      <c r="AA71" s="72"/>
      <c r="AB71" s="122"/>
      <c r="AC71" s="72"/>
      <c r="AD71" s="123"/>
      <c r="AE71" s="124"/>
      <c r="AF71" s="124"/>
      <c r="AG71" s="124"/>
      <c r="AH71" s="124"/>
      <c r="AI71" s="124"/>
      <c r="AJ71" s="124"/>
      <c r="AK71" s="124"/>
      <c r="AL71" s="124"/>
      <c r="AM71" s="124"/>
      <c r="AN71" s="124"/>
      <c r="AO71" s="124"/>
      <c r="AP71" s="124"/>
      <c r="AQ71" s="124"/>
      <c r="AR71" s="124"/>
      <c r="AS71" s="124"/>
      <c r="AT71" s="115"/>
      <c r="AU71" s="114"/>
    </row>
    <row r="72" spans="2:50" ht="12.75" customHeight="1" x14ac:dyDescent="0.2">
      <c r="B72" s="60"/>
      <c r="C72" s="60"/>
      <c r="D72" s="72"/>
      <c r="E72" s="72"/>
      <c r="F72" s="695"/>
      <c r="G72" s="696"/>
      <c r="H72" s="696"/>
      <c r="I72" s="697"/>
      <c r="J72" s="72"/>
      <c r="K72" s="72"/>
      <c r="L72" s="695"/>
      <c r="M72" s="696"/>
      <c r="N72" s="696"/>
      <c r="O72" s="697"/>
      <c r="P72" s="72"/>
      <c r="Q72" s="72"/>
      <c r="R72" s="695"/>
      <c r="S72" s="696"/>
      <c r="T72" s="696"/>
      <c r="U72" s="697"/>
      <c r="V72" s="72"/>
      <c r="W72" s="72"/>
      <c r="X72" s="695"/>
      <c r="Y72" s="696"/>
      <c r="Z72" s="696"/>
      <c r="AA72" s="697"/>
      <c r="AB72" s="122"/>
      <c r="AC72" s="72"/>
      <c r="AD72" s="72"/>
      <c r="AE72" s="72"/>
      <c r="AF72" s="72"/>
      <c r="AG72" s="72"/>
      <c r="AH72" s="72"/>
      <c r="AI72" s="72"/>
      <c r="AJ72" s="72"/>
      <c r="AK72" s="72"/>
      <c r="AL72" s="72"/>
      <c r="AM72" s="72"/>
      <c r="AN72" s="72"/>
      <c r="AO72" s="72"/>
      <c r="AP72" s="72"/>
      <c r="AQ72" s="72"/>
      <c r="AR72" s="72"/>
      <c r="AS72" s="72"/>
      <c r="AT72" s="61"/>
      <c r="AU72" s="114"/>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329"/>
      <c r="AC73" s="72"/>
      <c r="AD73" s="118"/>
      <c r="AE73" s="120" t="str">
        <f>'Sprachen &amp; Rückgabewerte(3)'!$H$70</f>
        <v>Befestigung:</v>
      </c>
      <c r="AF73" s="120"/>
      <c r="AG73" s="119"/>
      <c r="AH73" s="119"/>
      <c r="AI73" s="119"/>
      <c r="AJ73" s="119"/>
      <c r="AK73" s="119"/>
      <c r="AL73" s="119"/>
      <c r="AM73" s="119"/>
      <c r="AN73" s="119"/>
      <c r="AO73" s="119"/>
      <c r="AP73" s="119"/>
      <c r="AQ73" s="119"/>
      <c r="AR73" s="119"/>
      <c r="AS73" s="119"/>
      <c r="AT73" s="113"/>
      <c r="AU73" s="114"/>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22"/>
      <c r="AC74" s="72"/>
      <c r="AD74" s="121"/>
      <c r="AE74" s="72"/>
      <c r="AF74" s="72" t="str">
        <f>'Sprachen &amp; Rückgabewerte(3)'!$H$71</f>
        <v>Universalschrauben (A2):</v>
      </c>
      <c r="AG74" s="72"/>
      <c r="AH74" s="72"/>
      <c r="AI74" s="72"/>
      <c r="AJ74" s="72"/>
      <c r="AK74" s="72"/>
      <c r="AL74" s="72"/>
      <c r="AM74" s="72" t="str">
        <f>'Sprachen &amp; Rückgabewerte(3)'!H72</f>
        <v>L=52mm</v>
      </c>
      <c r="AN74" s="379"/>
      <c r="AO74" s="381"/>
      <c r="AP74" s="382"/>
      <c r="AQ74" s="72" t="str">
        <f>'Sprachen &amp; Rückgabewerte(3)'!$H$180</f>
        <v>VE</v>
      </c>
      <c r="AR74" s="72"/>
      <c r="AS74" s="72"/>
      <c r="AT74" s="114"/>
      <c r="AU74" s="114"/>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22"/>
      <c r="AC75" s="72"/>
      <c r="AD75" s="121"/>
      <c r="AE75" s="72"/>
      <c r="AF75" s="72"/>
      <c r="AG75" s="79" t="str">
        <f>'Sprachen &amp; Rückgabewerte(3)'!H75</f>
        <v>(VE à 100 Stk.)</v>
      </c>
      <c r="AH75" s="72"/>
      <c r="AI75" s="72"/>
      <c r="AJ75" s="72"/>
      <c r="AK75" s="72"/>
      <c r="AL75" s="72"/>
      <c r="AM75" s="72" t="str">
        <f>'Sprachen &amp; Rückgabewerte(3)'!H73</f>
        <v>L=82mm</v>
      </c>
      <c r="AN75" s="380"/>
      <c r="AO75" s="381"/>
      <c r="AP75" s="382"/>
      <c r="AQ75" s="72" t="str">
        <f>'Sprachen &amp; Rückgabewerte(3)'!$H$180</f>
        <v>VE</v>
      </c>
      <c r="AR75" s="72"/>
      <c r="AS75" s="72"/>
      <c r="AT75" s="114"/>
      <c r="AU75" s="114"/>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22"/>
      <c r="AC76" s="72"/>
      <c r="AD76" s="121"/>
      <c r="AE76" s="72"/>
      <c r="AF76" s="72"/>
      <c r="AG76" s="72"/>
      <c r="AH76" s="72"/>
      <c r="AI76" s="72"/>
      <c r="AJ76" s="72"/>
      <c r="AK76" s="72"/>
      <c r="AL76" s="72"/>
      <c r="AM76" s="72" t="str">
        <f>'Sprachen &amp; Rückgabewerte(3)'!H74</f>
        <v>L=112mm</v>
      </c>
      <c r="AN76" s="426"/>
      <c r="AO76" s="72"/>
      <c r="AP76" s="382"/>
      <c r="AQ76" s="72" t="str">
        <f>'Sprachen &amp; Rückgabewerte(3)'!$H$180</f>
        <v>VE</v>
      </c>
      <c r="AR76" s="72"/>
      <c r="AS76" s="72"/>
      <c r="AT76" s="114"/>
      <c r="AU76" s="114"/>
      <c r="AW76" s="558"/>
      <c r="AX76" s="558"/>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22"/>
      <c r="AC77" s="72"/>
      <c r="AD77" s="121"/>
      <c r="AE77" s="81" t="str">
        <f>'Sprachen &amp; Rückgabewerte(3)'!$H$76</f>
        <v>Sockelbefestigung:</v>
      </c>
      <c r="AF77" s="81"/>
      <c r="AG77" s="72"/>
      <c r="AH77" s="72"/>
      <c r="AI77" s="72"/>
      <c r="AJ77" s="72"/>
      <c r="AK77" s="72"/>
      <c r="AL77" s="72"/>
      <c r="AM77" s="72"/>
      <c r="AN77" s="72"/>
      <c r="AO77" s="72"/>
      <c r="AP77" s="72"/>
      <c r="AQ77" s="72"/>
      <c r="AR77" s="72"/>
      <c r="AS77" s="72"/>
      <c r="AT77" s="114"/>
      <c r="AU77" s="114"/>
      <c r="AW77" s="559"/>
      <c r="AX77" s="559"/>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22"/>
      <c r="AC78" s="72"/>
      <c r="AD78" s="121"/>
      <c r="AE78" s="72" t="str">
        <f>'Sprachen &amp; Rückgabewerte(3)'!$H$77</f>
        <v>Verstellschrauben M10 x</v>
      </c>
      <c r="AF78" s="72"/>
      <c r="AG78" s="72"/>
      <c r="AH78" s="72"/>
      <c r="AI78" s="72"/>
      <c r="AJ78" s="72"/>
      <c r="AK78" s="72"/>
      <c r="AL78" s="72"/>
      <c r="AM78" s="72"/>
      <c r="AN78" s="581"/>
      <c r="AO78" s="581"/>
      <c r="AP78" s="581"/>
      <c r="AQ78" s="72"/>
      <c r="AR78" s="72"/>
      <c r="AS78" s="72"/>
      <c r="AT78" s="114"/>
      <c r="AU78" s="114"/>
      <c r="AW78" s="559"/>
      <c r="AX78" s="559"/>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22"/>
      <c r="AC79" s="72"/>
      <c r="AD79" s="121"/>
      <c r="AE79" s="72" t="str">
        <f>'Sprachen &amp; Rückgabewerte(3)'!$H$52</f>
        <v>Standardgrundplatten:</v>
      </c>
      <c r="AF79" s="72"/>
      <c r="AG79" s="72"/>
      <c r="AH79" s="72"/>
      <c r="AI79" s="72"/>
      <c r="AJ79" s="72"/>
      <c r="AK79" s="72"/>
      <c r="AL79" s="72"/>
      <c r="AM79" s="72"/>
      <c r="AN79" s="581"/>
      <c r="AO79" s="581"/>
      <c r="AP79" s="581"/>
      <c r="AQ79" s="72"/>
      <c r="AR79" s="72"/>
      <c r="AS79" s="72"/>
      <c r="AT79" s="114"/>
      <c r="AU79" s="114"/>
      <c r="AW79" s="559"/>
      <c r="AX79" s="559"/>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22"/>
      <c r="AC80" s="72"/>
      <c r="AD80" s="121"/>
      <c r="AE80" s="188" t="str">
        <f>'Sprachen &amp; Rückgabewerte(3)'!$H$84</f>
        <v>Rahmenzusammenbau:</v>
      </c>
      <c r="AF80" s="72"/>
      <c r="AG80" s="72"/>
      <c r="AH80" s="72"/>
      <c r="AI80" s="72"/>
      <c r="AJ80" s="72"/>
      <c r="AK80" s="72"/>
      <c r="AL80" s="72"/>
      <c r="AM80" s="72"/>
      <c r="AN80" s="719"/>
      <c r="AO80" s="720"/>
      <c r="AP80" s="720"/>
      <c r="AQ80" s="720"/>
      <c r="AR80" s="720"/>
      <c r="AS80" s="721"/>
      <c r="AT80" s="325"/>
      <c r="AU80" s="115"/>
      <c r="AV80" s="326"/>
      <c r="AW80" s="560"/>
      <c r="AX80" s="560"/>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22"/>
      <c r="AC81" s="72"/>
      <c r="AD81" s="123"/>
      <c r="AE81" s="124"/>
      <c r="AF81" s="124"/>
      <c r="AG81" s="124"/>
      <c r="AH81" s="124"/>
      <c r="AI81" s="124"/>
      <c r="AJ81" s="124"/>
      <c r="AK81" s="124"/>
      <c r="AL81" s="124"/>
      <c r="AM81" s="124"/>
      <c r="AN81" s="124"/>
      <c r="AO81" s="124"/>
      <c r="AP81" s="124"/>
      <c r="AQ81" s="124"/>
      <c r="AR81" s="124"/>
      <c r="AS81" s="124"/>
      <c r="AT81" s="115"/>
      <c r="AU81" s="114"/>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22"/>
      <c r="AC82" s="72"/>
      <c r="AD82" s="72"/>
      <c r="AE82" s="72"/>
      <c r="AF82" s="72"/>
      <c r="AG82" s="72"/>
      <c r="AH82" s="72"/>
      <c r="AI82" s="72"/>
      <c r="AJ82" s="72"/>
      <c r="AK82" s="72"/>
      <c r="AL82" s="72"/>
      <c r="AM82" s="72"/>
      <c r="AN82" s="72"/>
      <c r="AO82" s="72"/>
      <c r="AP82" s="72"/>
      <c r="AQ82" s="72"/>
      <c r="AR82" s="72"/>
      <c r="AS82" s="72"/>
      <c r="AT82" s="61"/>
      <c r="AU82" s="114"/>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22"/>
      <c r="AC83" s="72"/>
      <c r="AD83" s="118"/>
      <c r="AE83" s="120" t="str">
        <f>'Sprachen &amp; Rückgabewerte(3)'!$H$87</f>
        <v>Logistik:</v>
      </c>
      <c r="AF83" s="120"/>
      <c r="AG83" s="119"/>
      <c r="AH83" s="119"/>
      <c r="AI83" s="119"/>
      <c r="AJ83" s="119"/>
      <c r="AK83" s="119"/>
      <c r="AL83" s="119"/>
      <c r="AM83" s="119"/>
      <c r="AN83" s="120" t="str">
        <f>'Sprachen &amp; Rückgabewerte(3)'!$H$49</f>
        <v>Zubehör:</v>
      </c>
      <c r="AO83" s="119"/>
      <c r="AP83" s="119"/>
      <c r="AQ83" s="119"/>
      <c r="AR83" s="119"/>
      <c r="AS83" s="119"/>
      <c r="AT83" s="113"/>
      <c r="AU83" s="114"/>
    </row>
    <row r="84" spans="2:50" ht="12.75" customHeight="1" x14ac:dyDescent="0.2">
      <c r="B84" s="60"/>
      <c r="C84" s="60"/>
      <c r="D84" s="72"/>
      <c r="E84" s="72"/>
      <c r="F84" s="72"/>
      <c r="G84" s="72"/>
      <c r="H84" s="73" t="str">
        <f>'Sprachen &amp; Rückgabewerte(3)'!$B$45</f>
        <v>321901/321901</v>
      </c>
      <c r="I84" s="72"/>
      <c r="J84" s="72"/>
      <c r="K84" s="72"/>
      <c r="L84" s="72"/>
      <c r="M84" s="72"/>
      <c r="N84" s="61"/>
      <c r="O84" s="73" t="str">
        <f>'Sprachen &amp; Rückgabewerte(3)'!$B$46</f>
        <v>321901/322301</v>
      </c>
      <c r="P84" s="72"/>
      <c r="Q84" s="72"/>
      <c r="R84" s="72"/>
      <c r="S84" s="72"/>
      <c r="T84" s="72"/>
      <c r="U84" s="61"/>
      <c r="V84" s="73" t="str">
        <f>'Sprachen &amp; Rückgabewerte(3)'!$B$47</f>
        <v>322301/322301</v>
      </c>
      <c r="W84" s="72"/>
      <c r="X84" s="72"/>
      <c r="Y84" s="72"/>
      <c r="Z84" s="72"/>
      <c r="AA84" s="72"/>
      <c r="AB84" s="122"/>
      <c r="AC84" s="72"/>
      <c r="AD84" s="121"/>
      <c r="AE84" s="617"/>
      <c r="AF84" s="618"/>
      <c r="AG84" s="618"/>
      <c r="AH84" s="618"/>
      <c r="AI84" s="618"/>
      <c r="AJ84" s="618"/>
      <c r="AK84" s="618"/>
      <c r="AL84" s="619"/>
      <c r="AM84" s="72"/>
      <c r="AN84" s="72"/>
      <c r="AO84" s="72" t="str">
        <f>'Sprachen &amp; Rückgabewerte(3)'!$H$50</f>
        <v>Rinne (siehe unten)</v>
      </c>
      <c r="AP84" s="72"/>
      <c r="AQ84" s="72"/>
      <c r="AR84" s="72"/>
      <c r="AS84" s="72"/>
      <c r="AT84" s="114"/>
      <c r="AU84" s="205"/>
      <c r="AV84" s="205"/>
    </row>
    <row r="85" spans="2:50" ht="12.75" customHeight="1" x14ac:dyDescent="0.2">
      <c r="B85" s="60"/>
      <c r="C85" s="60"/>
      <c r="D85" s="72"/>
      <c r="E85" s="72"/>
      <c r="F85" s="72"/>
      <c r="G85" s="72"/>
      <c r="H85" s="695"/>
      <c r="I85" s="696"/>
      <c r="J85" s="696"/>
      <c r="K85" s="697"/>
      <c r="L85" s="72"/>
      <c r="M85" s="72"/>
      <c r="N85" s="72"/>
      <c r="O85" s="695"/>
      <c r="P85" s="696"/>
      <c r="Q85" s="696"/>
      <c r="R85" s="697"/>
      <c r="S85" s="72"/>
      <c r="T85" s="72"/>
      <c r="U85" s="72"/>
      <c r="V85" s="695"/>
      <c r="W85" s="696"/>
      <c r="X85" s="696"/>
      <c r="Y85" s="697"/>
      <c r="Z85" s="72"/>
      <c r="AA85" s="72"/>
      <c r="AB85" s="122"/>
      <c r="AC85" s="72"/>
      <c r="AD85" s="121"/>
      <c r="AE85" s="620"/>
      <c r="AF85" s="620"/>
      <c r="AG85" s="620"/>
      <c r="AH85" s="620"/>
      <c r="AI85" s="620"/>
      <c r="AJ85" s="620"/>
      <c r="AK85" s="620"/>
      <c r="AL85" s="620"/>
      <c r="AM85" s="72"/>
      <c r="AN85" s="72"/>
      <c r="AO85" s="72" t="str">
        <f>'Sprachen &amp; Rückgabewerte(3)'!$H$51</f>
        <v>Wetterschenkel</v>
      </c>
      <c r="AP85" s="72"/>
      <c r="AQ85" s="72"/>
      <c r="AR85" s="72"/>
      <c r="AS85" s="72"/>
      <c r="AT85" s="114"/>
      <c r="AU85" s="114"/>
      <c r="AV85" s="228"/>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4"/>
      <c r="AC86" s="61"/>
      <c r="AD86" s="60"/>
      <c r="AE86" s="61"/>
      <c r="AF86" s="61"/>
      <c r="AG86" s="61"/>
      <c r="AH86" s="61"/>
      <c r="AI86" s="61"/>
      <c r="AJ86" s="61"/>
      <c r="AK86" s="61"/>
      <c r="AL86" s="61"/>
      <c r="AM86" s="61"/>
      <c r="AN86" s="61"/>
      <c r="AO86" s="61" t="str">
        <f>IF('Sprachen &amp; Rückgabewerte(3)'!$I$51=TRUE,"L=","")</f>
        <v/>
      </c>
      <c r="AP86" s="580"/>
      <c r="AQ86" s="580"/>
      <c r="AR86" s="580"/>
      <c r="AS86" s="61" t="str">
        <f>IF('Sprachen &amp; Rückgabewerte(3)'!$I$51=TRUE,"mm","")</f>
        <v/>
      </c>
      <c r="AT86" s="114"/>
      <c r="AU86" s="114"/>
      <c r="AV86" s="228"/>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698" t="str">
        <f>'Sprachen &amp; Rückgabewerte(3)'!$H$118</f>
        <v>Standard (RC2 in Anlehnung)</v>
      </c>
      <c r="AA87" s="698"/>
      <c r="AB87" s="699"/>
      <c r="AC87" s="61"/>
      <c r="AD87" s="60"/>
      <c r="AE87" s="320" t="str">
        <f>'Sprachen &amp; Rückgabewerte(3)'!$H$47</f>
        <v>Windlast:</v>
      </c>
      <c r="AF87" s="81"/>
      <c r="AG87" s="155"/>
      <c r="AH87" s="61"/>
      <c r="AI87" s="61"/>
      <c r="AJ87" s="61"/>
      <c r="AK87" s="61"/>
      <c r="AL87" s="61"/>
      <c r="AM87" s="555"/>
      <c r="AN87" s="556"/>
      <c r="AO87" s="557"/>
      <c r="AP87" s="321" t="s">
        <v>782</v>
      </c>
      <c r="AS87" s="184"/>
      <c r="AT87" s="114"/>
      <c r="AU87" s="114"/>
      <c r="AV87" s="228"/>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698"/>
      <c r="AA88" s="698"/>
      <c r="AB88" s="699"/>
      <c r="AC88" s="61"/>
      <c r="AD88" s="60"/>
      <c r="AE88" s="188" t="str">
        <f>'Sprachen &amp; Rückgabewerte(3)'!$H$90</f>
        <v>Wunschtermin:</v>
      </c>
      <c r="AF88" s="319"/>
      <c r="AG88" s="319"/>
      <c r="AH88" s="319"/>
      <c r="AI88" s="319"/>
      <c r="AJ88" s="319"/>
      <c r="AK88" s="319"/>
      <c r="AL88" s="319"/>
      <c r="AM88" s="715"/>
      <c r="AN88" s="716"/>
      <c r="AO88" s="716"/>
      <c r="AP88" s="717"/>
      <c r="AQ88" s="717"/>
      <c r="AR88" s="718"/>
      <c r="AS88" s="319"/>
      <c r="AT88" s="114"/>
      <c r="AU88" s="114"/>
      <c r="AV88" s="228"/>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698"/>
      <c r="AA89" s="698"/>
      <c r="AB89" s="699"/>
      <c r="AC89" s="61"/>
      <c r="AD89" s="60"/>
      <c r="AF89" s="319"/>
      <c r="AG89" s="319"/>
      <c r="AH89" s="319"/>
      <c r="AI89" s="319"/>
      <c r="AJ89" s="319"/>
      <c r="AK89" s="319"/>
      <c r="AL89" s="319"/>
      <c r="AS89" s="319"/>
      <c r="AT89" s="114"/>
      <c r="AU89" s="114"/>
      <c r="AV89" s="228"/>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6" t="str">
        <f>'Sprachen &amp; Rückgabewerte(3)'!$H$116</f>
        <v>Ganzglas-Ecke</v>
      </c>
      <c r="W90" s="61"/>
      <c r="X90" s="61"/>
      <c r="Y90" s="61"/>
      <c r="Z90" s="61"/>
      <c r="AA90" s="61"/>
      <c r="AB90" s="114"/>
      <c r="AC90" s="61"/>
      <c r="AD90" s="60"/>
      <c r="AE90" s="554" t="str">
        <f>'Sprachen &amp; Rückgabewerte(3)'!$H$102</f>
        <v>Diese Bestellung ist verbindlich und muss komplett ausgefüllt werden. Änderungen werden als Mehraufwand verrechnet.</v>
      </c>
      <c r="AF90" s="554"/>
      <c r="AG90" s="554"/>
      <c r="AH90" s="554"/>
      <c r="AI90" s="554"/>
      <c r="AJ90" s="554"/>
      <c r="AK90" s="554"/>
      <c r="AL90" s="554"/>
      <c r="AM90" s="554"/>
      <c r="AN90" s="554"/>
      <c r="AO90" s="554"/>
      <c r="AP90" s="554"/>
      <c r="AQ90" s="554"/>
      <c r="AR90" s="554"/>
      <c r="AS90" s="554"/>
      <c r="AT90" s="114"/>
      <c r="AU90" s="114"/>
      <c r="AV90" s="228"/>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00" t="str">
        <f>'Sprachen &amp; Rückgabewerte(3)'!$H$119</f>
        <v>RC2 mit Blech</v>
      </c>
      <c r="AA91" s="700"/>
      <c r="AB91" s="701"/>
      <c r="AC91" s="61"/>
      <c r="AD91" s="60"/>
      <c r="AE91" s="554"/>
      <c r="AF91" s="554"/>
      <c r="AG91" s="554"/>
      <c r="AH91" s="554"/>
      <c r="AI91" s="554"/>
      <c r="AJ91" s="554"/>
      <c r="AK91" s="554"/>
      <c r="AL91" s="554"/>
      <c r="AM91" s="554"/>
      <c r="AN91" s="554"/>
      <c r="AO91" s="554"/>
      <c r="AP91" s="554"/>
      <c r="AQ91" s="554"/>
      <c r="AR91" s="554"/>
      <c r="AS91" s="554"/>
      <c r="AT91" s="114"/>
      <c r="AU91" s="114"/>
      <c r="AV91" s="228"/>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00"/>
      <c r="AA92" s="700"/>
      <c r="AB92" s="701"/>
      <c r="AC92" s="61"/>
      <c r="AD92" s="60"/>
      <c r="AE92" s="554"/>
      <c r="AF92" s="554"/>
      <c r="AG92" s="554"/>
      <c r="AH92" s="554"/>
      <c r="AI92" s="554"/>
      <c r="AJ92" s="554"/>
      <c r="AK92" s="554"/>
      <c r="AL92" s="554"/>
      <c r="AM92" s="554"/>
      <c r="AN92" s="554"/>
      <c r="AO92" s="554"/>
      <c r="AP92" s="554"/>
      <c r="AQ92" s="554"/>
      <c r="AR92" s="554"/>
      <c r="AS92" s="554"/>
      <c r="AT92" s="114"/>
      <c r="AU92" s="114"/>
      <c r="AV92" s="228"/>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00"/>
      <c r="AA93" s="700"/>
      <c r="AB93" s="701"/>
      <c r="AC93" s="61"/>
      <c r="AD93" s="68"/>
      <c r="AE93" s="84"/>
      <c r="AF93" s="84"/>
      <c r="AG93" s="84"/>
      <c r="AH93" s="84"/>
      <c r="AI93" s="84"/>
      <c r="AJ93" s="84"/>
      <c r="AK93" s="84"/>
      <c r="AL93" s="84"/>
      <c r="AM93" s="84"/>
      <c r="AN93" s="84"/>
      <c r="AO93" s="84"/>
      <c r="AP93" s="84"/>
      <c r="AQ93" s="84"/>
      <c r="AR93" s="84"/>
      <c r="AS93" s="84"/>
      <c r="AT93" s="115"/>
      <c r="AU93" s="114"/>
      <c r="AV93" s="228"/>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4"/>
      <c r="AC94" s="61"/>
      <c r="AD94" s="61"/>
      <c r="AE94" s="61"/>
      <c r="AF94" s="61"/>
      <c r="AG94" s="61"/>
      <c r="AH94" s="61"/>
      <c r="AI94" s="61"/>
      <c r="AJ94" s="61"/>
      <c r="AK94" s="72"/>
      <c r="AL94" s="72"/>
      <c r="AM94" s="72"/>
      <c r="AN94" s="72"/>
      <c r="AO94" s="72"/>
      <c r="AP94" s="72"/>
      <c r="AQ94" s="72"/>
      <c r="AR94" s="61"/>
      <c r="AS94" s="61"/>
      <c r="AT94" s="61"/>
      <c r="AU94" s="114"/>
      <c r="AV94" s="228"/>
    </row>
    <row r="95" spans="2:50" ht="12.75" customHeight="1" x14ac:dyDescent="0.2">
      <c r="B95" s="60"/>
      <c r="C95" s="60"/>
      <c r="D95" s="61"/>
      <c r="E95" s="61"/>
      <c r="F95" s="61"/>
      <c r="G95" s="61"/>
      <c r="H95" s="156" t="str">
        <f>'Sprachen &amp; Rückgabewerte(3)'!$B$48</f>
        <v>110101/110301</v>
      </c>
      <c r="I95" s="61"/>
      <c r="J95" s="61"/>
      <c r="K95" s="61"/>
      <c r="L95" s="61"/>
      <c r="M95" s="61"/>
      <c r="N95" s="61"/>
      <c r="O95" s="156" t="str">
        <f>'Sprachen &amp; Rückgabewerte(3)'!$B$49</f>
        <v>110101/110501</v>
      </c>
      <c r="P95" s="61"/>
      <c r="Q95" s="61"/>
      <c r="R95" s="61"/>
      <c r="S95" s="61"/>
      <c r="T95" s="61"/>
      <c r="U95" s="61"/>
      <c r="V95" s="156" t="str">
        <f>'Sprachen &amp; Rückgabewerte(3)'!$H$117</f>
        <v>Ecke RC2 (WK2)</v>
      </c>
      <c r="W95" s="61"/>
      <c r="X95" s="61"/>
      <c r="Y95" s="61"/>
      <c r="Z95" s="61"/>
      <c r="AA95" s="61"/>
      <c r="AB95" s="114"/>
      <c r="AC95" s="61"/>
      <c r="AD95" s="111"/>
      <c r="AE95" s="405"/>
      <c r="AF95" s="405"/>
      <c r="AG95" s="405"/>
      <c r="AH95" s="405"/>
      <c r="AI95" s="405"/>
      <c r="AJ95" s="405"/>
      <c r="AK95" s="405"/>
      <c r="AL95" s="405"/>
      <c r="AM95" s="405"/>
      <c r="AN95" s="405"/>
      <c r="AO95" s="405"/>
      <c r="AP95" s="405"/>
      <c r="AQ95" s="405"/>
      <c r="AR95" s="405"/>
      <c r="AS95" s="405"/>
      <c r="AT95" s="406"/>
      <c r="AU95" s="114"/>
      <c r="AV95" s="228"/>
      <c r="AW95" s="412" t="str">
        <f>IF(OR(AQ96="",AQ96='Sprachen &amp; Rückgabewerte(3)'!H96),"",'Sprachen &amp; Rückgabewerte(3)'!H182)</f>
        <v/>
      </c>
    </row>
    <row r="96" spans="2:50" ht="12.75" customHeight="1" x14ac:dyDescent="0.2">
      <c r="B96" s="60"/>
      <c r="C96" s="60"/>
      <c r="D96" s="61"/>
      <c r="E96" s="61"/>
      <c r="F96" s="61"/>
      <c r="G96" s="61"/>
      <c r="H96" s="695"/>
      <c r="I96" s="696"/>
      <c r="J96" s="696"/>
      <c r="K96" s="697"/>
      <c r="L96" s="61"/>
      <c r="M96" s="61"/>
      <c r="N96" s="61"/>
      <c r="O96" s="695"/>
      <c r="P96" s="696"/>
      <c r="Q96" s="696"/>
      <c r="R96" s="697"/>
      <c r="S96" s="61"/>
      <c r="T96" s="61"/>
      <c r="U96" s="61"/>
      <c r="V96" s="712"/>
      <c r="W96" s="713"/>
      <c r="X96" s="713"/>
      <c r="Y96" s="714"/>
      <c r="Z96" s="61"/>
      <c r="AA96" s="61"/>
      <c r="AB96" s="114"/>
      <c r="AC96" s="61"/>
      <c r="AD96" s="60"/>
      <c r="AE96" s="73" t="str">
        <f>'Sprachen &amp; Rückgabewerte(3)'!H181</f>
        <v>Sky-Frame Beratung vorhanden:</v>
      </c>
      <c r="AF96" s="407"/>
      <c r="AG96" s="407"/>
      <c r="AH96" s="407"/>
      <c r="AI96" s="407"/>
      <c r="AJ96" s="407"/>
      <c r="AK96" s="407"/>
      <c r="AL96" s="407"/>
      <c r="AM96" s="407"/>
      <c r="AN96" s="407"/>
      <c r="AO96" s="407"/>
      <c r="AP96" s="407"/>
      <c r="AQ96" s="590"/>
      <c r="AR96" s="591"/>
      <c r="AS96" s="410"/>
      <c r="AT96" s="409"/>
      <c r="AU96" s="115"/>
      <c r="AV96" s="411"/>
      <c r="AW96" s="546"/>
      <c r="AX96" s="548"/>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84"/>
      <c r="W97" s="84"/>
      <c r="X97" s="84"/>
      <c r="Y97" s="84"/>
      <c r="Z97" s="84"/>
      <c r="AA97" s="84"/>
      <c r="AB97" s="115"/>
      <c r="AC97" s="61"/>
      <c r="AD97" s="68"/>
      <c r="AE97" s="408"/>
      <c r="AF97" s="408"/>
      <c r="AG97" s="408"/>
      <c r="AH97" s="408"/>
      <c r="AI97" s="408"/>
      <c r="AJ97" s="408"/>
      <c r="AK97" s="408"/>
      <c r="AL97" s="408"/>
      <c r="AM97" s="408"/>
      <c r="AN97" s="408"/>
      <c r="AO97" s="408"/>
      <c r="AP97" s="408"/>
      <c r="AQ97" s="408"/>
      <c r="AR97" s="408"/>
      <c r="AS97" s="408"/>
      <c r="AT97" s="409"/>
      <c r="AU97" s="114"/>
      <c r="AV97" s="228"/>
    </row>
    <row r="98" spans="2:48" ht="19.5" customHeight="1" x14ac:dyDescent="0.2">
      <c r="B98" s="68"/>
      <c r="C98" s="711" t="s">
        <v>913</v>
      </c>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1"/>
      <c r="AG98" s="711"/>
      <c r="AH98" s="711"/>
      <c r="AI98" s="711"/>
      <c r="AJ98" s="711"/>
      <c r="AK98" s="711"/>
      <c r="AL98" s="711"/>
      <c r="AM98" s="711"/>
      <c r="AN98" s="711"/>
      <c r="AO98" s="711"/>
      <c r="AP98" s="84"/>
      <c r="AQ98" s="84"/>
      <c r="AR98" s="84"/>
      <c r="AS98" s="84"/>
      <c r="AT98" s="158" t="s">
        <v>907</v>
      </c>
      <c r="AU98" s="115"/>
      <c r="AV98" s="228"/>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55"/>
      <c r="AU99" s="61"/>
      <c r="AV99" s="114"/>
    </row>
    <row r="100" spans="2:48" x14ac:dyDescent="0.2">
      <c r="AV100" s="115"/>
    </row>
    <row r="101" spans="2:48" ht="13.5" thickBot="1" x14ac:dyDescent="0.25">
      <c r="B101" s="111"/>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13"/>
    </row>
    <row r="102" spans="2:48" ht="16.5" thickTop="1" x14ac:dyDescent="0.25">
      <c r="B102" s="60"/>
      <c r="C102" s="111"/>
      <c r="D102" s="82"/>
      <c r="E102" s="273" t="str">
        <f>'Sprachen &amp; Rückgabewerte(3)'!$H$138</f>
        <v>Rinnenbestellung</v>
      </c>
      <c r="F102" s="82"/>
      <c r="G102" s="82"/>
      <c r="H102" s="82"/>
      <c r="I102" s="82"/>
      <c r="J102" s="82"/>
      <c r="K102" s="82"/>
      <c r="L102" s="82"/>
      <c r="M102" s="82"/>
      <c r="N102" s="82"/>
      <c r="O102" s="82"/>
      <c r="P102" s="82"/>
      <c r="Q102" s="82"/>
      <c r="R102" s="82"/>
      <c r="S102" s="82"/>
      <c r="T102" s="82"/>
      <c r="U102" s="82"/>
      <c r="V102" s="82"/>
      <c r="W102" s="82"/>
      <c r="X102" s="82"/>
      <c r="Y102" s="82"/>
      <c r="Z102" s="113"/>
      <c r="AA102" s="61"/>
      <c r="AB102" s="240"/>
      <c r="AC102" s="241"/>
      <c r="AD102" s="241"/>
      <c r="AE102" s="241"/>
      <c r="AF102" s="256"/>
      <c r="AG102" s="257"/>
      <c r="AH102" s="260"/>
      <c r="AI102" s="256"/>
      <c r="AJ102" s="256"/>
      <c r="AK102" s="256"/>
      <c r="AL102" s="256"/>
      <c r="AM102" s="257"/>
      <c r="AN102" s="260"/>
      <c r="AO102" s="256"/>
      <c r="AP102" s="256"/>
      <c r="AQ102" s="256"/>
      <c r="AR102" s="256"/>
      <c r="AS102" s="256"/>
      <c r="AT102" s="257"/>
      <c r="AU102" s="114"/>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4"/>
      <c r="AA103" s="61"/>
      <c r="AB103" s="243"/>
      <c r="AC103" s="61"/>
      <c r="AD103" s="61"/>
      <c r="AE103" s="61"/>
      <c r="AF103" s="132"/>
      <c r="AG103" s="258"/>
      <c r="AH103" s="261"/>
      <c r="AI103" s="132"/>
      <c r="AJ103" s="132"/>
      <c r="AK103" s="132"/>
      <c r="AL103" s="132"/>
      <c r="AM103" s="258"/>
      <c r="AN103" s="261"/>
      <c r="AO103" s="132"/>
      <c r="AP103" s="132"/>
      <c r="AQ103" s="132"/>
      <c r="AR103" s="132"/>
      <c r="AS103" s="132"/>
      <c r="AT103" s="258"/>
      <c r="AU103" s="133"/>
    </row>
    <row r="104" spans="2:48" ht="15" customHeight="1" x14ac:dyDescent="0.2">
      <c r="B104" s="60"/>
      <c r="C104" s="60"/>
      <c r="D104" s="61"/>
      <c r="E104" s="72" t="str">
        <f>'Sprachen &amp; Rückgabewerte(3)'!$H$139</f>
        <v>Wahl des Rinnensystems:</v>
      </c>
      <c r="F104" s="61"/>
      <c r="G104" s="61"/>
      <c r="H104" s="61"/>
      <c r="I104" s="61"/>
      <c r="J104" s="61"/>
      <c r="K104" s="61"/>
      <c r="L104" s="61"/>
      <c r="M104" s="61"/>
      <c r="N104" s="61"/>
      <c r="O104" s="61"/>
      <c r="P104" s="61"/>
      <c r="Q104" s="61"/>
      <c r="R104" s="61"/>
      <c r="S104" s="61"/>
      <c r="T104" s="725"/>
      <c r="U104" s="726"/>
      <c r="V104" s="238"/>
      <c r="W104" s="238"/>
      <c r="X104" s="61"/>
      <c r="Y104" s="61"/>
      <c r="Z104" s="114"/>
      <c r="AB104" s="243"/>
      <c r="AC104" s="61"/>
      <c r="AD104" s="61"/>
      <c r="AE104" s="61"/>
      <c r="AF104" s="132"/>
      <c r="AG104" s="258"/>
      <c r="AH104" s="261"/>
      <c r="AI104" s="132"/>
      <c r="AJ104" s="132"/>
      <c r="AK104" s="132"/>
      <c r="AL104" s="132"/>
      <c r="AM104" s="258"/>
      <c r="AN104" s="261"/>
      <c r="AO104" s="132"/>
      <c r="AP104" s="132"/>
      <c r="AQ104" s="132"/>
      <c r="AR104" s="132"/>
      <c r="AS104" s="132"/>
      <c r="AT104" s="258"/>
      <c r="AU104" s="133"/>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4"/>
      <c r="AB105" s="243"/>
      <c r="AC105" s="61"/>
      <c r="AD105" s="61"/>
      <c r="AE105" s="61"/>
      <c r="AF105" s="132"/>
      <c r="AG105" s="258"/>
      <c r="AH105" s="261"/>
      <c r="AI105" s="132"/>
      <c r="AJ105" s="132"/>
      <c r="AK105" s="132"/>
      <c r="AL105" s="132"/>
      <c r="AM105" s="258"/>
      <c r="AN105" s="261"/>
      <c r="AO105" s="132"/>
      <c r="AP105" s="132"/>
      <c r="AQ105" s="132"/>
      <c r="AR105" s="132"/>
      <c r="AS105" s="132"/>
      <c r="AT105" s="258"/>
      <c r="AU105" s="133"/>
    </row>
    <row r="106" spans="2:48" ht="15" customHeight="1" x14ac:dyDescent="0.2">
      <c r="B106" s="60"/>
      <c r="C106" s="60"/>
      <c r="D106" s="61"/>
      <c r="E106" s="72" t="str">
        <f>'Sprachen &amp; Rückgabewerte(3)'!$H$140</f>
        <v>Einzug an der linken Anlagenseite:</v>
      </c>
      <c r="F106" s="61"/>
      <c r="G106" s="61"/>
      <c r="H106" s="61"/>
      <c r="I106" s="61"/>
      <c r="J106" s="61"/>
      <c r="K106" s="61"/>
      <c r="L106" s="61"/>
      <c r="M106" s="61"/>
      <c r="N106" s="61"/>
      <c r="O106" s="61"/>
      <c r="P106" s="61"/>
      <c r="Q106" s="61"/>
      <c r="R106" s="61"/>
      <c r="S106" s="61"/>
      <c r="T106" s="705"/>
      <c r="U106" s="727"/>
      <c r="V106" s="61" t="s">
        <v>179</v>
      </c>
      <c r="W106" s="61"/>
      <c r="X106" s="61"/>
      <c r="Y106" s="61"/>
      <c r="Z106" s="114"/>
      <c r="AB106" s="243"/>
      <c r="AC106" s="61"/>
      <c r="AD106" s="61"/>
      <c r="AE106" s="61"/>
      <c r="AF106" s="132"/>
      <c r="AG106" s="258"/>
      <c r="AH106" s="261"/>
      <c r="AI106" s="132"/>
      <c r="AJ106" s="132"/>
      <c r="AK106" s="132"/>
      <c r="AL106" s="132"/>
      <c r="AM106" s="258"/>
      <c r="AN106" s="261"/>
      <c r="AO106" s="132"/>
      <c r="AP106" s="132"/>
      <c r="AQ106" s="132"/>
      <c r="AR106" s="132"/>
      <c r="AS106" s="132"/>
      <c r="AT106" s="258"/>
      <c r="AU106" s="133"/>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4"/>
      <c r="AB107" s="243"/>
      <c r="AC107" s="61"/>
      <c r="AD107" s="61"/>
      <c r="AE107" s="61"/>
      <c r="AF107" s="132"/>
      <c r="AG107" s="258"/>
      <c r="AH107" s="261"/>
      <c r="AI107" s="132"/>
      <c r="AJ107" s="132"/>
      <c r="AK107" s="132"/>
      <c r="AL107" s="132"/>
      <c r="AM107" s="258"/>
      <c r="AN107" s="261"/>
      <c r="AO107" s="132"/>
      <c r="AP107" s="132"/>
      <c r="AQ107" s="132"/>
      <c r="AR107" s="132"/>
      <c r="AS107" s="132"/>
      <c r="AT107" s="258"/>
      <c r="AU107" s="133"/>
    </row>
    <row r="108" spans="2:48" ht="15" customHeight="1" x14ac:dyDescent="0.2">
      <c r="B108" s="60"/>
      <c r="C108" s="60"/>
      <c r="D108" s="61"/>
      <c r="E108" s="72" t="str">
        <f>'Sprachen &amp; Rückgabewerte(3)'!$H$141</f>
        <v>Einzug an der rechten Anlagenseite:</v>
      </c>
      <c r="F108" s="61"/>
      <c r="G108" s="61"/>
      <c r="H108" s="61"/>
      <c r="I108" s="61"/>
      <c r="J108" s="61"/>
      <c r="K108" s="61"/>
      <c r="L108" s="61"/>
      <c r="M108" s="61"/>
      <c r="N108" s="61"/>
      <c r="O108" s="61"/>
      <c r="P108" s="61"/>
      <c r="Q108" s="61"/>
      <c r="R108" s="61"/>
      <c r="S108" s="61"/>
      <c r="T108" s="705"/>
      <c r="U108" s="727"/>
      <c r="V108" s="61" t="s">
        <v>179</v>
      </c>
      <c r="W108" s="61"/>
      <c r="X108" s="61"/>
      <c r="Y108" s="61"/>
      <c r="Z108" s="114"/>
      <c r="AB108" s="243"/>
      <c r="AC108" s="61"/>
      <c r="AD108" s="61"/>
      <c r="AE108" s="61"/>
      <c r="AF108" s="132"/>
      <c r="AG108" s="258"/>
      <c r="AH108" s="261"/>
      <c r="AI108" s="132"/>
      <c r="AJ108" s="132"/>
      <c r="AK108" s="132"/>
      <c r="AL108" s="132"/>
      <c r="AM108" s="258"/>
      <c r="AN108" s="261"/>
      <c r="AO108" s="132"/>
      <c r="AP108" s="132"/>
      <c r="AQ108" s="132"/>
      <c r="AR108" s="132"/>
      <c r="AS108" s="132"/>
      <c r="AT108" s="258"/>
      <c r="AU108" s="133"/>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4"/>
      <c r="AB109" s="243"/>
      <c r="AC109" s="61"/>
      <c r="AD109" s="61"/>
      <c r="AE109" s="61"/>
      <c r="AF109" s="132"/>
      <c r="AG109" s="258"/>
      <c r="AH109" s="261"/>
      <c r="AI109" s="132"/>
      <c r="AJ109" s="132"/>
      <c r="AK109" s="132"/>
      <c r="AL109" s="132"/>
      <c r="AM109" s="258"/>
      <c r="AN109" s="261"/>
      <c r="AO109" s="132"/>
      <c r="AP109" s="132"/>
      <c r="AQ109" s="132"/>
      <c r="AR109" s="132"/>
      <c r="AS109" s="132"/>
      <c r="AT109" s="258"/>
      <c r="AU109" s="133"/>
    </row>
    <row r="110" spans="2:48" ht="15" customHeight="1" x14ac:dyDescent="0.2">
      <c r="B110" s="60"/>
      <c r="C110" s="60"/>
      <c r="D110" s="61"/>
      <c r="E110" s="72" t="str">
        <f>'Sprachen &amp; Rückgabewerte(3)'!$H$142</f>
        <v>Anschlussstutzen:</v>
      </c>
      <c r="F110" s="61"/>
      <c r="G110" s="61"/>
      <c r="H110" s="61"/>
      <c r="I110" s="61"/>
      <c r="J110" s="61"/>
      <c r="K110" s="61"/>
      <c r="L110" s="61"/>
      <c r="M110" s="61"/>
      <c r="N110" s="61"/>
      <c r="O110" s="61"/>
      <c r="P110" s="61"/>
      <c r="Q110" s="61"/>
      <c r="R110" s="61"/>
      <c r="S110" s="61"/>
      <c r="T110" s="725"/>
      <c r="U110" s="728"/>
      <c r="V110" s="728"/>
      <c r="W110" s="728"/>
      <c r="X110" s="728"/>
      <c r="Y110" s="726"/>
      <c r="Z110" s="533"/>
      <c r="AB110" s="262"/>
      <c r="AC110" s="263"/>
      <c r="AD110" s="263"/>
      <c r="AE110" s="263"/>
      <c r="AF110" s="264"/>
      <c r="AG110" s="265"/>
      <c r="AH110" s="266"/>
      <c r="AI110" s="264"/>
      <c r="AJ110" s="264"/>
      <c r="AK110" s="264"/>
      <c r="AL110" s="264"/>
      <c r="AM110" s="265"/>
      <c r="AN110" s="266"/>
      <c r="AO110" s="264"/>
      <c r="AP110" s="264"/>
      <c r="AQ110" s="264"/>
      <c r="AR110" s="264"/>
      <c r="AS110" s="264"/>
      <c r="AT110" s="265"/>
      <c r="AU110" s="133"/>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4"/>
      <c r="AB111" s="267"/>
      <c r="AC111" s="268"/>
      <c r="AD111" s="268"/>
      <c r="AE111" s="268"/>
      <c r="AF111" s="269"/>
      <c r="AG111" s="270"/>
      <c r="AH111" s="269"/>
      <c r="AI111" s="269"/>
      <c r="AJ111" s="269"/>
      <c r="AK111" s="269"/>
      <c r="AL111" s="269"/>
      <c r="AM111" s="269"/>
      <c r="AN111" s="271"/>
      <c r="AO111" s="269"/>
      <c r="AP111" s="269"/>
      <c r="AQ111" s="269"/>
      <c r="AR111" s="269"/>
      <c r="AS111" s="269"/>
      <c r="AT111" s="270"/>
      <c r="AU111" s="133"/>
    </row>
    <row r="112" spans="2:48" ht="15" customHeight="1" x14ac:dyDescent="0.2">
      <c r="B112" s="60"/>
      <c r="C112" s="60"/>
      <c r="D112" s="61"/>
      <c r="E112" s="61"/>
      <c r="F112" s="61"/>
      <c r="G112" s="61"/>
      <c r="H112" s="61"/>
      <c r="I112" s="61"/>
      <c r="J112" s="61"/>
      <c r="K112" s="61"/>
      <c r="L112" s="61"/>
      <c r="M112" s="61"/>
      <c r="N112" s="61"/>
      <c r="O112" s="61"/>
      <c r="P112" s="61"/>
      <c r="Q112" s="61"/>
      <c r="R112" s="276" t="str">
        <f>IF($T$110='Sprachen &amp; Rückgabewerte(3)'!$J$143,'Sprachen &amp; Rückgabewerte(3)'!$H$145,'Sprachen &amp; Rückgabewerte(3)'!$H$148)</f>
        <v>Abstände Ablaufstutzen:</v>
      </c>
      <c r="S112" s="61"/>
      <c r="T112" s="708"/>
      <c r="U112" s="723"/>
      <c r="V112" s="723"/>
      <c r="W112" s="723"/>
      <c r="X112" s="723"/>
      <c r="Y112" s="724"/>
      <c r="Z112" s="534"/>
      <c r="AB112" s="243"/>
      <c r="AC112" s="61"/>
      <c r="AD112" s="61"/>
      <c r="AE112" s="61"/>
      <c r="AF112" s="132"/>
      <c r="AG112" s="258"/>
      <c r="AH112" s="132"/>
      <c r="AI112" s="132"/>
      <c r="AJ112" s="132"/>
      <c r="AK112" s="132"/>
      <c r="AL112" s="132"/>
      <c r="AM112" s="132"/>
      <c r="AN112" s="261"/>
      <c r="AO112" s="132"/>
      <c r="AP112" s="132"/>
      <c r="AQ112" s="132"/>
      <c r="AR112" s="132"/>
      <c r="AS112" s="132"/>
      <c r="AT112" s="258"/>
      <c r="AU112" s="133"/>
    </row>
    <row r="113" spans="2:47" x14ac:dyDescent="0.2">
      <c r="B113" s="60"/>
      <c r="C113" s="60"/>
      <c r="D113" s="61"/>
      <c r="E113" s="277"/>
      <c r="F113" s="277"/>
      <c r="G113" s="277"/>
      <c r="H113" s="277"/>
      <c r="I113" s="277"/>
      <c r="J113" s="277"/>
      <c r="K113" s="277"/>
      <c r="L113" s="277"/>
      <c r="M113" s="277"/>
      <c r="N113" s="277"/>
      <c r="O113" s="277"/>
      <c r="P113" s="277"/>
      <c r="Q113" s="277"/>
      <c r="R113" s="277"/>
      <c r="S113" s="277"/>
      <c r="T113" s="61"/>
      <c r="U113" s="61"/>
      <c r="V113" s="61"/>
      <c r="W113" s="61"/>
      <c r="X113" s="61"/>
      <c r="Y113" s="61"/>
      <c r="Z113" s="114"/>
      <c r="AB113" s="243"/>
      <c r="AC113" s="61"/>
      <c r="AD113" s="61"/>
      <c r="AE113" s="61"/>
      <c r="AF113" s="132"/>
      <c r="AG113" s="258"/>
      <c r="AH113" s="132"/>
      <c r="AI113" s="132"/>
      <c r="AJ113" s="132"/>
      <c r="AK113" s="132"/>
      <c r="AL113" s="132"/>
      <c r="AM113" s="132"/>
      <c r="AN113" s="261"/>
      <c r="AO113" s="132"/>
      <c r="AP113" s="132"/>
      <c r="AQ113" s="132"/>
      <c r="AR113" s="132"/>
      <c r="AS113" s="132"/>
      <c r="AT113" s="258"/>
      <c r="AU113" s="114"/>
    </row>
    <row r="114" spans="2:47" ht="15" customHeight="1" x14ac:dyDescent="0.2">
      <c r="B114" s="60"/>
      <c r="C114" s="60"/>
      <c r="D114" s="61"/>
      <c r="E114" s="277"/>
      <c r="F114" s="277"/>
      <c r="G114" s="277"/>
      <c r="H114" s="277"/>
      <c r="I114" s="277"/>
      <c r="J114" s="277"/>
      <c r="K114" s="277"/>
      <c r="L114" s="277"/>
      <c r="M114" s="277"/>
      <c r="N114" s="277"/>
      <c r="O114" s="277"/>
      <c r="P114" s="277"/>
      <c r="Q114" s="277"/>
      <c r="R114" s="276" t="str">
        <f>'Sprachen &amp; Rückgabewerte(3)'!H149</f>
        <v>Rinnenanschluss:</v>
      </c>
      <c r="S114" s="277"/>
      <c r="T114" s="725"/>
      <c r="U114" s="726"/>
      <c r="V114" s="61"/>
      <c r="W114" s="61"/>
      <c r="X114" s="61"/>
      <c r="Y114" s="61"/>
      <c r="Z114" s="114"/>
      <c r="AB114" s="243"/>
      <c r="AC114" s="61"/>
      <c r="AD114" s="61"/>
      <c r="AE114" s="61"/>
      <c r="AF114" s="132"/>
      <c r="AG114" s="258"/>
      <c r="AH114" s="132"/>
      <c r="AI114" s="132"/>
      <c r="AJ114" s="132"/>
      <c r="AK114" s="132"/>
      <c r="AL114" s="132"/>
      <c r="AM114" s="132"/>
      <c r="AN114" s="261"/>
      <c r="AO114" s="132"/>
      <c r="AP114" s="132"/>
      <c r="AQ114" s="132"/>
      <c r="AR114" s="132"/>
      <c r="AS114" s="132"/>
      <c r="AT114" s="258"/>
      <c r="AU114" s="114"/>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4"/>
      <c r="AA115" s="61"/>
      <c r="AB115" s="243"/>
      <c r="AC115" s="61"/>
      <c r="AD115" s="61"/>
      <c r="AE115" s="61"/>
      <c r="AF115" s="61"/>
      <c r="AG115" s="258"/>
      <c r="AH115" s="132"/>
      <c r="AI115" s="132"/>
      <c r="AJ115" s="132"/>
      <c r="AK115" s="132"/>
      <c r="AL115" s="132"/>
      <c r="AM115" s="132"/>
      <c r="AN115" s="261"/>
      <c r="AO115" s="61"/>
      <c r="AP115" s="61"/>
      <c r="AQ115" s="61"/>
      <c r="AR115" s="61"/>
      <c r="AS115" s="61"/>
      <c r="AT115" s="245"/>
      <c r="AU115" s="114"/>
    </row>
    <row r="116" spans="2:47" x14ac:dyDescent="0.2">
      <c r="B116" s="60"/>
      <c r="C116" s="60"/>
      <c r="D116" s="61"/>
      <c r="E116" s="702" t="str">
        <f>IF('Sprachen &amp; Rückgabewerte(3)'!$I$50=TRUE,'Sprachen &amp; Rückgabewerte(3)'!$H$102,"")</f>
        <v/>
      </c>
      <c r="F116" s="702"/>
      <c r="G116" s="702"/>
      <c r="H116" s="702"/>
      <c r="I116" s="702"/>
      <c r="J116" s="702"/>
      <c r="K116" s="702"/>
      <c r="L116" s="702"/>
      <c r="M116" s="702"/>
      <c r="N116" s="702"/>
      <c r="O116" s="702"/>
      <c r="P116" s="702"/>
      <c r="Q116" s="702"/>
      <c r="R116" s="702"/>
      <c r="S116" s="61"/>
      <c r="T116" s="61"/>
      <c r="U116" s="61"/>
      <c r="V116" s="61"/>
      <c r="W116" s="61"/>
      <c r="X116" s="61"/>
      <c r="Y116" s="61"/>
      <c r="Z116" s="114"/>
      <c r="AA116" s="61"/>
      <c r="AB116" s="243"/>
      <c r="AC116" s="61"/>
      <c r="AD116" s="61"/>
      <c r="AE116" s="61"/>
      <c r="AF116" s="61"/>
      <c r="AG116" s="258"/>
      <c r="AH116" s="132"/>
      <c r="AI116" s="132"/>
      <c r="AJ116" s="132"/>
      <c r="AK116" s="132"/>
      <c r="AL116" s="132"/>
      <c r="AM116" s="132"/>
      <c r="AN116" s="261"/>
      <c r="AO116" s="61"/>
      <c r="AP116" s="61"/>
      <c r="AQ116" s="61"/>
      <c r="AR116" s="61"/>
      <c r="AS116" s="61"/>
      <c r="AT116" s="245"/>
      <c r="AU116" s="114"/>
    </row>
    <row r="117" spans="2:47" ht="12.75" customHeight="1" x14ac:dyDescent="0.2">
      <c r="B117" s="60"/>
      <c r="C117" s="60"/>
      <c r="D117" s="61"/>
      <c r="E117" s="702"/>
      <c r="F117" s="702"/>
      <c r="G117" s="702"/>
      <c r="H117" s="702"/>
      <c r="I117" s="702"/>
      <c r="J117" s="702"/>
      <c r="K117" s="702"/>
      <c r="L117" s="702"/>
      <c r="M117" s="702"/>
      <c r="N117" s="702"/>
      <c r="O117" s="702"/>
      <c r="P117" s="702"/>
      <c r="Q117" s="702"/>
      <c r="R117" s="702"/>
      <c r="S117" s="132"/>
      <c r="T117" s="132"/>
      <c r="U117" s="132"/>
      <c r="V117" s="132"/>
      <c r="W117" s="132"/>
      <c r="X117" s="132"/>
      <c r="Y117" s="132"/>
      <c r="Z117" s="133"/>
      <c r="AA117" s="132"/>
      <c r="AB117" s="261"/>
      <c r="AC117" s="132"/>
      <c r="AD117" s="132"/>
      <c r="AE117" s="132"/>
      <c r="AF117" s="132"/>
      <c r="AG117" s="258"/>
      <c r="AH117" s="132"/>
      <c r="AI117" s="132"/>
      <c r="AJ117" s="132"/>
      <c r="AK117" s="132"/>
      <c r="AL117" s="132"/>
      <c r="AM117" s="132"/>
      <c r="AN117" s="261"/>
      <c r="AO117" s="61"/>
      <c r="AP117" s="61"/>
      <c r="AQ117" s="61"/>
      <c r="AR117" s="61"/>
      <c r="AS117" s="61"/>
      <c r="AT117" s="245"/>
      <c r="AU117" s="114"/>
    </row>
    <row r="118" spans="2:47" x14ac:dyDescent="0.2">
      <c r="B118" s="60"/>
      <c r="C118" s="60"/>
      <c r="D118" s="61"/>
      <c r="E118" s="702"/>
      <c r="F118" s="702"/>
      <c r="G118" s="702"/>
      <c r="H118" s="702"/>
      <c r="I118" s="702"/>
      <c r="J118" s="702"/>
      <c r="K118" s="702"/>
      <c r="L118" s="702"/>
      <c r="M118" s="702"/>
      <c r="N118" s="702"/>
      <c r="O118" s="702"/>
      <c r="P118" s="702"/>
      <c r="Q118" s="702"/>
      <c r="R118" s="702"/>
      <c r="S118" s="61"/>
      <c r="T118" s="61"/>
      <c r="U118" s="61"/>
      <c r="V118" s="61"/>
      <c r="W118" s="61"/>
      <c r="X118" s="61"/>
      <c r="Y118" s="61"/>
      <c r="Z118" s="114"/>
      <c r="AB118" s="243"/>
      <c r="AC118" s="61"/>
      <c r="AD118" s="61"/>
      <c r="AE118" s="61"/>
      <c r="AF118" s="61"/>
      <c r="AG118" s="245"/>
      <c r="AH118" s="61"/>
      <c r="AI118" s="61"/>
      <c r="AJ118" s="61"/>
      <c r="AK118" s="61"/>
      <c r="AL118" s="61"/>
      <c r="AM118" s="61"/>
      <c r="AN118" s="243"/>
      <c r="AO118" s="61"/>
      <c r="AP118" s="61"/>
      <c r="AQ118" s="61"/>
      <c r="AR118" s="61"/>
      <c r="AS118" s="61"/>
      <c r="AT118" s="245"/>
      <c r="AU118" s="114"/>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4"/>
      <c r="AB119" s="243"/>
      <c r="AC119" s="61"/>
      <c r="AD119" s="61"/>
      <c r="AE119" s="61"/>
      <c r="AF119" s="61"/>
      <c r="AG119" s="245"/>
      <c r="AH119" s="61"/>
      <c r="AI119" s="61"/>
      <c r="AJ119" s="61"/>
      <c r="AK119" s="61"/>
      <c r="AL119" s="61"/>
      <c r="AM119" s="61"/>
      <c r="AN119" s="243"/>
      <c r="AO119" s="61"/>
      <c r="AP119" s="61"/>
      <c r="AQ119" s="61"/>
      <c r="AR119" s="61"/>
      <c r="AS119" s="61"/>
      <c r="AT119" s="245"/>
      <c r="AU119" s="114"/>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5"/>
      <c r="AB120" s="259"/>
      <c r="AC120" s="249"/>
      <c r="AD120" s="249"/>
      <c r="AE120" s="249"/>
      <c r="AF120" s="249"/>
      <c r="AG120" s="251"/>
      <c r="AH120" s="249"/>
      <c r="AI120" s="249"/>
      <c r="AJ120" s="249"/>
      <c r="AK120" s="249"/>
      <c r="AL120" s="249"/>
      <c r="AM120" s="249"/>
      <c r="AN120" s="259"/>
      <c r="AO120" s="249"/>
      <c r="AP120" s="249"/>
      <c r="AQ120" s="249"/>
      <c r="AR120" s="249"/>
      <c r="AS120" s="249"/>
      <c r="AT120" s="251"/>
      <c r="AU120" s="114"/>
    </row>
    <row r="121" spans="2:47" ht="13.5" thickTop="1" x14ac:dyDescent="0.2">
      <c r="B121" s="60"/>
      <c r="AU121" s="114"/>
    </row>
    <row r="122" spans="2:47" ht="12.95" customHeight="1" x14ac:dyDescent="0.2">
      <c r="B122" s="60"/>
      <c r="L122" s="61"/>
      <c r="M122" s="61"/>
      <c r="N122" s="61"/>
      <c r="O122" s="61"/>
      <c r="P122" s="61"/>
      <c r="Q122" s="61"/>
      <c r="R122" s="61"/>
      <c r="S122" s="61"/>
      <c r="T122" s="61"/>
      <c r="U122" s="61"/>
      <c r="V122" s="61"/>
      <c r="W122" s="61"/>
      <c r="X122" s="61"/>
      <c r="Y122" s="61"/>
      <c r="Z122" s="61"/>
      <c r="AA122" s="61"/>
      <c r="AB122" s="111"/>
      <c r="AC122" s="82"/>
      <c r="AD122" s="82"/>
      <c r="AE122" s="82"/>
      <c r="AF122" s="82"/>
      <c r="AG122" s="82"/>
      <c r="AH122" s="82"/>
      <c r="AI122" s="82"/>
      <c r="AJ122" s="82"/>
      <c r="AK122" s="82"/>
      <c r="AL122" s="82"/>
      <c r="AM122" s="82"/>
      <c r="AN122" s="82"/>
      <c r="AO122" s="82"/>
      <c r="AP122" s="82"/>
      <c r="AQ122" s="82"/>
      <c r="AR122" s="82"/>
      <c r="AS122" s="82"/>
      <c r="AT122" s="113"/>
      <c r="AU122" s="114"/>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4"/>
      <c r="AU123" s="114"/>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4"/>
      <c r="AU124" s="114"/>
    </row>
    <row r="125" spans="2:47" ht="12.95" customHeight="1" x14ac:dyDescent="0.2">
      <c r="B125" s="60"/>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4"/>
      <c r="AU125" s="114"/>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32"/>
      <c r="AL126" s="132"/>
      <c r="AM126" s="132"/>
      <c r="AN126" s="132"/>
      <c r="AO126" s="132"/>
      <c r="AP126" s="61"/>
      <c r="AQ126" s="61"/>
      <c r="AR126" s="61"/>
      <c r="AS126" s="61"/>
      <c r="AT126" s="114"/>
      <c r="AU126" s="114"/>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32"/>
      <c r="AL127" s="132"/>
      <c r="AM127" s="132"/>
      <c r="AN127" s="132"/>
      <c r="AO127" s="132"/>
      <c r="AP127" s="61"/>
      <c r="AQ127" s="61"/>
      <c r="AR127" s="61"/>
      <c r="AS127" s="61"/>
      <c r="AT127" s="114"/>
      <c r="AU127" s="114"/>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32"/>
      <c r="AL128" s="132"/>
      <c r="AM128" s="132"/>
      <c r="AN128" s="132"/>
      <c r="AO128" s="132"/>
      <c r="AP128" s="61"/>
      <c r="AQ128" s="61"/>
      <c r="AR128" s="61"/>
      <c r="AS128" s="61"/>
      <c r="AT128" s="114"/>
      <c r="AU128" s="114"/>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55"/>
      <c r="AG129" s="61"/>
      <c r="AH129" s="61"/>
      <c r="AI129" s="61"/>
      <c r="AJ129" s="61"/>
      <c r="AK129" s="132"/>
      <c r="AL129" s="132"/>
      <c r="AM129" s="132"/>
      <c r="AN129" s="132"/>
      <c r="AO129" s="132"/>
      <c r="AP129" s="61"/>
      <c r="AQ129" s="61"/>
      <c r="AR129" s="61"/>
      <c r="AS129" s="61"/>
      <c r="AT129" s="114"/>
      <c r="AU129" s="114"/>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32"/>
      <c r="AL130" s="132"/>
      <c r="AM130" s="132"/>
      <c r="AN130" s="132"/>
      <c r="AO130" s="132"/>
      <c r="AP130" s="61"/>
      <c r="AQ130" s="61"/>
      <c r="AR130" s="61"/>
      <c r="AS130" s="61"/>
      <c r="AT130" s="114"/>
      <c r="AU130" s="114"/>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16"/>
      <c r="AF131" s="132"/>
      <c r="AG131" s="132"/>
      <c r="AH131" s="132"/>
      <c r="AI131" s="132"/>
      <c r="AJ131" s="132"/>
      <c r="AK131" s="132"/>
      <c r="AL131" s="132"/>
      <c r="AM131" s="132"/>
      <c r="AN131" s="132"/>
      <c r="AO131" s="132"/>
      <c r="AP131" s="132"/>
      <c r="AQ131" s="132"/>
      <c r="AR131" s="132"/>
      <c r="AS131" s="132"/>
      <c r="AT131" s="133"/>
      <c r="AU131" s="114"/>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16"/>
      <c r="AF132" s="132"/>
      <c r="AG132" s="132"/>
      <c r="AH132" s="132"/>
      <c r="AI132" s="132"/>
      <c r="AJ132" s="132"/>
      <c r="AK132" s="132"/>
      <c r="AL132" s="132"/>
      <c r="AM132" s="132"/>
      <c r="AN132" s="132"/>
      <c r="AO132" s="132"/>
      <c r="AP132" s="132"/>
      <c r="AQ132" s="132"/>
      <c r="AR132" s="132"/>
      <c r="AS132" s="132"/>
      <c r="AT132" s="133"/>
      <c r="AU132" s="114"/>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16"/>
      <c r="AF133" s="132"/>
      <c r="AG133" s="132"/>
      <c r="AH133" s="132"/>
      <c r="AI133" s="132"/>
      <c r="AJ133" s="132"/>
      <c r="AK133" s="132"/>
      <c r="AL133" s="132"/>
      <c r="AM133" s="132"/>
      <c r="AN133" s="132"/>
      <c r="AO133" s="132"/>
      <c r="AP133" s="132"/>
      <c r="AQ133" s="132"/>
      <c r="AR133" s="132"/>
      <c r="AS133" s="132"/>
      <c r="AT133" s="133"/>
      <c r="AU133" s="114"/>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16"/>
      <c r="AF134" s="132"/>
      <c r="AG134" s="132"/>
      <c r="AH134" s="132"/>
      <c r="AI134" s="132"/>
      <c r="AJ134" s="132"/>
      <c r="AK134" s="132"/>
      <c r="AL134" s="132"/>
      <c r="AM134" s="132"/>
      <c r="AN134" s="132"/>
      <c r="AO134" s="132"/>
      <c r="AP134" s="132"/>
      <c r="AQ134" s="132"/>
      <c r="AR134" s="132"/>
      <c r="AS134" s="132"/>
      <c r="AT134" s="133"/>
      <c r="AU134" s="114"/>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72"/>
      <c r="AF135" s="136"/>
      <c r="AG135" s="136"/>
      <c r="AH135" s="136"/>
      <c r="AI135" s="136"/>
      <c r="AJ135" s="136"/>
      <c r="AK135" s="136"/>
      <c r="AL135" s="136"/>
      <c r="AM135" s="136"/>
      <c r="AN135" s="136"/>
      <c r="AO135" s="136"/>
      <c r="AP135" s="136"/>
      <c r="AQ135" s="136"/>
      <c r="AR135" s="136"/>
      <c r="AS135" s="136"/>
      <c r="AT135" s="137"/>
      <c r="AU135" s="114"/>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5"/>
    </row>
    <row r="137" spans="2:47" x14ac:dyDescent="0.2">
      <c r="AE137" s="212"/>
      <c r="AF137" s="132"/>
      <c r="AG137" s="132"/>
      <c r="AH137" s="132"/>
      <c r="AI137" s="132"/>
      <c r="AJ137" s="132"/>
      <c r="AK137" s="132"/>
      <c r="AL137" s="132"/>
      <c r="AM137" s="132"/>
      <c r="AN137" s="132"/>
      <c r="AO137" s="132"/>
      <c r="AP137" s="132"/>
      <c r="AQ137" s="132"/>
      <c r="AR137" s="132"/>
      <c r="AS137" s="132"/>
      <c r="AT137" s="132"/>
    </row>
    <row r="138" spans="2:47" x14ac:dyDescent="0.2">
      <c r="AE138" s="212"/>
      <c r="AF138" s="132"/>
      <c r="AG138" s="132"/>
      <c r="AH138" s="132"/>
      <c r="AI138" s="132"/>
      <c r="AJ138" s="132"/>
      <c r="AK138" s="132"/>
      <c r="AL138" s="132"/>
      <c r="AM138" s="132"/>
      <c r="AN138" s="132"/>
      <c r="AO138" s="132"/>
      <c r="AP138" s="132"/>
      <c r="AQ138" s="132"/>
      <c r="AR138" s="132"/>
      <c r="AS138" s="132"/>
      <c r="AT138" s="132"/>
    </row>
    <row r="139" spans="2:47" x14ac:dyDescent="0.2">
      <c r="AE139" s="212"/>
      <c r="AF139" s="132"/>
      <c r="AG139" s="132"/>
      <c r="AH139" s="132"/>
      <c r="AI139" s="132"/>
      <c r="AJ139" s="132"/>
      <c r="AK139" s="132"/>
      <c r="AL139" s="132"/>
      <c r="AM139" s="132"/>
      <c r="AN139" s="132"/>
      <c r="AO139" s="132"/>
      <c r="AP139" s="132"/>
      <c r="AQ139" s="132"/>
      <c r="AR139" s="132"/>
      <c r="AS139" s="132"/>
      <c r="AT139" s="132"/>
    </row>
    <row r="140" spans="2:47" x14ac:dyDescent="0.2">
      <c r="AE140" s="212"/>
      <c r="AF140" s="132"/>
      <c r="AG140" s="132"/>
      <c r="AH140" s="132"/>
      <c r="AI140" s="132"/>
      <c r="AJ140" s="132"/>
      <c r="AK140" s="132"/>
      <c r="AL140" s="132"/>
      <c r="AM140" s="132"/>
      <c r="AN140" s="132"/>
      <c r="AO140" s="132"/>
      <c r="AP140" s="132"/>
      <c r="AQ140" s="132"/>
      <c r="AR140" s="132"/>
      <c r="AS140" s="132"/>
      <c r="AT140" s="132"/>
    </row>
    <row r="141" spans="2:47" x14ac:dyDescent="0.2">
      <c r="AE141" s="212"/>
      <c r="AF141" s="132"/>
      <c r="AG141" s="132"/>
      <c r="AH141" s="132"/>
      <c r="AI141" s="132"/>
      <c r="AJ141" s="132"/>
      <c r="AK141" s="132"/>
      <c r="AL141" s="132"/>
      <c r="AM141" s="132"/>
      <c r="AN141" s="132"/>
      <c r="AO141" s="132"/>
      <c r="AP141" s="132"/>
      <c r="AQ141" s="132"/>
      <c r="AR141" s="132"/>
      <c r="AS141" s="132"/>
      <c r="AT141" s="132"/>
    </row>
    <row r="142" spans="2:47" x14ac:dyDescent="0.2">
      <c r="AE142" s="212"/>
      <c r="AF142" s="132"/>
      <c r="AG142" s="132"/>
      <c r="AH142" s="132"/>
      <c r="AI142" s="132"/>
      <c r="AJ142" s="132"/>
      <c r="AK142" s="132"/>
      <c r="AL142" s="132"/>
      <c r="AM142" s="132"/>
      <c r="AN142" s="132"/>
      <c r="AO142" s="132"/>
      <c r="AP142" s="132"/>
      <c r="AQ142" s="132"/>
      <c r="AR142" s="132"/>
      <c r="AS142" s="132"/>
      <c r="AT142" s="132"/>
    </row>
    <row r="143" spans="2:47" ht="15" customHeight="1" x14ac:dyDescent="0.2">
      <c r="X143" s="132"/>
      <c r="Y143" s="132"/>
      <c r="AE143" s="212"/>
      <c r="AF143" s="132"/>
      <c r="AG143" s="132"/>
      <c r="AH143" s="132"/>
      <c r="AI143" s="132"/>
      <c r="AJ143" s="132"/>
      <c r="AK143" s="132"/>
      <c r="AL143" s="132"/>
      <c r="AM143" s="132"/>
      <c r="AN143" s="132"/>
      <c r="AO143" s="132"/>
      <c r="AP143" s="132"/>
      <c r="AQ143" s="132"/>
      <c r="AR143" s="132"/>
      <c r="AS143" s="132"/>
      <c r="AT143" s="132"/>
    </row>
    <row r="144" spans="2:47" x14ac:dyDescent="0.2">
      <c r="AE144" s="212"/>
      <c r="AG144" s="132"/>
      <c r="AH144" s="132"/>
      <c r="AI144" s="132"/>
      <c r="AJ144" s="132"/>
      <c r="AK144" s="132"/>
      <c r="AL144" s="132"/>
      <c r="AM144" s="132"/>
      <c r="AN144" s="132"/>
      <c r="AO144" s="132"/>
    </row>
    <row r="145" spans="24:47" x14ac:dyDescent="0.2">
      <c r="AE145" s="212"/>
      <c r="AF145" s="132"/>
      <c r="AG145" s="132"/>
      <c r="AH145" s="132"/>
      <c r="AI145" s="132"/>
      <c r="AJ145" s="132"/>
      <c r="AK145" s="132"/>
      <c r="AL145" s="132"/>
      <c r="AM145" s="132"/>
      <c r="AN145" s="132"/>
      <c r="AO145" s="132"/>
      <c r="AP145" s="132"/>
      <c r="AQ145" s="132"/>
      <c r="AR145" s="132"/>
      <c r="AS145" s="132"/>
      <c r="AT145" s="132"/>
    </row>
    <row r="146" spans="24:47" x14ac:dyDescent="0.2">
      <c r="AE146" s="212"/>
      <c r="AF146" s="132"/>
      <c r="AG146" s="132"/>
      <c r="AH146" s="132"/>
      <c r="AI146" s="132"/>
      <c r="AJ146" s="132"/>
      <c r="AK146" s="132"/>
      <c r="AL146" s="132"/>
      <c r="AM146" s="132"/>
      <c r="AN146" s="132"/>
      <c r="AO146" s="132"/>
      <c r="AP146" s="132"/>
      <c r="AQ146" s="132"/>
      <c r="AR146" s="132"/>
      <c r="AS146" s="132"/>
      <c r="AT146" s="132"/>
      <c r="AU146" s="213"/>
    </row>
    <row r="147" spans="24:47" x14ac:dyDescent="0.2">
      <c r="AE147" s="212"/>
      <c r="AF147" s="132"/>
      <c r="AG147" s="132"/>
      <c r="AH147" s="132"/>
      <c r="AI147" s="132"/>
      <c r="AJ147" s="132"/>
      <c r="AK147" s="132"/>
      <c r="AL147" s="132"/>
      <c r="AM147" s="132"/>
      <c r="AN147" s="132"/>
      <c r="AO147" s="132"/>
      <c r="AP147" s="132"/>
      <c r="AQ147" s="132"/>
      <c r="AR147" s="132"/>
      <c r="AS147" s="132"/>
      <c r="AT147" s="132"/>
      <c r="AU147" s="213"/>
    </row>
    <row r="148" spans="24:47" x14ac:dyDescent="0.2">
      <c r="AE148" s="212"/>
      <c r="AF148" s="132"/>
      <c r="AG148" s="132"/>
      <c r="AH148" s="132"/>
      <c r="AI148" s="132"/>
      <c r="AJ148" s="132"/>
      <c r="AK148" s="132"/>
      <c r="AL148" s="132"/>
      <c r="AM148" s="132"/>
      <c r="AN148" s="132"/>
      <c r="AO148" s="132"/>
      <c r="AP148" s="132"/>
      <c r="AQ148" s="132"/>
      <c r="AR148" s="132"/>
      <c r="AS148" s="132"/>
      <c r="AT148" s="132"/>
      <c r="AU148" s="213"/>
    </row>
    <row r="149" spans="24:47" x14ac:dyDescent="0.2">
      <c r="AE149" s="212"/>
      <c r="AF149" s="132"/>
      <c r="AG149" s="132"/>
      <c r="AH149" s="132"/>
      <c r="AI149" s="132"/>
      <c r="AJ149" s="132"/>
      <c r="AK149" s="132"/>
      <c r="AL149" s="132"/>
      <c r="AM149" s="132"/>
      <c r="AN149" s="132"/>
      <c r="AO149" s="132"/>
      <c r="AP149" s="132"/>
      <c r="AQ149" s="132"/>
      <c r="AR149" s="132"/>
      <c r="AS149" s="132"/>
      <c r="AT149" s="132"/>
      <c r="AU149" s="213"/>
    </row>
    <row r="150" spans="24:47" x14ac:dyDescent="0.2">
      <c r="AE150" s="212"/>
      <c r="AF150" s="132"/>
      <c r="AG150" s="132"/>
      <c r="AH150" s="132"/>
      <c r="AI150" s="132"/>
      <c r="AJ150" s="132"/>
      <c r="AK150" s="132"/>
      <c r="AL150" s="132"/>
      <c r="AM150" s="132"/>
      <c r="AN150" s="132"/>
      <c r="AO150" s="132"/>
      <c r="AP150" s="132"/>
      <c r="AQ150" s="132"/>
      <c r="AR150" s="132"/>
      <c r="AS150" s="132"/>
      <c r="AT150" s="132"/>
      <c r="AU150" s="213"/>
    </row>
    <row r="151" spans="24:47" x14ac:dyDescent="0.2">
      <c r="AE151" s="212"/>
      <c r="AF151" s="132"/>
      <c r="AG151" s="132"/>
      <c r="AH151" s="132"/>
      <c r="AI151" s="132"/>
      <c r="AJ151" s="132"/>
      <c r="AK151" s="132"/>
      <c r="AL151" s="132"/>
      <c r="AM151" s="132"/>
      <c r="AN151" s="132"/>
      <c r="AO151" s="132"/>
      <c r="AP151" s="132"/>
      <c r="AQ151" s="132"/>
      <c r="AR151" s="132"/>
      <c r="AS151" s="132"/>
      <c r="AT151" s="132"/>
      <c r="AU151" s="213"/>
    </row>
    <row r="152" spans="24:47" x14ac:dyDescent="0.2">
      <c r="AE152" s="212"/>
      <c r="AF152" s="132"/>
      <c r="AG152" s="132"/>
      <c r="AH152" s="132"/>
      <c r="AI152" s="132"/>
      <c r="AJ152" s="132"/>
      <c r="AK152" s="132"/>
      <c r="AL152" s="132"/>
      <c r="AM152" s="132"/>
      <c r="AN152" s="132"/>
      <c r="AO152" s="132"/>
      <c r="AP152" s="132"/>
      <c r="AQ152" s="132"/>
      <c r="AR152" s="132"/>
      <c r="AS152" s="132"/>
      <c r="AT152" s="132"/>
      <c r="AU152" s="213"/>
    </row>
    <row r="153" spans="24:47" x14ac:dyDescent="0.2">
      <c r="AE153" s="212"/>
      <c r="AF153" s="132"/>
      <c r="AG153" s="132"/>
      <c r="AH153" s="132"/>
      <c r="AI153" s="132"/>
      <c r="AJ153" s="132"/>
      <c r="AK153" s="132"/>
      <c r="AL153" s="132"/>
      <c r="AM153" s="132"/>
      <c r="AN153" s="132"/>
      <c r="AO153" s="132"/>
      <c r="AP153" s="132"/>
      <c r="AQ153" s="132"/>
      <c r="AR153" s="132"/>
      <c r="AS153" s="132"/>
      <c r="AT153" s="132"/>
      <c r="AU153" s="213"/>
    </row>
    <row r="154" spans="24:47" x14ac:dyDescent="0.2">
      <c r="AE154" s="212"/>
      <c r="AF154" s="132"/>
      <c r="AG154" s="132"/>
      <c r="AH154" s="132"/>
      <c r="AI154" s="132"/>
      <c r="AJ154" s="132"/>
      <c r="AK154" s="132"/>
      <c r="AL154" s="132"/>
      <c r="AM154" s="132"/>
      <c r="AN154" s="132"/>
      <c r="AO154" s="132"/>
      <c r="AP154" s="132"/>
      <c r="AQ154" s="132"/>
      <c r="AR154" s="132"/>
      <c r="AS154" s="132"/>
      <c r="AT154" s="132"/>
      <c r="AU154" s="213"/>
    </row>
    <row r="155" spans="24:47" x14ac:dyDescent="0.2">
      <c r="AE155" s="212"/>
      <c r="AF155" s="132"/>
      <c r="AG155" s="132"/>
      <c r="AH155" s="132"/>
      <c r="AI155" s="132"/>
      <c r="AJ155" s="132"/>
      <c r="AK155" s="132"/>
      <c r="AL155" s="132"/>
      <c r="AM155" s="132"/>
      <c r="AN155" s="132"/>
      <c r="AO155" s="132"/>
      <c r="AP155" s="132"/>
      <c r="AQ155" s="132"/>
      <c r="AR155" s="132"/>
      <c r="AS155" s="132"/>
      <c r="AT155" s="132"/>
      <c r="AU155" s="213"/>
    </row>
    <row r="156" spans="24:47" x14ac:dyDescent="0.2">
      <c r="AE156" s="212"/>
      <c r="AF156" s="132"/>
      <c r="AG156" s="132"/>
      <c r="AH156" s="132"/>
      <c r="AI156" s="132"/>
      <c r="AJ156" s="132"/>
      <c r="AK156" s="132"/>
      <c r="AL156" s="132"/>
      <c r="AM156" s="132"/>
      <c r="AN156" s="132"/>
      <c r="AO156" s="132"/>
      <c r="AP156" s="132"/>
      <c r="AQ156" s="132"/>
      <c r="AR156" s="132"/>
      <c r="AS156" s="132"/>
      <c r="AT156" s="132"/>
      <c r="AU156" s="213"/>
    </row>
    <row r="157" spans="24:47" x14ac:dyDescent="0.2">
      <c r="AE157" s="212"/>
      <c r="AF157" s="132"/>
      <c r="AG157" s="132"/>
      <c r="AH157" s="132"/>
      <c r="AI157" s="132"/>
      <c r="AJ157" s="132"/>
      <c r="AK157" s="132"/>
      <c r="AL157" s="132"/>
      <c r="AM157" s="132"/>
      <c r="AN157" s="132"/>
      <c r="AO157" s="132"/>
      <c r="AP157" s="132"/>
      <c r="AQ157" s="132"/>
      <c r="AR157" s="132"/>
      <c r="AS157" s="132"/>
      <c r="AT157" s="132"/>
      <c r="AU157" s="213"/>
    </row>
    <row r="158" spans="24:47" ht="15" customHeight="1" x14ac:dyDescent="0.2">
      <c r="X158" s="132"/>
      <c r="Y158" s="132"/>
      <c r="AE158" s="212"/>
      <c r="AF158" s="213"/>
      <c r="AG158" s="213"/>
      <c r="AH158" s="213"/>
      <c r="AI158" s="213"/>
      <c r="AJ158" s="213"/>
      <c r="AK158" s="213"/>
      <c r="AL158" s="213"/>
      <c r="AM158" s="213"/>
      <c r="AN158" s="213"/>
      <c r="AO158" s="213"/>
      <c r="AP158" s="213"/>
      <c r="AQ158" s="213"/>
      <c r="AR158" s="213"/>
      <c r="AS158" s="213"/>
      <c r="AT158" s="213"/>
      <c r="AU158" s="213"/>
    </row>
    <row r="159" spans="24:47" x14ac:dyDescent="0.2">
      <c r="AE159" s="212"/>
      <c r="AF159" s="132"/>
      <c r="AG159" s="132"/>
      <c r="AH159" s="132"/>
      <c r="AI159" s="132"/>
      <c r="AJ159" s="132"/>
      <c r="AK159" s="132"/>
      <c r="AL159" s="132"/>
      <c r="AM159" s="132"/>
      <c r="AN159" s="132"/>
      <c r="AO159" s="132"/>
      <c r="AP159" s="132"/>
      <c r="AQ159" s="132"/>
      <c r="AR159" s="132"/>
      <c r="AS159" s="132"/>
      <c r="AT159" s="132"/>
      <c r="AU159" s="213"/>
    </row>
    <row r="160" spans="24:47" x14ac:dyDescent="0.2">
      <c r="AE160" s="212"/>
      <c r="AF160" s="132"/>
      <c r="AG160" s="132"/>
      <c r="AH160" s="132"/>
      <c r="AI160" s="132"/>
      <c r="AJ160" s="132"/>
      <c r="AK160" s="132"/>
      <c r="AL160" s="132"/>
      <c r="AM160" s="132"/>
      <c r="AN160" s="132"/>
      <c r="AO160" s="132"/>
      <c r="AP160" s="132"/>
      <c r="AQ160" s="132"/>
      <c r="AR160" s="132"/>
      <c r="AS160" s="132"/>
      <c r="AT160" s="132"/>
      <c r="AU160" s="213"/>
    </row>
    <row r="161" spans="24:47" x14ac:dyDescent="0.2">
      <c r="AE161" s="212"/>
      <c r="AF161" s="132"/>
      <c r="AG161" s="132"/>
      <c r="AH161" s="132"/>
      <c r="AI161" s="132"/>
      <c r="AJ161" s="132"/>
      <c r="AK161" s="132"/>
      <c r="AL161" s="132"/>
      <c r="AM161" s="132"/>
      <c r="AN161" s="132"/>
      <c r="AO161" s="132"/>
      <c r="AP161" s="132"/>
      <c r="AQ161" s="132"/>
      <c r="AR161" s="132"/>
      <c r="AS161" s="132"/>
      <c r="AT161" s="132"/>
      <c r="AU161" s="213"/>
    </row>
    <row r="162" spans="24:47" x14ac:dyDescent="0.2">
      <c r="AE162" s="212"/>
      <c r="AF162" s="132"/>
      <c r="AG162" s="132"/>
      <c r="AH162" s="132"/>
      <c r="AI162" s="132"/>
      <c r="AJ162" s="132"/>
      <c r="AK162" s="132"/>
      <c r="AL162" s="132"/>
      <c r="AM162" s="132"/>
      <c r="AN162" s="132"/>
      <c r="AO162" s="132"/>
      <c r="AP162" s="132"/>
      <c r="AQ162" s="132"/>
      <c r="AR162" s="132"/>
      <c r="AS162" s="132"/>
      <c r="AT162" s="132"/>
      <c r="AU162" s="213"/>
    </row>
    <row r="163" spans="24:47" x14ac:dyDescent="0.2">
      <c r="AE163" s="212"/>
      <c r="AF163" s="132"/>
      <c r="AG163" s="132"/>
      <c r="AH163" s="132"/>
      <c r="AI163" s="132"/>
      <c r="AJ163" s="132"/>
      <c r="AK163" s="132"/>
      <c r="AL163" s="132"/>
      <c r="AM163" s="132"/>
      <c r="AN163" s="132"/>
      <c r="AO163" s="132"/>
      <c r="AP163" s="132"/>
      <c r="AQ163" s="132"/>
      <c r="AR163" s="132"/>
      <c r="AS163" s="132"/>
      <c r="AT163" s="132"/>
      <c r="AU163" s="213"/>
    </row>
    <row r="164" spans="24:47" x14ac:dyDescent="0.2">
      <c r="AE164" s="212"/>
      <c r="AF164" s="132"/>
      <c r="AG164" s="132"/>
      <c r="AH164" s="132"/>
      <c r="AI164" s="132"/>
      <c r="AJ164" s="132"/>
      <c r="AK164" s="132"/>
      <c r="AL164" s="132"/>
      <c r="AM164" s="132"/>
      <c r="AN164" s="132"/>
      <c r="AO164" s="132"/>
      <c r="AP164" s="132"/>
      <c r="AQ164" s="132"/>
      <c r="AR164" s="132"/>
      <c r="AS164" s="132"/>
      <c r="AT164" s="132"/>
      <c r="AU164" s="213"/>
    </row>
    <row r="165" spans="24:47" x14ac:dyDescent="0.2">
      <c r="AE165" s="212"/>
      <c r="AF165" s="132"/>
      <c r="AG165" s="132"/>
      <c r="AH165" s="132"/>
      <c r="AI165" s="132"/>
      <c r="AJ165" s="132"/>
      <c r="AK165" s="132"/>
      <c r="AL165" s="132"/>
      <c r="AM165" s="132"/>
      <c r="AN165" s="132"/>
      <c r="AO165" s="132"/>
      <c r="AP165" s="132"/>
      <c r="AQ165" s="132"/>
      <c r="AR165" s="132"/>
      <c r="AS165" s="132"/>
      <c r="AT165" s="132"/>
      <c r="AU165" s="213"/>
    </row>
    <row r="166" spans="24:47" x14ac:dyDescent="0.2">
      <c r="AE166" s="212"/>
      <c r="AF166" s="132"/>
      <c r="AG166" s="132"/>
      <c r="AH166" s="132"/>
      <c r="AI166" s="132"/>
      <c r="AJ166" s="132"/>
      <c r="AK166" s="132"/>
      <c r="AL166" s="132"/>
      <c r="AM166" s="132"/>
      <c r="AN166" s="132"/>
      <c r="AO166" s="132"/>
      <c r="AP166" s="132"/>
      <c r="AQ166" s="132"/>
      <c r="AR166" s="132"/>
      <c r="AS166" s="132"/>
      <c r="AT166" s="132"/>
    </row>
    <row r="167" spans="24:47" x14ac:dyDescent="0.2">
      <c r="AE167" s="212"/>
      <c r="AF167" s="132"/>
      <c r="AG167" s="132"/>
      <c r="AH167" s="132"/>
      <c r="AI167" s="132"/>
      <c r="AJ167" s="132"/>
      <c r="AK167" s="132"/>
      <c r="AL167" s="132"/>
      <c r="AM167" s="132"/>
      <c r="AN167" s="132"/>
      <c r="AO167" s="132"/>
      <c r="AP167" s="132"/>
      <c r="AQ167" s="132"/>
      <c r="AR167" s="132"/>
      <c r="AS167" s="132"/>
      <c r="AT167" s="132"/>
    </row>
    <row r="168" spans="24:47" x14ac:dyDescent="0.2">
      <c r="AE168" s="212"/>
      <c r="AF168" s="132"/>
      <c r="AG168" s="132"/>
      <c r="AH168" s="132"/>
      <c r="AI168" s="132"/>
      <c r="AJ168" s="132"/>
      <c r="AK168" s="132"/>
      <c r="AL168" s="132"/>
      <c r="AM168" s="132"/>
      <c r="AN168" s="132"/>
      <c r="AO168" s="132"/>
      <c r="AP168" s="132"/>
      <c r="AQ168" s="132"/>
      <c r="AR168" s="132"/>
      <c r="AS168" s="132"/>
      <c r="AT168" s="132"/>
    </row>
    <row r="169" spans="24:47" x14ac:dyDescent="0.2">
      <c r="AE169" s="212"/>
      <c r="AF169" s="132"/>
      <c r="AG169" s="132"/>
      <c r="AH169" s="132"/>
      <c r="AI169" s="132"/>
      <c r="AJ169" s="132"/>
      <c r="AK169" s="132"/>
      <c r="AL169" s="132"/>
      <c r="AM169" s="132"/>
      <c r="AN169" s="132"/>
      <c r="AO169" s="132"/>
      <c r="AP169" s="132"/>
      <c r="AQ169" s="132"/>
      <c r="AR169" s="132"/>
      <c r="AS169" s="132"/>
      <c r="AT169" s="132"/>
    </row>
    <row r="170" spans="24:47" x14ac:dyDescent="0.2">
      <c r="AE170" s="212"/>
      <c r="AF170" s="132"/>
      <c r="AG170" s="132"/>
      <c r="AH170" s="132"/>
      <c r="AI170" s="132"/>
      <c r="AJ170" s="132"/>
      <c r="AK170" s="132"/>
      <c r="AL170" s="132"/>
      <c r="AM170" s="132"/>
      <c r="AN170" s="132"/>
      <c r="AO170" s="132"/>
      <c r="AP170" s="132"/>
      <c r="AQ170" s="132"/>
      <c r="AR170" s="132"/>
      <c r="AS170" s="132"/>
      <c r="AT170" s="132"/>
    </row>
    <row r="171" spans="24:47" x14ac:dyDescent="0.2">
      <c r="AE171" s="212"/>
      <c r="AF171" s="132"/>
      <c r="AG171" s="132"/>
      <c r="AH171" s="132"/>
      <c r="AI171" s="132"/>
      <c r="AJ171" s="132"/>
      <c r="AK171" s="132"/>
      <c r="AL171" s="132"/>
      <c r="AM171" s="132"/>
      <c r="AN171" s="132"/>
      <c r="AO171" s="132"/>
      <c r="AP171" s="132"/>
      <c r="AQ171" s="132"/>
      <c r="AR171" s="132"/>
      <c r="AS171" s="132"/>
      <c r="AT171" s="132"/>
    </row>
    <row r="172" spans="24:47" x14ac:dyDescent="0.2">
      <c r="AE172" s="212"/>
      <c r="AG172" s="132"/>
      <c r="AH172" s="132"/>
      <c r="AI172" s="132"/>
      <c r="AJ172" s="132"/>
      <c r="AK172" s="132"/>
      <c r="AL172" s="132"/>
      <c r="AM172" s="132"/>
      <c r="AN172" s="132"/>
    </row>
    <row r="173" spans="24:47" ht="15" customHeight="1" x14ac:dyDescent="0.2">
      <c r="X173" s="132"/>
      <c r="Y173" s="132"/>
      <c r="AE173" s="212"/>
      <c r="AF173" s="132"/>
      <c r="AG173" s="132"/>
      <c r="AH173" s="132"/>
      <c r="AI173" s="132"/>
      <c r="AJ173" s="132"/>
      <c r="AK173" s="132"/>
      <c r="AL173" s="132"/>
      <c r="AM173" s="132"/>
      <c r="AN173" s="132"/>
      <c r="AO173" s="132"/>
      <c r="AP173" s="132"/>
      <c r="AQ173" s="132"/>
      <c r="AR173" s="132"/>
      <c r="AS173" s="132"/>
      <c r="AT173" s="132"/>
    </row>
    <row r="174" spans="24:47" x14ac:dyDescent="0.2">
      <c r="AE174" s="212"/>
      <c r="AF174" s="132"/>
      <c r="AG174" s="132"/>
      <c r="AH174" s="132"/>
      <c r="AI174" s="132"/>
      <c r="AJ174" s="132"/>
      <c r="AK174" s="132"/>
      <c r="AL174" s="132"/>
      <c r="AM174" s="132"/>
      <c r="AN174" s="132"/>
      <c r="AO174" s="132"/>
      <c r="AP174" s="132"/>
      <c r="AQ174" s="132"/>
      <c r="AR174" s="132"/>
      <c r="AS174" s="132"/>
      <c r="AT174" s="132"/>
    </row>
    <row r="175" spans="24:47" x14ac:dyDescent="0.2">
      <c r="AE175" s="212"/>
      <c r="AF175" s="132"/>
      <c r="AG175" s="132"/>
      <c r="AH175" s="132"/>
      <c r="AI175" s="132"/>
      <c r="AJ175" s="132"/>
      <c r="AK175" s="132"/>
      <c r="AL175" s="132"/>
      <c r="AM175" s="132"/>
      <c r="AN175" s="132"/>
      <c r="AO175" s="132"/>
      <c r="AP175" s="132"/>
      <c r="AQ175" s="132"/>
      <c r="AR175" s="132"/>
      <c r="AS175" s="132"/>
      <c r="AT175" s="132"/>
    </row>
    <row r="176" spans="24:47" x14ac:dyDescent="0.2">
      <c r="AE176" s="212"/>
      <c r="AF176" s="132"/>
      <c r="AG176" s="132"/>
      <c r="AH176" s="132"/>
      <c r="AI176" s="132"/>
      <c r="AJ176" s="132"/>
      <c r="AK176" s="132"/>
      <c r="AL176" s="132"/>
      <c r="AM176" s="132"/>
      <c r="AN176" s="132"/>
      <c r="AO176" s="132"/>
      <c r="AP176" s="132"/>
      <c r="AQ176" s="132"/>
      <c r="AR176" s="132"/>
      <c r="AS176" s="132"/>
      <c r="AT176" s="132"/>
    </row>
    <row r="177" spans="31:46" x14ac:dyDescent="0.2">
      <c r="AE177" s="212"/>
      <c r="AF177" s="132"/>
      <c r="AG177" s="132"/>
      <c r="AH177" s="132"/>
      <c r="AI177" s="132"/>
      <c r="AJ177" s="132"/>
      <c r="AK177" s="132"/>
      <c r="AL177" s="132"/>
      <c r="AM177" s="132"/>
      <c r="AN177" s="132"/>
      <c r="AO177" s="132"/>
      <c r="AP177" s="132"/>
      <c r="AQ177" s="132"/>
      <c r="AR177" s="132"/>
      <c r="AS177" s="132"/>
      <c r="AT177" s="132"/>
    </row>
    <row r="178" spans="31:46" x14ac:dyDescent="0.2">
      <c r="AE178" s="212"/>
      <c r="AF178" s="132"/>
      <c r="AG178" s="132"/>
      <c r="AH178" s="132"/>
      <c r="AI178" s="132"/>
      <c r="AJ178" s="132"/>
      <c r="AK178" s="132"/>
      <c r="AL178" s="132"/>
      <c r="AM178" s="132"/>
      <c r="AN178" s="132"/>
      <c r="AO178" s="132"/>
      <c r="AP178" s="132"/>
      <c r="AQ178" s="132"/>
      <c r="AR178" s="132"/>
      <c r="AS178" s="132"/>
      <c r="AT178" s="132"/>
    </row>
    <row r="179" spans="31:46" x14ac:dyDescent="0.2">
      <c r="AE179" s="212"/>
      <c r="AF179" s="132"/>
      <c r="AG179" s="132"/>
      <c r="AH179" s="132"/>
      <c r="AI179" s="132"/>
      <c r="AJ179" s="132"/>
      <c r="AK179" s="132"/>
      <c r="AL179" s="132"/>
      <c r="AM179" s="132"/>
      <c r="AN179" s="132"/>
      <c r="AO179" s="132"/>
      <c r="AP179" s="132"/>
      <c r="AQ179" s="132"/>
      <c r="AR179" s="132"/>
      <c r="AS179" s="132"/>
      <c r="AT179" s="132"/>
    </row>
    <row r="180" spans="31:46" x14ac:dyDescent="0.2">
      <c r="AE180" s="212"/>
      <c r="AF180" s="132"/>
      <c r="AG180" s="132"/>
      <c r="AH180" s="132"/>
      <c r="AI180" s="132"/>
      <c r="AJ180" s="132"/>
      <c r="AK180" s="132"/>
      <c r="AL180" s="132"/>
      <c r="AM180" s="132"/>
      <c r="AN180" s="132"/>
      <c r="AO180" s="132"/>
      <c r="AP180" s="132"/>
      <c r="AQ180" s="132"/>
      <c r="AR180" s="132"/>
      <c r="AS180" s="132"/>
      <c r="AT180" s="132"/>
    </row>
    <row r="181" spans="31:46" x14ac:dyDescent="0.2">
      <c r="AE181" s="212"/>
      <c r="AF181" s="132"/>
      <c r="AG181" s="132"/>
      <c r="AH181" s="132"/>
      <c r="AI181" s="132"/>
      <c r="AJ181" s="132"/>
      <c r="AK181" s="132"/>
      <c r="AL181" s="132"/>
      <c r="AM181" s="132"/>
      <c r="AN181" s="132"/>
      <c r="AO181" s="132"/>
      <c r="AP181" s="132"/>
      <c r="AQ181" s="132"/>
      <c r="AR181" s="132"/>
      <c r="AS181" s="132"/>
      <c r="AT181" s="132"/>
    </row>
    <row r="182" spans="31:46" x14ac:dyDescent="0.2">
      <c r="AE182" s="212"/>
      <c r="AF182" s="132"/>
      <c r="AG182" s="132"/>
      <c r="AH182" s="132"/>
      <c r="AI182" s="132"/>
      <c r="AJ182" s="132"/>
      <c r="AK182" s="132"/>
      <c r="AL182" s="132"/>
      <c r="AM182" s="132"/>
      <c r="AN182" s="132"/>
      <c r="AO182" s="132"/>
      <c r="AP182" s="132"/>
      <c r="AQ182" s="132"/>
      <c r="AR182" s="132"/>
      <c r="AS182" s="132"/>
      <c r="AT182" s="132"/>
    </row>
    <row r="183" spans="31:46" x14ac:dyDescent="0.2">
      <c r="AE183" s="212"/>
      <c r="AF183" s="132"/>
      <c r="AG183" s="132"/>
      <c r="AH183" s="132"/>
      <c r="AI183" s="132"/>
      <c r="AJ183" s="132"/>
      <c r="AK183" s="132"/>
      <c r="AL183" s="132"/>
      <c r="AM183" s="132"/>
      <c r="AN183" s="132"/>
      <c r="AO183" s="132"/>
      <c r="AP183" s="132"/>
      <c r="AQ183" s="132"/>
      <c r="AR183" s="132"/>
      <c r="AS183" s="132"/>
      <c r="AT183" s="132"/>
    </row>
    <row r="184" spans="31:46" x14ac:dyDescent="0.2">
      <c r="AE184" s="212"/>
      <c r="AF184" s="132"/>
      <c r="AG184" s="132"/>
      <c r="AH184" s="132"/>
      <c r="AI184" s="132"/>
      <c r="AJ184" s="132"/>
      <c r="AK184" s="132"/>
      <c r="AL184" s="132"/>
      <c r="AM184" s="132"/>
      <c r="AN184" s="132"/>
      <c r="AO184" s="132"/>
      <c r="AP184" s="132"/>
      <c r="AQ184" s="132"/>
      <c r="AR184" s="132"/>
      <c r="AS184" s="132"/>
      <c r="AT184" s="132"/>
    </row>
    <row r="185" spans="31:46" x14ac:dyDescent="0.2">
      <c r="AE185" s="212"/>
      <c r="AF185" s="132"/>
      <c r="AG185" s="132"/>
      <c r="AH185" s="132"/>
      <c r="AI185" s="132"/>
      <c r="AJ185" s="132"/>
      <c r="AK185" s="132"/>
      <c r="AL185" s="132"/>
      <c r="AM185" s="132"/>
      <c r="AN185" s="132"/>
      <c r="AO185" s="132"/>
      <c r="AP185" s="132"/>
      <c r="AQ185" s="132"/>
      <c r="AR185" s="132"/>
      <c r="AS185" s="132"/>
      <c r="AT185" s="132"/>
    </row>
    <row r="186" spans="31:46" x14ac:dyDescent="0.2">
      <c r="AE186" s="212"/>
      <c r="AG186" s="132"/>
      <c r="AH186" s="132"/>
      <c r="AI186" s="132"/>
      <c r="AJ186" s="132"/>
      <c r="AK186" s="132"/>
      <c r="AL186" s="132"/>
      <c r="AM186" s="132"/>
      <c r="AN186" s="132"/>
    </row>
    <row r="187" spans="31:46" x14ac:dyDescent="0.2">
      <c r="AE187" s="212"/>
      <c r="AF187" s="132"/>
      <c r="AG187" s="132"/>
      <c r="AH187" s="132"/>
      <c r="AI187" s="132"/>
      <c r="AJ187" s="132"/>
      <c r="AK187" s="132"/>
      <c r="AL187" s="132"/>
      <c r="AM187" s="132"/>
      <c r="AN187" s="132"/>
      <c r="AO187" s="132"/>
      <c r="AP187" s="132"/>
      <c r="AQ187" s="132"/>
      <c r="AR187" s="132"/>
      <c r="AS187" s="132"/>
      <c r="AT187" s="132"/>
    </row>
    <row r="188" spans="31:46" x14ac:dyDescent="0.2">
      <c r="AE188" s="212"/>
      <c r="AF188" s="132"/>
      <c r="AG188" s="132"/>
      <c r="AH188" s="132"/>
      <c r="AI188" s="132"/>
      <c r="AJ188" s="132"/>
      <c r="AK188" s="132"/>
      <c r="AL188" s="132"/>
      <c r="AM188" s="132"/>
      <c r="AN188" s="132"/>
      <c r="AO188" s="132"/>
      <c r="AP188" s="132"/>
      <c r="AQ188" s="132"/>
      <c r="AR188" s="132"/>
      <c r="AS188" s="132"/>
      <c r="AT188" s="132"/>
    </row>
    <row r="189" spans="31:46" x14ac:dyDescent="0.2">
      <c r="AE189" s="212"/>
      <c r="AF189" s="132"/>
      <c r="AG189" s="132"/>
      <c r="AH189" s="132"/>
      <c r="AI189" s="132"/>
      <c r="AJ189" s="132"/>
      <c r="AK189" s="132"/>
      <c r="AL189" s="132"/>
      <c r="AM189" s="132"/>
      <c r="AN189" s="132"/>
      <c r="AO189" s="132"/>
      <c r="AP189" s="132"/>
      <c r="AQ189" s="132"/>
      <c r="AR189" s="132"/>
      <c r="AS189" s="132"/>
      <c r="AT189" s="132"/>
    </row>
    <row r="190" spans="31:46" x14ac:dyDescent="0.2">
      <c r="AE190" s="212"/>
      <c r="AF190" s="132"/>
      <c r="AG190" s="132"/>
      <c r="AH190" s="132"/>
      <c r="AI190" s="132"/>
      <c r="AJ190" s="132"/>
      <c r="AK190" s="132"/>
      <c r="AL190" s="132"/>
      <c r="AM190" s="132"/>
      <c r="AN190" s="132"/>
      <c r="AO190" s="132"/>
      <c r="AP190" s="132"/>
      <c r="AQ190" s="132"/>
      <c r="AR190" s="132"/>
      <c r="AS190" s="132"/>
      <c r="AT190" s="132"/>
    </row>
    <row r="191" spans="31:46" x14ac:dyDescent="0.2">
      <c r="AE191" s="212"/>
      <c r="AF191" s="132"/>
      <c r="AG191" s="132"/>
      <c r="AH191" s="132"/>
      <c r="AI191" s="132"/>
      <c r="AJ191" s="132"/>
      <c r="AK191" s="132"/>
      <c r="AL191" s="132"/>
      <c r="AM191" s="132"/>
      <c r="AN191" s="132"/>
      <c r="AO191" s="132"/>
      <c r="AP191" s="132"/>
      <c r="AQ191" s="132"/>
      <c r="AR191" s="132"/>
      <c r="AS191" s="132"/>
      <c r="AT191" s="132"/>
    </row>
    <row r="192" spans="31:46" x14ac:dyDescent="0.2">
      <c r="AE192" s="212"/>
      <c r="AF192" s="132"/>
      <c r="AG192" s="132"/>
      <c r="AH192" s="132"/>
      <c r="AI192" s="132"/>
      <c r="AJ192" s="132"/>
      <c r="AK192" s="132"/>
      <c r="AL192" s="132"/>
      <c r="AM192" s="132"/>
      <c r="AN192" s="132"/>
      <c r="AO192" s="132"/>
      <c r="AP192" s="132"/>
      <c r="AQ192" s="132"/>
      <c r="AR192" s="132"/>
      <c r="AS192" s="132"/>
      <c r="AT192" s="132"/>
    </row>
    <row r="193" spans="31:46" x14ac:dyDescent="0.2">
      <c r="AE193" s="212"/>
      <c r="AF193" s="132"/>
      <c r="AG193" s="132"/>
      <c r="AH193" s="132"/>
      <c r="AI193" s="132"/>
      <c r="AJ193" s="132"/>
      <c r="AK193" s="132"/>
      <c r="AL193" s="132"/>
      <c r="AM193" s="132"/>
      <c r="AN193" s="132"/>
      <c r="AO193" s="132"/>
      <c r="AP193" s="132"/>
      <c r="AQ193" s="132"/>
      <c r="AR193" s="132"/>
      <c r="AS193" s="132"/>
      <c r="AT193" s="132"/>
    </row>
    <row r="194" spans="31:46" x14ac:dyDescent="0.2">
      <c r="AE194" s="212"/>
      <c r="AF194" s="132"/>
      <c r="AG194" s="132"/>
      <c r="AH194" s="132"/>
      <c r="AI194" s="132"/>
      <c r="AJ194" s="132"/>
      <c r="AK194" s="132"/>
      <c r="AL194" s="132"/>
      <c r="AM194" s="132"/>
      <c r="AN194" s="132"/>
      <c r="AO194" s="132"/>
      <c r="AP194" s="132"/>
      <c r="AQ194" s="132"/>
      <c r="AR194" s="132"/>
      <c r="AS194" s="132"/>
      <c r="AT194" s="132"/>
    </row>
    <row r="195" spans="31:46" x14ac:dyDescent="0.2">
      <c r="AE195" s="212"/>
      <c r="AF195" s="132"/>
      <c r="AG195" s="132"/>
      <c r="AH195" s="132"/>
      <c r="AI195" s="132"/>
      <c r="AJ195" s="132"/>
      <c r="AK195" s="132"/>
      <c r="AL195" s="132"/>
      <c r="AM195" s="132"/>
      <c r="AN195" s="132"/>
      <c r="AO195" s="132"/>
      <c r="AP195" s="132"/>
      <c r="AQ195" s="132"/>
      <c r="AR195" s="132"/>
      <c r="AS195" s="132"/>
      <c r="AT195" s="132"/>
    </row>
    <row r="196" spans="31:46" x14ac:dyDescent="0.2">
      <c r="AE196" s="212"/>
      <c r="AF196" s="132"/>
      <c r="AG196" s="132"/>
      <c r="AH196" s="132"/>
      <c r="AI196" s="132"/>
      <c r="AJ196" s="132"/>
      <c r="AK196" s="132"/>
      <c r="AL196" s="132"/>
      <c r="AM196" s="132"/>
      <c r="AN196" s="132"/>
      <c r="AO196" s="132"/>
      <c r="AP196" s="132"/>
      <c r="AQ196" s="132"/>
      <c r="AR196" s="132"/>
      <c r="AS196" s="132"/>
      <c r="AT196" s="132"/>
    </row>
    <row r="197" spans="31:46" x14ac:dyDescent="0.2">
      <c r="AE197" s="212"/>
      <c r="AF197" s="132"/>
      <c r="AG197" s="132"/>
      <c r="AH197" s="132"/>
      <c r="AI197" s="132"/>
      <c r="AJ197" s="132"/>
      <c r="AK197" s="132"/>
      <c r="AL197" s="132"/>
      <c r="AM197" s="132"/>
      <c r="AN197" s="132"/>
      <c r="AO197" s="132"/>
      <c r="AP197" s="132"/>
      <c r="AQ197" s="132"/>
      <c r="AR197" s="132"/>
      <c r="AS197" s="132"/>
      <c r="AT197" s="132"/>
    </row>
    <row r="198" spans="31:46" x14ac:dyDescent="0.2">
      <c r="AE198" s="212"/>
      <c r="AF198" s="132"/>
      <c r="AG198" s="132"/>
      <c r="AH198" s="132"/>
      <c r="AI198" s="132"/>
      <c r="AJ198" s="132"/>
      <c r="AK198" s="132"/>
      <c r="AL198" s="132"/>
      <c r="AM198" s="132"/>
      <c r="AN198" s="132"/>
      <c r="AO198" s="132"/>
      <c r="AP198" s="132"/>
      <c r="AQ198" s="132"/>
      <c r="AR198" s="132"/>
      <c r="AS198" s="132"/>
      <c r="AT198" s="132"/>
    </row>
    <row r="199" spans="31:46" x14ac:dyDescent="0.2">
      <c r="AE199" s="212"/>
      <c r="AF199" s="132"/>
      <c r="AG199" s="132"/>
      <c r="AH199" s="132"/>
      <c r="AI199" s="132"/>
      <c r="AJ199" s="132"/>
      <c r="AK199" s="132"/>
      <c r="AL199" s="132"/>
      <c r="AM199" s="132"/>
      <c r="AN199" s="132"/>
      <c r="AO199" s="132"/>
      <c r="AP199" s="132"/>
      <c r="AQ199" s="132"/>
      <c r="AR199" s="132"/>
      <c r="AS199" s="132"/>
      <c r="AT199" s="132"/>
    </row>
    <row r="200" spans="31:46" x14ac:dyDescent="0.2">
      <c r="AE200" s="212"/>
    </row>
    <row r="201" spans="31:46" x14ac:dyDescent="0.2">
      <c r="AE201" s="212"/>
      <c r="AF201" s="132"/>
      <c r="AG201" s="132"/>
      <c r="AH201" s="132"/>
      <c r="AI201" s="132"/>
      <c r="AJ201" s="132"/>
      <c r="AK201" s="132"/>
      <c r="AL201" s="132"/>
      <c r="AM201" s="132"/>
      <c r="AN201" s="132"/>
      <c r="AO201" s="132"/>
      <c r="AP201" s="132"/>
      <c r="AQ201" s="132"/>
      <c r="AR201" s="132"/>
      <c r="AS201" s="132"/>
      <c r="AT201" s="132"/>
    </row>
    <row r="202" spans="31:46" x14ac:dyDescent="0.2">
      <c r="AE202" s="212"/>
      <c r="AF202" s="132"/>
      <c r="AG202" s="132"/>
      <c r="AH202" s="132"/>
      <c r="AI202" s="132"/>
      <c r="AJ202" s="132"/>
      <c r="AK202" s="132"/>
      <c r="AL202" s="132"/>
      <c r="AM202" s="132"/>
      <c r="AN202" s="132"/>
      <c r="AO202" s="132"/>
      <c r="AP202" s="132"/>
      <c r="AQ202" s="132"/>
      <c r="AR202" s="132"/>
      <c r="AS202" s="132"/>
      <c r="AT202" s="132"/>
    </row>
    <row r="203" spans="31:46" x14ac:dyDescent="0.2">
      <c r="AE203" s="212"/>
      <c r="AF203" s="132"/>
      <c r="AG203" s="132"/>
      <c r="AH203" s="132"/>
      <c r="AI203" s="132"/>
      <c r="AJ203" s="132"/>
      <c r="AK203" s="132"/>
      <c r="AL203" s="132"/>
      <c r="AM203" s="132"/>
      <c r="AN203" s="132"/>
      <c r="AO203" s="132"/>
      <c r="AP203" s="132"/>
      <c r="AQ203" s="132"/>
      <c r="AR203" s="132"/>
      <c r="AS203" s="132"/>
      <c r="AT203" s="132"/>
    </row>
    <row r="204" spans="31:46" x14ac:dyDescent="0.2">
      <c r="AE204" s="212"/>
      <c r="AF204" s="132"/>
      <c r="AG204" s="132"/>
      <c r="AH204" s="132"/>
      <c r="AI204" s="132"/>
      <c r="AJ204" s="132"/>
      <c r="AK204" s="132"/>
      <c r="AL204" s="132"/>
      <c r="AM204" s="132"/>
      <c r="AN204" s="132"/>
      <c r="AO204" s="132"/>
      <c r="AP204" s="132"/>
      <c r="AQ204" s="132"/>
      <c r="AR204" s="132"/>
      <c r="AS204" s="132"/>
      <c r="AT204" s="132"/>
    </row>
    <row r="205" spans="31:46" x14ac:dyDescent="0.2">
      <c r="AE205" s="212"/>
      <c r="AF205" s="132"/>
      <c r="AG205" s="132"/>
      <c r="AH205" s="132"/>
      <c r="AI205" s="132"/>
      <c r="AJ205" s="132"/>
      <c r="AK205" s="132"/>
      <c r="AL205" s="132"/>
      <c r="AM205" s="132"/>
      <c r="AN205" s="132"/>
      <c r="AO205" s="132"/>
      <c r="AP205" s="132"/>
      <c r="AQ205" s="132"/>
      <c r="AR205" s="132"/>
      <c r="AS205" s="132"/>
      <c r="AT205" s="132"/>
    </row>
    <row r="206" spans="31:46" x14ac:dyDescent="0.2">
      <c r="AE206" s="212"/>
      <c r="AF206" s="132"/>
      <c r="AG206" s="132"/>
      <c r="AH206" s="132"/>
      <c r="AI206" s="132"/>
      <c r="AJ206" s="132"/>
      <c r="AK206" s="132"/>
      <c r="AL206" s="132"/>
      <c r="AM206" s="132"/>
      <c r="AN206" s="132"/>
      <c r="AO206" s="132"/>
      <c r="AP206" s="132"/>
      <c r="AQ206" s="132"/>
      <c r="AR206" s="132"/>
      <c r="AS206" s="132"/>
      <c r="AT206" s="132"/>
    </row>
    <row r="207" spans="31:46" x14ac:dyDescent="0.2">
      <c r="AE207" s="212"/>
      <c r="AF207" s="132"/>
      <c r="AG207" s="132"/>
      <c r="AH207" s="132"/>
      <c r="AI207" s="132"/>
      <c r="AJ207" s="132"/>
      <c r="AK207" s="132"/>
      <c r="AL207" s="132"/>
      <c r="AM207" s="132"/>
      <c r="AN207" s="132"/>
      <c r="AO207" s="132"/>
      <c r="AP207" s="132"/>
      <c r="AQ207" s="132"/>
      <c r="AR207" s="132"/>
      <c r="AS207" s="132"/>
      <c r="AT207" s="132"/>
    </row>
    <row r="208" spans="31:46" x14ac:dyDescent="0.2">
      <c r="AE208" s="212"/>
      <c r="AF208" s="132"/>
      <c r="AG208" s="132"/>
      <c r="AH208" s="132"/>
      <c r="AI208" s="132"/>
      <c r="AJ208" s="132"/>
      <c r="AK208" s="132"/>
      <c r="AL208" s="132"/>
      <c r="AM208" s="132"/>
      <c r="AN208" s="132"/>
      <c r="AO208" s="132"/>
      <c r="AP208" s="132"/>
      <c r="AQ208" s="132"/>
      <c r="AR208" s="132"/>
      <c r="AS208" s="132"/>
      <c r="AT208" s="132"/>
    </row>
    <row r="209" spans="31:46" x14ac:dyDescent="0.2">
      <c r="AE209" s="212"/>
      <c r="AF209" s="132"/>
      <c r="AG209" s="132"/>
      <c r="AH209" s="132"/>
      <c r="AI209" s="132"/>
      <c r="AJ209" s="132"/>
      <c r="AK209" s="132"/>
      <c r="AL209" s="132"/>
      <c r="AM209" s="132"/>
      <c r="AN209" s="132"/>
      <c r="AO209" s="132"/>
      <c r="AP209" s="132"/>
      <c r="AQ209" s="132"/>
      <c r="AR209" s="132"/>
      <c r="AS209" s="132"/>
      <c r="AT209" s="132"/>
    </row>
    <row r="210" spans="31:46" x14ac:dyDescent="0.2">
      <c r="AE210" s="212"/>
      <c r="AF210" s="132"/>
      <c r="AG210" s="132"/>
      <c r="AH210" s="132"/>
      <c r="AI210" s="132"/>
      <c r="AJ210" s="132"/>
      <c r="AK210" s="132"/>
      <c r="AL210" s="132"/>
      <c r="AM210" s="132"/>
      <c r="AN210" s="132"/>
      <c r="AO210" s="132"/>
      <c r="AP210" s="132"/>
      <c r="AQ210" s="132"/>
      <c r="AR210" s="132"/>
      <c r="AS210" s="132"/>
      <c r="AT210" s="132"/>
    </row>
    <row r="211" spans="31:46" x14ac:dyDescent="0.2">
      <c r="AE211" s="212"/>
      <c r="AF211" s="132"/>
      <c r="AG211" s="132"/>
      <c r="AH211" s="132"/>
      <c r="AI211" s="132"/>
      <c r="AJ211" s="132"/>
      <c r="AK211" s="132"/>
      <c r="AL211" s="132"/>
      <c r="AM211" s="132"/>
      <c r="AN211" s="132"/>
      <c r="AO211" s="132"/>
      <c r="AP211" s="132"/>
      <c r="AQ211" s="132"/>
      <c r="AR211" s="132"/>
      <c r="AS211" s="132"/>
      <c r="AT211" s="132"/>
    </row>
    <row r="212" spans="31:46" x14ac:dyDescent="0.2">
      <c r="AE212" s="212"/>
      <c r="AF212" s="132"/>
      <c r="AG212" s="132"/>
      <c r="AH212" s="132"/>
      <c r="AI212" s="132"/>
      <c r="AJ212" s="132"/>
      <c r="AK212" s="132"/>
      <c r="AL212" s="132"/>
      <c r="AM212" s="132"/>
      <c r="AN212" s="132"/>
      <c r="AO212" s="132"/>
      <c r="AP212" s="132"/>
      <c r="AQ212" s="132"/>
      <c r="AR212" s="132"/>
      <c r="AS212" s="132"/>
      <c r="AT212" s="132"/>
    </row>
    <row r="213" spans="31:46" x14ac:dyDescent="0.2">
      <c r="AE213" s="212"/>
      <c r="AF213" s="132"/>
      <c r="AG213" s="132"/>
      <c r="AH213" s="132"/>
      <c r="AI213" s="132"/>
      <c r="AJ213" s="132"/>
      <c r="AK213" s="132"/>
      <c r="AL213" s="132"/>
      <c r="AM213" s="132"/>
      <c r="AN213" s="132"/>
      <c r="AO213" s="132"/>
      <c r="AP213" s="132"/>
      <c r="AQ213" s="132"/>
      <c r="AR213" s="132"/>
      <c r="AS213" s="132"/>
      <c r="AT213" s="132"/>
    </row>
    <row r="215" spans="31:46" x14ac:dyDescent="0.2">
      <c r="AE215" s="212"/>
      <c r="AF215" s="132"/>
      <c r="AG215" s="132"/>
      <c r="AH215" s="132"/>
      <c r="AI215" s="132"/>
      <c r="AJ215" s="132"/>
      <c r="AK215" s="132"/>
      <c r="AL215" s="132"/>
      <c r="AM215" s="132"/>
      <c r="AN215" s="132"/>
      <c r="AO215" s="132"/>
      <c r="AP215" s="132"/>
      <c r="AQ215" s="132"/>
      <c r="AR215" s="132"/>
      <c r="AS215" s="132"/>
      <c r="AT215" s="132"/>
    </row>
    <row r="216" spans="31:46" x14ac:dyDescent="0.2">
      <c r="AF216" s="132"/>
      <c r="AG216" s="132"/>
      <c r="AH216" s="132"/>
      <c r="AI216" s="132"/>
      <c r="AJ216" s="132"/>
      <c r="AK216" s="132"/>
      <c r="AL216" s="132"/>
      <c r="AM216" s="132"/>
      <c r="AN216" s="132"/>
      <c r="AO216" s="132"/>
      <c r="AP216" s="132"/>
      <c r="AQ216" s="132"/>
      <c r="AR216" s="132"/>
      <c r="AS216" s="132"/>
      <c r="AT216" s="132"/>
    </row>
    <row r="217" spans="31:46" x14ac:dyDescent="0.2">
      <c r="AF217" s="132"/>
      <c r="AG217" s="132"/>
      <c r="AH217" s="132"/>
      <c r="AI217" s="132"/>
      <c r="AJ217" s="132"/>
      <c r="AK217" s="132"/>
      <c r="AL217" s="132"/>
      <c r="AM217" s="132"/>
      <c r="AN217" s="132"/>
      <c r="AO217" s="132"/>
      <c r="AP217" s="132"/>
      <c r="AQ217" s="132"/>
      <c r="AR217" s="132"/>
      <c r="AS217" s="132"/>
      <c r="AT217" s="132"/>
    </row>
    <row r="218" spans="31:46" x14ac:dyDescent="0.2">
      <c r="AF218" s="132"/>
      <c r="AG218" s="132"/>
      <c r="AH218" s="132"/>
      <c r="AI218" s="132"/>
      <c r="AJ218" s="132"/>
      <c r="AK218" s="132"/>
      <c r="AL218" s="132"/>
      <c r="AM218" s="132"/>
      <c r="AN218" s="132"/>
      <c r="AO218" s="132"/>
      <c r="AP218" s="132"/>
      <c r="AQ218" s="132"/>
      <c r="AR218" s="132"/>
      <c r="AS218" s="132"/>
      <c r="AT218" s="132"/>
    </row>
    <row r="219" spans="31:46" x14ac:dyDescent="0.2">
      <c r="AF219" s="132"/>
      <c r="AG219" s="132"/>
      <c r="AH219" s="132"/>
      <c r="AI219" s="132"/>
      <c r="AJ219" s="132"/>
      <c r="AK219" s="132"/>
      <c r="AL219" s="132"/>
      <c r="AM219" s="132"/>
      <c r="AN219" s="132"/>
      <c r="AO219" s="132"/>
      <c r="AP219" s="132"/>
      <c r="AQ219" s="132"/>
      <c r="AR219" s="132"/>
      <c r="AS219" s="132"/>
      <c r="AT219" s="132"/>
    </row>
    <row r="220" spans="31:46" x14ac:dyDescent="0.2">
      <c r="AF220" s="132"/>
      <c r="AG220" s="132"/>
      <c r="AH220" s="132"/>
      <c r="AI220" s="132"/>
      <c r="AJ220" s="132"/>
      <c r="AK220" s="132"/>
      <c r="AL220" s="132"/>
      <c r="AM220" s="132"/>
      <c r="AN220" s="132"/>
      <c r="AO220" s="132"/>
      <c r="AP220" s="132"/>
      <c r="AQ220" s="132"/>
      <c r="AR220" s="132"/>
      <c r="AS220" s="132"/>
      <c r="AT220" s="132"/>
    </row>
    <row r="221" spans="31:46" x14ac:dyDescent="0.2">
      <c r="AF221" s="132"/>
      <c r="AG221" s="132"/>
      <c r="AH221" s="132"/>
      <c r="AI221" s="132"/>
      <c r="AJ221" s="132"/>
      <c r="AK221" s="132"/>
      <c r="AL221" s="132"/>
      <c r="AM221" s="132"/>
      <c r="AN221" s="132"/>
      <c r="AO221" s="132"/>
      <c r="AP221" s="132"/>
      <c r="AQ221" s="132"/>
      <c r="AR221" s="132"/>
      <c r="AS221" s="132"/>
      <c r="AT221" s="132"/>
    </row>
    <row r="222" spans="31:46" x14ac:dyDescent="0.2">
      <c r="AF222" s="132"/>
      <c r="AG222" s="132"/>
      <c r="AH222" s="132"/>
      <c r="AI222" s="132"/>
      <c r="AJ222" s="132"/>
      <c r="AK222" s="132"/>
      <c r="AL222" s="132"/>
      <c r="AM222" s="132"/>
      <c r="AN222" s="132"/>
      <c r="AO222" s="132"/>
      <c r="AP222" s="132"/>
      <c r="AQ222" s="132"/>
      <c r="AR222" s="132"/>
      <c r="AS222" s="132"/>
      <c r="AT222" s="132"/>
    </row>
    <row r="223" spans="31:46" x14ac:dyDescent="0.2">
      <c r="AF223" s="132"/>
      <c r="AG223" s="132"/>
      <c r="AH223" s="132"/>
      <c r="AI223" s="132"/>
      <c r="AJ223" s="132"/>
      <c r="AK223" s="132"/>
      <c r="AL223" s="132"/>
      <c r="AM223" s="132"/>
      <c r="AN223" s="132"/>
      <c r="AO223" s="132"/>
      <c r="AP223" s="132"/>
      <c r="AQ223" s="132"/>
      <c r="AR223" s="132"/>
      <c r="AS223" s="132"/>
      <c r="AT223" s="132"/>
    </row>
    <row r="224" spans="31:46" x14ac:dyDescent="0.2">
      <c r="AF224" s="132"/>
      <c r="AG224" s="132"/>
      <c r="AH224" s="132"/>
      <c r="AI224" s="132"/>
      <c r="AJ224" s="132"/>
      <c r="AK224" s="132"/>
      <c r="AL224" s="132"/>
      <c r="AM224" s="132"/>
      <c r="AN224" s="132"/>
      <c r="AO224" s="132"/>
      <c r="AP224" s="132"/>
      <c r="AQ224" s="132"/>
      <c r="AR224" s="132"/>
      <c r="AS224" s="132"/>
      <c r="AT224" s="132"/>
    </row>
    <row r="225" spans="31:52" x14ac:dyDescent="0.2">
      <c r="AF225" s="132"/>
      <c r="AG225" s="132"/>
      <c r="AH225" s="132"/>
      <c r="AI225" s="132"/>
      <c r="AJ225" s="132"/>
      <c r="AK225" s="132"/>
      <c r="AL225" s="132"/>
      <c r="AM225" s="132"/>
      <c r="AN225" s="132"/>
      <c r="AO225" s="132"/>
      <c r="AP225" s="132"/>
      <c r="AQ225" s="132"/>
      <c r="AR225" s="132"/>
      <c r="AS225" s="132"/>
      <c r="AT225" s="132"/>
    </row>
    <row r="226" spans="31:52" x14ac:dyDescent="0.2">
      <c r="AF226" s="132"/>
      <c r="AG226" s="132"/>
      <c r="AH226" s="132"/>
      <c r="AI226" s="132"/>
      <c r="AJ226" s="132"/>
      <c r="AK226" s="132"/>
      <c r="AL226" s="132"/>
      <c r="AM226" s="132"/>
      <c r="AN226" s="132"/>
      <c r="AO226" s="132"/>
      <c r="AP226" s="132"/>
      <c r="AQ226" s="132"/>
      <c r="AR226" s="132"/>
      <c r="AS226" s="132"/>
      <c r="AT226" s="132"/>
    </row>
    <row r="227" spans="31:52" x14ac:dyDescent="0.2">
      <c r="AF227" s="132"/>
      <c r="AG227" s="132"/>
      <c r="AH227" s="132"/>
      <c r="AI227" s="132"/>
      <c r="AJ227" s="132"/>
      <c r="AK227" s="132"/>
      <c r="AL227" s="132"/>
      <c r="AM227" s="132"/>
      <c r="AN227" s="132"/>
      <c r="AO227" s="132"/>
      <c r="AP227" s="132"/>
      <c r="AQ227" s="132"/>
      <c r="AR227" s="132"/>
      <c r="AS227" s="132"/>
      <c r="AT227" s="132"/>
    </row>
    <row r="229" spans="31:52" x14ac:dyDescent="0.2">
      <c r="AE229" s="214"/>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row>
    <row r="230" spans="31:52" x14ac:dyDescent="0.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row>
    <row r="231" spans="31:52" x14ac:dyDescent="0.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row>
    <row r="232" spans="31:52" x14ac:dyDescent="0.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row>
    <row r="233" spans="31:52" x14ac:dyDescent="0.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row>
    <row r="234" spans="31:52" x14ac:dyDescent="0.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row>
    <row r="235" spans="31:52" x14ac:dyDescent="0.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row>
    <row r="236" spans="31:52" x14ac:dyDescent="0.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row>
    <row r="237" spans="31:52" x14ac:dyDescent="0.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row>
    <row r="238" spans="31:52" x14ac:dyDescent="0.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row>
    <row r="239" spans="31:52" x14ac:dyDescent="0.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row>
    <row r="240" spans="31:52" x14ac:dyDescent="0.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row>
    <row r="241" spans="31:52" x14ac:dyDescent="0.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row>
    <row r="242" spans="31:52" x14ac:dyDescent="0.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row>
    <row r="243" spans="31:52" x14ac:dyDescent="0.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row>
    <row r="244" spans="31:52" x14ac:dyDescent="0.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row>
    <row r="245" spans="31:52" x14ac:dyDescent="0.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row>
    <row r="246" spans="31:52" x14ac:dyDescent="0.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row>
    <row r="247" spans="31:52" x14ac:dyDescent="0.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row>
    <row r="248" spans="31:52" x14ac:dyDescent="0.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row>
    <row r="249" spans="31:52" x14ac:dyDescent="0.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row>
    <row r="250" spans="31:52" x14ac:dyDescent="0.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row>
    <row r="251" spans="31:52" x14ac:dyDescent="0.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row>
    <row r="252" spans="31:52" x14ac:dyDescent="0.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row>
    <row r="253" spans="31:52" x14ac:dyDescent="0.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row>
    <row r="255" spans="31:52" x14ac:dyDescent="0.2">
      <c r="AE255" s="215"/>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row>
    <row r="256" spans="31:52" x14ac:dyDescent="0.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row>
    <row r="257" spans="32:52" x14ac:dyDescent="0.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row>
    <row r="258" spans="32:52" x14ac:dyDescent="0.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row>
    <row r="259" spans="32:52" x14ac:dyDescent="0.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row>
    <row r="260" spans="32:52" x14ac:dyDescent="0.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row>
    <row r="261" spans="32:52" x14ac:dyDescent="0.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row>
    <row r="262" spans="32:52" x14ac:dyDescent="0.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row>
    <row r="263" spans="32:52" x14ac:dyDescent="0.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row>
    <row r="264" spans="32:52" x14ac:dyDescent="0.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row>
    <row r="265" spans="32:52" x14ac:dyDescent="0.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row>
    <row r="266" spans="32:52" x14ac:dyDescent="0.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row>
    <row r="267" spans="32:52" x14ac:dyDescent="0.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row>
    <row r="268" spans="32:52" x14ac:dyDescent="0.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row>
    <row r="269" spans="32:52" x14ac:dyDescent="0.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row>
    <row r="270" spans="32:52" x14ac:dyDescent="0.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row>
    <row r="271" spans="32:52" x14ac:dyDescent="0.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row>
    <row r="272" spans="32:52" x14ac:dyDescent="0.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row>
    <row r="273" spans="31:52" x14ac:dyDescent="0.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row>
    <row r="274" spans="31:52" x14ac:dyDescent="0.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row>
    <row r="275" spans="31:52" x14ac:dyDescent="0.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row>
    <row r="276" spans="31:52" x14ac:dyDescent="0.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row>
    <row r="277" spans="31:52" x14ac:dyDescent="0.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row>
    <row r="278" spans="31:52" x14ac:dyDescent="0.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row>
    <row r="279" spans="31:52" x14ac:dyDescent="0.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row>
    <row r="281" spans="31:52" x14ac:dyDescent="0.2">
      <c r="AE281" s="215"/>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row>
    <row r="282" spans="31:52" x14ac:dyDescent="0.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row>
    <row r="283" spans="31:52" x14ac:dyDescent="0.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row>
    <row r="284" spans="31:52" x14ac:dyDescent="0.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row>
    <row r="285" spans="31:52" x14ac:dyDescent="0.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row>
    <row r="286" spans="31:52" x14ac:dyDescent="0.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row>
    <row r="287" spans="31:52" x14ac:dyDescent="0.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row>
    <row r="288" spans="31:52" x14ac:dyDescent="0.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row>
    <row r="289" spans="32:52" x14ac:dyDescent="0.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row>
    <row r="290" spans="32:52" x14ac:dyDescent="0.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row>
    <row r="291" spans="32:52" x14ac:dyDescent="0.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row>
    <row r="292" spans="32:52" x14ac:dyDescent="0.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row>
    <row r="293" spans="32:52" x14ac:dyDescent="0.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row>
    <row r="294" spans="32:52" x14ac:dyDescent="0.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row>
    <row r="295" spans="32:52" x14ac:dyDescent="0.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row>
    <row r="296" spans="32:52" x14ac:dyDescent="0.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row>
    <row r="297" spans="32:52" x14ac:dyDescent="0.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row>
    <row r="298" spans="32:52" x14ac:dyDescent="0.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row>
    <row r="299" spans="32:52" x14ac:dyDescent="0.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row>
    <row r="300" spans="32:52" x14ac:dyDescent="0.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row>
    <row r="301" spans="32:52" x14ac:dyDescent="0.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row>
    <row r="302" spans="32:52" x14ac:dyDescent="0.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row>
    <row r="303" spans="32:52" x14ac:dyDescent="0.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row>
    <row r="304" spans="32:52" x14ac:dyDescent="0.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row>
    <row r="305" spans="32:52" x14ac:dyDescent="0.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row>
  </sheetData>
  <sheetProtection algorithmName="SHA-512" hashValue="vc36ZTGLHpeUnZKHtAqxzQySnk4ijanISGhVuqPVRZ3divFKBqhKxaqngHniXhlfqvkdFadH9kQbP8HYtR16Xw==" saltValue="rsbf7XA62UsHbXJSeGuggA==" spinCount="100000" sheet="1" objects="1" scenarios="1"/>
  <mergeCells count="222">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N21:O21"/>
    <mergeCell ref="P21:Q21"/>
    <mergeCell ref="R21:S21"/>
    <mergeCell ref="T21:U21"/>
    <mergeCell ref="AH21:AI21"/>
    <mergeCell ref="AJ21:AK21"/>
    <mergeCell ref="AL21:AM21"/>
    <mergeCell ref="AX19:BA20"/>
    <mergeCell ref="G20:J20"/>
    <mergeCell ref="K20:N20"/>
    <mergeCell ref="O20:R20"/>
    <mergeCell ref="S20:V20"/>
    <mergeCell ref="W20:Z20"/>
    <mergeCell ref="AA20:AD20"/>
    <mergeCell ref="AE20:AH20"/>
    <mergeCell ref="AI20:AL20"/>
    <mergeCell ref="AM20:AP20"/>
    <mergeCell ref="E24:H24"/>
    <mergeCell ref="I24:L24"/>
    <mergeCell ref="M24:P24"/>
    <mergeCell ref="Q24:T24"/>
    <mergeCell ref="U24:X24"/>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H21:I21"/>
    <mergeCell ref="L21:M21"/>
    <mergeCell ref="E23:H23"/>
    <mergeCell ref="I23:L23"/>
    <mergeCell ref="M23:P23"/>
    <mergeCell ref="Q23:T23"/>
    <mergeCell ref="U23:X23"/>
    <mergeCell ref="Y23:AB23"/>
    <mergeCell ref="AC23:AF23"/>
    <mergeCell ref="AG23:AJ23"/>
    <mergeCell ref="AK23:AN23"/>
    <mergeCell ref="AK25:AN25"/>
    <mergeCell ref="AO25:AR25"/>
    <mergeCell ref="AX25:AZ26"/>
    <mergeCell ref="AC26:AF26"/>
    <mergeCell ref="AG26:AJ26"/>
    <mergeCell ref="AK26:AN26"/>
    <mergeCell ref="AO26:AR26"/>
    <mergeCell ref="Y24:AB24"/>
    <mergeCell ref="AC24:AF24"/>
    <mergeCell ref="AG24:AJ24"/>
    <mergeCell ref="AK24:AN24"/>
    <mergeCell ref="AO24:AR24"/>
    <mergeCell ref="AX22:BA24"/>
    <mergeCell ref="AO23:AR23"/>
    <mergeCell ref="E26:H26"/>
    <mergeCell ref="I26:L26"/>
    <mergeCell ref="M26:P26"/>
    <mergeCell ref="Q26:T26"/>
    <mergeCell ref="U26:X26"/>
    <mergeCell ref="Y26:AB26"/>
    <mergeCell ref="Y25:AB25"/>
    <mergeCell ref="AC25:AF25"/>
    <mergeCell ref="AG25:AJ25"/>
    <mergeCell ref="E25:H25"/>
    <mergeCell ref="I25:L25"/>
    <mergeCell ref="M25:P25"/>
    <mergeCell ref="Q25:T25"/>
    <mergeCell ref="U25:X25"/>
    <mergeCell ref="AC28:AF28"/>
    <mergeCell ref="AG28:AJ28"/>
    <mergeCell ref="AK28:AN28"/>
    <mergeCell ref="AO28:AR28"/>
    <mergeCell ref="AW30:BA32"/>
    <mergeCell ref="AX33:AY33"/>
    <mergeCell ref="E28:H28"/>
    <mergeCell ref="I28:L28"/>
    <mergeCell ref="M28:P28"/>
    <mergeCell ref="Q28:T28"/>
    <mergeCell ref="U28:X28"/>
    <mergeCell ref="Y28:AB28"/>
    <mergeCell ref="AL39:AS39"/>
    <mergeCell ref="AX39:AY39"/>
    <mergeCell ref="Z40:Z41"/>
    <mergeCell ref="AG40:AL40"/>
    <mergeCell ref="AM40:AR40"/>
    <mergeCell ref="AX40:AY40"/>
    <mergeCell ref="AX41:AY41"/>
    <mergeCell ref="AX34:AY34"/>
    <mergeCell ref="AX35:AY35"/>
    <mergeCell ref="AX36:AY36"/>
    <mergeCell ref="AX37:AY37"/>
    <mergeCell ref="AF38:AL38"/>
    <mergeCell ref="AM38:AN38"/>
    <mergeCell ref="AX38:AY38"/>
    <mergeCell ref="I46:K46"/>
    <mergeCell ref="Z46:Z54"/>
    <mergeCell ref="AM46:AS46"/>
    <mergeCell ref="I47:K47"/>
    <mergeCell ref="AM47:AS47"/>
    <mergeCell ref="I48:K48"/>
    <mergeCell ref="AF48:AL50"/>
    <mergeCell ref="Z42:Z45"/>
    <mergeCell ref="AX42:AY42"/>
    <mergeCell ref="AM43:AQ43"/>
    <mergeCell ref="AR43:AS43"/>
    <mergeCell ref="P44:S45"/>
    <mergeCell ref="AO44:AS44"/>
    <mergeCell ref="T45:U45"/>
    <mergeCell ref="AM45:AS45"/>
    <mergeCell ref="F72:I72"/>
    <mergeCell ref="L72:O72"/>
    <mergeCell ref="R72:U72"/>
    <mergeCell ref="X72:AA72"/>
    <mergeCell ref="AW48:AX48"/>
    <mergeCell ref="I49:K49"/>
    <mergeCell ref="AM49:AP49"/>
    <mergeCell ref="AE53:AG53"/>
    <mergeCell ref="AI53:AJ53"/>
    <mergeCell ref="AK53:AL53"/>
    <mergeCell ref="AM53:AN53"/>
    <mergeCell ref="AP53:AQ53"/>
    <mergeCell ref="AW76:AW80"/>
    <mergeCell ref="AX76:AX80"/>
    <mergeCell ref="AN78:AP78"/>
    <mergeCell ref="AN79:AP79"/>
    <mergeCell ref="AN80:AS80"/>
    <mergeCell ref="AE84:AL84"/>
    <mergeCell ref="AE55:AN55"/>
    <mergeCell ref="AO55:AP55"/>
    <mergeCell ref="AI57:AS57"/>
    <mergeCell ref="AE70:AL70"/>
    <mergeCell ref="AN70:AS70"/>
    <mergeCell ref="AE90:AS92"/>
    <mergeCell ref="Z91:AB93"/>
    <mergeCell ref="H96:K96"/>
    <mergeCell ref="O96:R96"/>
    <mergeCell ref="V96:Y96"/>
    <mergeCell ref="AQ96:AR96"/>
    <mergeCell ref="H85:K85"/>
    <mergeCell ref="O85:R85"/>
    <mergeCell ref="V85:Y85"/>
    <mergeCell ref="AE85:AL85"/>
    <mergeCell ref="AP86:AR86"/>
    <mergeCell ref="Z87:AB89"/>
    <mergeCell ref="AM87:AO87"/>
    <mergeCell ref="AM88:AR88"/>
    <mergeCell ref="T112:Y112"/>
    <mergeCell ref="T114:U114"/>
    <mergeCell ref="E116:R118"/>
    <mergeCell ref="AW96:AX96"/>
    <mergeCell ref="C98:AO98"/>
    <mergeCell ref="T104:U104"/>
    <mergeCell ref="T106:U106"/>
    <mergeCell ref="T108:U108"/>
    <mergeCell ref="T110:Y110"/>
  </mergeCells>
  <conditionalFormatting sqref="AG45:AL45">
    <cfRule type="expression" dxfId="956" priority="282">
      <formula>$AC$43="x"</formula>
    </cfRule>
  </conditionalFormatting>
  <conditionalFormatting sqref="AO44:AS44">
    <cfRule type="expression" dxfId="955" priority="281">
      <formula>$AK$42="x"</formula>
    </cfRule>
  </conditionalFormatting>
  <conditionalFormatting sqref="AP7:AS7">
    <cfRule type="expression" dxfId="954" priority="280">
      <formula>$AM$5&gt;0</formula>
    </cfRule>
  </conditionalFormatting>
  <conditionalFormatting sqref="E28:AR28">
    <cfRule type="expression" dxfId="953" priority="265">
      <formula>AND($A$28&lt;&gt;"",F$10&lt;&gt;"")</formula>
    </cfRule>
  </conditionalFormatting>
  <conditionalFormatting sqref="F72:I72">
    <cfRule type="expression" dxfId="952" priority="304">
      <formula>$F$72=""</formula>
    </cfRule>
  </conditionalFormatting>
  <conditionalFormatting sqref="H85:K85">
    <cfRule type="expression" dxfId="951" priority="271">
      <formula>$H$85=""</formula>
    </cfRule>
  </conditionalFormatting>
  <conditionalFormatting sqref="O85:R85">
    <cfRule type="expression" dxfId="950" priority="302">
      <formula>$O$85=""</formula>
    </cfRule>
  </conditionalFormatting>
  <conditionalFormatting sqref="V85:Y85">
    <cfRule type="expression" dxfId="949" priority="270">
      <formula>$V$85=""</formula>
    </cfRule>
  </conditionalFormatting>
  <conditionalFormatting sqref="O96:R96">
    <cfRule type="expression" dxfId="948" priority="268">
      <formula>$O$96=""</formula>
    </cfRule>
  </conditionalFormatting>
  <conditionalFormatting sqref="AM49:AP49">
    <cfRule type="expression" dxfId="947" priority="164">
      <formula>$AM$49=""</formula>
    </cfRule>
  </conditionalFormatting>
  <conditionalFormatting sqref="AH54">
    <cfRule type="expression" dxfId="946" priority="283">
      <formula>$AE$53=0</formula>
    </cfRule>
  </conditionalFormatting>
  <conditionalFormatting sqref="L72:O72">
    <cfRule type="expression" dxfId="945" priority="274">
      <formula>$L$72=""</formula>
    </cfRule>
  </conditionalFormatting>
  <conditionalFormatting sqref="R72:U72">
    <cfRule type="expression" dxfId="944" priority="273">
      <formula>$R$72=""</formula>
    </cfRule>
  </conditionalFormatting>
  <conditionalFormatting sqref="X72:AA72">
    <cfRule type="expression" dxfId="943" priority="272">
      <formula>$X$72=""</formula>
    </cfRule>
  </conditionalFormatting>
  <conditionalFormatting sqref="AT5">
    <cfRule type="expression" dxfId="942" priority="138">
      <formula>$AT$5=1</formula>
    </cfRule>
  </conditionalFormatting>
  <conditionalFormatting sqref="AM43:AQ43">
    <cfRule type="expression" dxfId="941" priority="167">
      <formula>$AM$43=""</formula>
    </cfRule>
  </conditionalFormatting>
  <conditionalFormatting sqref="AR43:AS43">
    <cfRule type="expression" dxfId="940" priority="137">
      <formula>$AR$43=""</formula>
    </cfRule>
  </conditionalFormatting>
  <conditionalFormatting sqref="AM45:AS45">
    <cfRule type="expression" dxfId="939" priority="166">
      <formula>$AM$45=""</formula>
    </cfRule>
  </conditionalFormatting>
  <conditionalFormatting sqref="AE70:AL70">
    <cfRule type="expression" dxfId="938" priority="148">
      <formula>$AE$70=""</formula>
    </cfRule>
  </conditionalFormatting>
  <conditionalFormatting sqref="AN70:AS70">
    <cfRule type="expression" dxfId="937" priority="133">
      <formula>$AN$70=""</formula>
    </cfRule>
  </conditionalFormatting>
  <conditionalFormatting sqref="AO55:AP55">
    <cfRule type="expression" dxfId="936" priority="45">
      <formula>$AT$52=1</formula>
    </cfRule>
    <cfRule type="expression" dxfId="935" priority="131">
      <formula>$AO$55=""</formula>
    </cfRule>
  </conditionalFormatting>
  <conditionalFormatting sqref="AN80:AS80">
    <cfRule type="expression" dxfId="934" priority="128">
      <formula>$AN$80=""</formula>
    </cfRule>
  </conditionalFormatting>
  <conditionalFormatting sqref="H96:K96">
    <cfRule type="expression" dxfId="933" priority="288">
      <formula>$H$96=""</formula>
    </cfRule>
  </conditionalFormatting>
  <conditionalFormatting sqref="AM88:AR88">
    <cfRule type="expression" dxfId="932" priority="121">
      <formula>$AM$88=""</formula>
    </cfRule>
  </conditionalFormatting>
  <conditionalFormatting sqref="Y5:AF5">
    <cfRule type="expression" dxfId="931" priority="259">
      <formula>$Y$5=""</formula>
    </cfRule>
  </conditionalFormatting>
  <conditionalFormatting sqref="Y6:AF6">
    <cfRule type="expression" dxfId="930" priority="117">
      <formula>$Y$6=""</formula>
    </cfRule>
  </conditionalFormatting>
  <conditionalFormatting sqref="Y7:AF7">
    <cfRule type="expression" dxfId="929" priority="116">
      <formula>$Y$7=""</formula>
    </cfRule>
  </conditionalFormatting>
  <conditionalFormatting sqref="AJ5:AL5">
    <cfRule type="expression" dxfId="928" priority="255">
      <formula>$AJ$5=""</formula>
    </cfRule>
  </conditionalFormatting>
  <conditionalFormatting sqref="AJ6:AL6">
    <cfRule type="expression" dxfId="927" priority="114">
      <formula>$AJ$6=""</formula>
    </cfRule>
  </conditionalFormatting>
  <conditionalFormatting sqref="AJ7:AL7">
    <cfRule type="expression" dxfId="926" priority="113">
      <formula>$AJ$7=""</formula>
    </cfRule>
  </conditionalFormatting>
  <conditionalFormatting sqref="I49:K49">
    <cfRule type="expression" dxfId="925" priority="112">
      <formula>$I$49=""</formula>
    </cfRule>
  </conditionalFormatting>
  <conditionalFormatting sqref="T45:U45">
    <cfRule type="expression" dxfId="924" priority="111">
      <formula>$T$45=""</formula>
    </cfRule>
  </conditionalFormatting>
  <conditionalFormatting sqref="Z42:Z45">
    <cfRule type="expression" dxfId="923" priority="110">
      <formula>$Z$42=""</formula>
    </cfRule>
  </conditionalFormatting>
  <conditionalFormatting sqref="AX33:AY42">
    <cfRule type="expression" dxfId="922" priority="108">
      <formula>AW33=""</formula>
    </cfRule>
  </conditionalFormatting>
  <conditionalFormatting sqref="A9:A11">
    <cfRule type="expression" dxfId="921" priority="49">
      <formula>$C$11&lt;36</formula>
    </cfRule>
  </conditionalFormatting>
  <conditionalFormatting sqref="A28">
    <cfRule type="expression" dxfId="920" priority="106">
      <formula>$E$28&gt;0</formula>
    </cfRule>
  </conditionalFormatting>
  <conditionalFormatting sqref="AX33:AY42">
    <cfRule type="expression" dxfId="919" priority="109">
      <formula>AX33=""</formula>
    </cfRule>
  </conditionalFormatting>
  <conditionalFormatting sqref="R112:Y114">
    <cfRule type="expression" dxfId="918" priority="56">
      <formula>$T$110=""</formula>
    </cfRule>
  </conditionalFormatting>
  <conditionalFormatting sqref="AE53:AG53">
    <cfRule type="expression" dxfId="917" priority="46">
      <formula>$AT$52=1</formula>
    </cfRule>
    <cfRule type="expression" dxfId="916" priority="83">
      <formula>$AE$53=0</formula>
    </cfRule>
  </conditionalFormatting>
  <conditionalFormatting sqref="AW48:AX48">
    <cfRule type="expression" dxfId="915" priority="82">
      <formula>$AW$48=""</formula>
    </cfRule>
  </conditionalFormatting>
  <conditionalFormatting sqref="AE84:AL84">
    <cfRule type="expression" dxfId="914" priority="74">
      <formula>$AE$84=""</formula>
    </cfRule>
  </conditionalFormatting>
  <conditionalFormatting sqref="AB102:AB120">
    <cfRule type="expression" dxfId="913" priority="72">
      <formula>$T$104&lt;&gt;105</formula>
    </cfRule>
  </conditionalFormatting>
  <conditionalFormatting sqref="AB120:AG120">
    <cfRule type="expression" dxfId="912" priority="71">
      <formula>$T$104&lt;&gt;105</formula>
    </cfRule>
  </conditionalFormatting>
  <conditionalFormatting sqref="AG102:AG120">
    <cfRule type="expression" dxfId="911" priority="70">
      <formula>AND($T$104&lt;&gt;105,$T$104&lt;&gt;85)</formula>
    </cfRule>
  </conditionalFormatting>
  <conditionalFormatting sqref="AB102:AG102">
    <cfRule type="expression" dxfId="910" priority="69">
      <formula>$T$104&lt;&gt;105</formula>
    </cfRule>
  </conditionalFormatting>
  <conditionalFormatting sqref="AH120:AM120">
    <cfRule type="expression" dxfId="909" priority="68">
      <formula>$T$104&lt;&gt;85</formula>
    </cfRule>
  </conditionalFormatting>
  <conditionalFormatting sqref="AH102:AM102">
    <cfRule type="expression" dxfId="908" priority="67">
      <formula>$T$104&lt;&gt;85</formula>
    </cfRule>
  </conditionalFormatting>
  <conditionalFormatting sqref="AN102:AN120">
    <cfRule type="expression" dxfId="907" priority="66">
      <formula>AND($T$104&lt;&gt;85,$T$104&lt;&gt;110)</formula>
    </cfRule>
  </conditionalFormatting>
  <conditionalFormatting sqref="AN120:AT120">
    <cfRule type="expression" dxfId="906" priority="65">
      <formula>$T$104&lt;&gt;110</formula>
    </cfRule>
  </conditionalFormatting>
  <conditionalFormatting sqref="AT102:AT120">
    <cfRule type="expression" dxfId="905" priority="64">
      <formula>$T$104&lt;&gt;110</formula>
    </cfRule>
  </conditionalFormatting>
  <conditionalFormatting sqref="AN102:AT102">
    <cfRule type="expression" dxfId="904" priority="63">
      <formula>$T$104&lt;&gt;110</formula>
    </cfRule>
  </conditionalFormatting>
  <conditionalFormatting sqref="T104:U104">
    <cfRule type="expression" dxfId="903" priority="62">
      <formula>$T$104=""</formula>
    </cfRule>
  </conditionalFormatting>
  <conditionalFormatting sqref="T106:U106">
    <cfRule type="expression" dxfId="902" priority="61">
      <formula>$T$106=""</formula>
    </cfRule>
  </conditionalFormatting>
  <conditionalFormatting sqref="T108:U108">
    <cfRule type="expression" dxfId="901" priority="60">
      <formula>$T$108=""</formula>
    </cfRule>
  </conditionalFormatting>
  <conditionalFormatting sqref="T114:U114">
    <cfRule type="expression" dxfId="900" priority="59">
      <formula>$T$114=""</formula>
    </cfRule>
  </conditionalFormatting>
  <conditionalFormatting sqref="T110:Y110">
    <cfRule type="expression" dxfId="899" priority="57">
      <formula>$T$110=""</formula>
    </cfRule>
  </conditionalFormatting>
  <conditionalFormatting sqref="T112:Y112">
    <cfRule type="expression" dxfId="898" priority="58">
      <formula>$T$112=""</formula>
    </cfRule>
  </conditionalFormatting>
  <conditionalFormatting sqref="AI57:AS57">
    <cfRule type="expression" dxfId="897" priority="163">
      <formula>$AI$57=""</formula>
    </cfRule>
  </conditionalFormatting>
  <conditionalFormatting sqref="AX25:AZ26">
    <cfRule type="expression" dxfId="896" priority="51">
      <formula>$AX$25=""</formula>
    </cfRule>
  </conditionalFormatting>
  <conditionalFormatting sqref="AM87:AO87">
    <cfRule type="expression" dxfId="895" priority="47">
      <formula>$AM$87=""</formula>
    </cfRule>
  </conditionalFormatting>
  <conditionalFormatting sqref="AT52">
    <cfRule type="expression" dxfId="894" priority="44">
      <formula>$AT$52=1</formula>
    </cfRule>
  </conditionalFormatting>
  <conditionalFormatting sqref="AX76:AX80">
    <cfRule type="expression" dxfId="893" priority="41">
      <formula>$AN$80=""</formula>
    </cfRule>
  </conditionalFormatting>
  <conditionalFormatting sqref="AB62">
    <cfRule type="expression" dxfId="892" priority="40">
      <formula>$AB$62&gt;0</formula>
    </cfRule>
  </conditionalFormatting>
  <conditionalFormatting sqref="AB73">
    <cfRule type="expression" dxfId="891" priority="39">
      <formula>$AB$73&gt;0</formula>
    </cfRule>
  </conditionalFormatting>
  <conditionalFormatting sqref="M6:Q6">
    <cfRule type="expression" dxfId="890" priority="319">
      <formula>$M$6=""</formula>
    </cfRule>
  </conditionalFormatting>
  <conditionalFormatting sqref="AN78:AP78">
    <cfRule type="expression" dxfId="889" priority="130">
      <formula>$AN$78=""</formula>
    </cfRule>
  </conditionalFormatting>
  <conditionalFormatting sqref="AN79:AP79">
    <cfRule type="expression" dxfId="888" priority="129">
      <formula>$AN$79=""</formula>
    </cfRule>
  </conditionalFormatting>
  <conditionalFormatting sqref="AM46:AS46">
    <cfRule type="expression" dxfId="887" priority="134">
      <formula>$AM$46=""</formula>
    </cfRule>
  </conditionalFormatting>
  <conditionalFormatting sqref="AM47:AS47">
    <cfRule type="expression" dxfId="886" priority="32">
      <formula>$AM$47=""</formula>
    </cfRule>
  </conditionalFormatting>
  <conditionalFormatting sqref="AQ96:AR96">
    <cfRule type="expression" dxfId="885" priority="18">
      <formula>$AQ$96=""</formula>
    </cfRule>
  </conditionalFormatting>
  <conditionalFormatting sqref="BD2:BI10">
    <cfRule type="expression" dxfId="884" priority="9">
      <formula>$AW$2=""</formula>
    </cfRule>
  </conditionalFormatting>
  <conditionalFormatting sqref="AZ9:BA9">
    <cfRule type="expression" dxfId="883" priority="6">
      <formula>$AZ$9=""</formula>
    </cfRule>
  </conditionalFormatting>
  <conditionalFormatting sqref="AZ10:BA10">
    <cfRule type="expression" dxfId="882" priority="5">
      <formula>$AZ$10=""</formula>
    </cfRule>
  </conditionalFormatting>
  <dataValidations count="8">
    <dataValidation type="whole" allowBlank="1" showInputMessage="1" showErrorMessage="1" sqref="J58:M59 I46:K49" xr:uid="{524C2941-E33C-4268-B3DD-195437BE9167}">
      <formula1>0</formula1>
      <formula2>100000</formula2>
    </dataValidation>
    <dataValidation type="custom" operator="equal" allowBlank="1" showInputMessage="1" showErrorMessage="1" sqref="AA60 E33:E34 E40:E41 Q40:Q41 E6:E7 AN33 AN44 AA47:AA49" xr:uid="{D5D3D6B5-8D90-4EEC-A58A-3BC4567D129A}">
      <formula1>E6="X"</formula1>
    </dataValidation>
    <dataValidation type="whole" allowBlank="1" showInputMessage="1" showErrorMessage="1" sqref="H21:I21 AJ21:AK21 L21:M21 P21:Q21 T21:U21 X21:Y21 AB21:AC21 AF21:AG21 AN21:AO21" xr:uid="{8E033B9C-B50F-4475-9199-D08ECF0CFA82}">
      <formula1>0</formula1>
      <formula2>360</formula2>
    </dataValidation>
    <dataValidation type="whole" allowBlank="1" showInputMessage="1" showErrorMessage="1" sqref="E28:AR28 Z42:Z45" xr:uid="{9552C881-9600-4619-B97C-48D664F1F88B}">
      <formula1>0</formula1>
      <formula2>10000</formula2>
    </dataValidation>
    <dataValidation type="whole" allowBlank="1" showInputMessage="1" showErrorMessage="1" sqref="T45:U45" xr:uid="{EA33CC75-0DD4-4CA1-9534-773DBC775D1D}">
      <formula1>0</formula1>
      <formula2>3000</formula2>
    </dataValidation>
    <dataValidation type="date" operator="greaterThanOrEqual" allowBlank="1" showInputMessage="1" showErrorMessage="1" sqref="Y7:AF7" xr:uid="{201F75AF-3936-44A6-8D0F-6C1CF959E512}">
      <formula1>TODAY()-3</formula1>
    </dataValidation>
    <dataValidation type="whole" operator="equal" allowBlank="1" showInputMessage="1" showErrorMessage="1" sqref="AB62 AB73" xr:uid="{92C173AE-0624-4436-8059-B53113C3065C}">
      <formula1>1</formula1>
    </dataValidation>
    <dataValidation type="whole" allowBlank="1" showInputMessage="1" showErrorMessage="1" sqref="AJ6:AL6" xr:uid="{C6AEAA04-E1D2-40BB-A461-F181F181D9EF}">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1266"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1267"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1268"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1269"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1270"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1271"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1272"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1273"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1274"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1275" r:id="rId14" name="Check Box 11">
              <controlPr locked="0" defaultSize="0" autoFill="0" autoLine="0" autoPict="0">
                <anchor moveWithCells="1">
                  <from>
                    <xdr:col>40</xdr:col>
                    <xdr:colOff>0</xdr:colOff>
                    <xdr:row>32</xdr:row>
                    <xdr:rowOff>0</xdr:rowOff>
                  </from>
                  <to>
                    <xdr:col>41</xdr:col>
                    <xdr:colOff>0</xdr:colOff>
                    <xdr:row>33</xdr:row>
                    <xdr:rowOff>0</xdr:rowOff>
                  </to>
                </anchor>
              </controlPr>
            </control>
          </mc:Choice>
        </mc:AlternateContent>
        <mc:AlternateContent xmlns:mc="http://schemas.openxmlformats.org/markup-compatibility/2006">
          <mc:Choice Requires="x14">
            <control shapeId="11276" r:id="rId15" name="Check Box 12">
              <controlPr locked="0" defaultSize="0" autoFill="0" autoLine="0" autoPict="0">
                <anchor moveWithCells="1">
                  <from>
                    <xdr:col>42</xdr:col>
                    <xdr:colOff>0</xdr:colOff>
                    <xdr:row>4</xdr:row>
                    <xdr:rowOff>0</xdr:rowOff>
                  </from>
                  <to>
                    <xdr:col>43</xdr:col>
                    <xdr:colOff>0</xdr:colOff>
                    <xdr:row>4</xdr:row>
                    <xdr:rowOff>171450</xdr:rowOff>
                  </to>
                </anchor>
              </controlPr>
            </control>
          </mc:Choice>
        </mc:AlternateContent>
        <mc:AlternateContent xmlns:mc="http://schemas.openxmlformats.org/markup-compatibility/2006">
          <mc:Choice Requires="x14">
            <control shapeId="11277"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1278" r:id="rId17" name="Check Box 14">
              <controlPr locked="0" defaultSize="0" autoFill="0" autoLine="0" autoPict="0">
                <anchor moveWithCells="1">
                  <from>
                    <xdr:col>42</xdr:col>
                    <xdr:colOff>0</xdr:colOff>
                    <xdr:row>6</xdr:row>
                    <xdr:rowOff>0</xdr:rowOff>
                  </from>
                  <to>
                    <xdr:col>43</xdr:col>
                    <xdr:colOff>0</xdr:colOff>
                    <xdr:row>7</xdr:row>
                    <xdr:rowOff>19050</xdr:rowOff>
                  </to>
                </anchor>
              </controlPr>
            </control>
          </mc:Choice>
        </mc:AlternateContent>
        <mc:AlternateContent xmlns:mc="http://schemas.openxmlformats.org/markup-compatibility/2006">
          <mc:Choice Requires="x14">
            <control shapeId="11279" r:id="rId18" name="Check Box 15">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1280" r:id="rId19" name="Check Box 16">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1281" r:id="rId20" name="Check Box 17">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1282" r:id="rId21" name="Check Box 18">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1283" r:id="rId22" name="Check Box 19">
              <controlPr locked="0" defaultSize="0" autoFill="0" autoLine="0" autoPict="0">
                <anchor moveWithCells="1">
                  <from>
                    <xdr:col>6</xdr:col>
                    <xdr:colOff>9525</xdr:colOff>
                    <xdr:row>43</xdr:row>
                    <xdr:rowOff>57150</xdr:rowOff>
                  </from>
                  <to>
                    <xdr:col>7</xdr:col>
                    <xdr:colOff>38100</xdr:colOff>
                    <xdr:row>44</xdr:row>
                    <xdr:rowOff>57150</xdr:rowOff>
                  </to>
                </anchor>
              </controlPr>
            </control>
          </mc:Choice>
        </mc:AlternateContent>
        <mc:AlternateContent xmlns:mc="http://schemas.openxmlformats.org/markup-compatibility/2006">
          <mc:Choice Requires="x14">
            <control shapeId="11284" r:id="rId23" name="Check Box 20">
              <controlPr locked="0" defaultSize="0" autoFill="0" autoLine="0" autoPict="0">
                <anchor moveWithCells="1">
                  <from>
                    <xdr:col>11</xdr:col>
                    <xdr:colOff>152400</xdr:colOff>
                    <xdr:row>43</xdr:row>
                    <xdr:rowOff>57150</xdr:rowOff>
                  </from>
                  <to>
                    <xdr:col>12</xdr:col>
                    <xdr:colOff>152400</xdr:colOff>
                    <xdr:row>44</xdr:row>
                    <xdr:rowOff>47625</xdr:rowOff>
                  </to>
                </anchor>
              </controlPr>
            </control>
          </mc:Choice>
        </mc:AlternateContent>
        <mc:AlternateContent xmlns:mc="http://schemas.openxmlformats.org/markup-compatibility/2006">
          <mc:Choice Requires="x14">
            <control shapeId="11285" r:id="rId24" name="Check Box 21">
              <controlPr locked="0" defaultSize="0" autoFill="0" autoLine="0" autoPict="0">
                <anchor moveWithCells="1">
                  <from>
                    <xdr:col>8</xdr:col>
                    <xdr:colOff>47625</xdr:colOff>
                    <xdr:row>52</xdr:row>
                    <xdr:rowOff>114300</xdr:rowOff>
                  </from>
                  <to>
                    <xdr:col>9</xdr:col>
                    <xdr:colOff>47625</xdr:colOff>
                    <xdr:row>53</xdr:row>
                    <xdr:rowOff>114300</xdr:rowOff>
                  </to>
                </anchor>
              </controlPr>
            </control>
          </mc:Choice>
        </mc:AlternateContent>
        <mc:AlternateContent xmlns:mc="http://schemas.openxmlformats.org/markup-compatibility/2006">
          <mc:Choice Requires="x14">
            <control shapeId="11286" r:id="rId25" name="Check Box 22">
              <controlPr locked="0" defaultSize="0" autoFill="0" autoLine="0" autoPict="0">
                <anchor moveWithCells="1">
                  <from>
                    <xdr:col>9</xdr:col>
                    <xdr:colOff>76200</xdr:colOff>
                    <xdr:row>52</xdr:row>
                    <xdr:rowOff>114300</xdr:rowOff>
                  </from>
                  <to>
                    <xdr:col>10</xdr:col>
                    <xdr:colOff>76200</xdr:colOff>
                    <xdr:row>53</xdr:row>
                    <xdr:rowOff>114300</xdr:rowOff>
                  </to>
                </anchor>
              </controlPr>
            </control>
          </mc:Choice>
        </mc:AlternateContent>
        <mc:AlternateContent xmlns:mc="http://schemas.openxmlformats.org/markup-compatibility/2006">
          <mc:Choice Requires="x14">
            <control shapeId="11287" r:id="rId26" name="Check Box 23">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1288" r:id="rId27" name="Check Box 24">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1289" r:id="rId28" name="Check Box 25">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1290" r:id="rId29" name="Check Box 26">
              <controlPr locked="0" defaultSize="0" autoFill="0" autoLine="0" autoPict="0">
                <anchor moveWithCells="1">
                  <from>
                    <xdr:col>34</xdr:col>
                    <xdr:colOff>0</xdr:colOff>
                    <xdr:row>62</xdr:row>
                    <xdr:rowOff>0</xdr:rowOff>
                  </from>
                  <to>
                    <xdr:col>35</xdr:col>
                    <xdr:colOff>9525</xdr:colOff>
                    <xdr:row>63</xdr:row>
                    <xdr:rowOff>9525</xdr:rowOff>
                  </to>
                </anchor>
              </controlPr>
            </control>
          </mc:Choice>
        </mc:AlternateContent>
        <mc:AlternateContent xmlns:mc="http://schemas.openxmlformats.org/markup-compatibility/2006">
          <mc:Choice Requires="x14">
            <control shapeId="11291" r:id="rId30" name="Check Box 27">
              <controlPr locked="0" defaultSize="0" autoFill="0" autoLine="0" autoPict="0">
                <anchor moveWithCells="1">
                  <from>
                    <xdr:col>37</xdr:col>
                    <xdr:colOff>161925</xdr:colOff>
                    <xdr:row>62</xdr:row>
                    <xdr:rowOff>0</xdr:rowOff>
                  </from>
                  <to>
                    <xdr:col>38</xdr:col>
                    <xdr:colOff>152400</xdr:colOff>
                    <xdr:row>63</xdr:row>
                    <xdr:rowOff>19050</xdr:rowOff>
                  </to>
                </anchor>
              </controlPr>
            </control>
          </mc:Choice>
        </mc:AlternateContent>
        <mc:AlternateContent xmlns:mc="http://schemas.openxmlformats.org/markup-compatibility/2006">
          <mc:Choice Requires="x14">
            <control shapeId="11292" r:id="rId31" name="Check Box 28">
              <controlPr locked="0" defaultSize="0" autoFill="0" autoLine="0" autoPict="0">
                <anchor moveWithCells="1">
                  <from>
                    <xdr:col>41</xdr:col>
                    <xdr:colOff>142875</xdr:colOff>
                    <xdr:row>62</xdr:row>
                    <xdr:rowOff>0</xdr:rowOff>
                  </from>
                  <to>
                    <xdr:col>42</xdr:col>
                    <xdr:colOff>142875</xdr:colOff>
                    <xdr:row>63</xdr:row>
                    <xdr:rowOff>9525</xdr:rowOff>
                  </to>
                </anchor>
              </controlPr>
            </control>
          </mc:Choice>
        </mc:AlternateContent>
        <mc:AlternateContent xmlns:mc="http://schemas.openxmlformats.org/markup-compatibility/2006">
          <mc:Choice Requires="x14">
            <control shapeId="11293" r:id="rId32" name="Check Box 2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1294" r:id="rId33" name="Check Box 3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1295" r:id="rId34" name="Check Box 3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1296" r:id="rId35" name="Check Box 3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1297" r:id="rId36" name="Check Box 33">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1298" r:id="rId37" name="Check Box 34">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1299" r:id="rId38" name="Check Box 35">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1300" r:id="rId39" name="Check Box 36">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1301" r:id="rId40" name="Check Box 37">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1302" r:id="rId41" name="Check Box 38">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1303" r:id="rId42" name="Check Box 39">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1304" r:id="rId43" name="Check Box 40">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1305" r:id="rId44" name="Check Box 41">
              <controlPr locked="0" defaultSize="0" autoFill="0" autoLine="0" autoPict="0">
                <anchor moveWithCells="1">
                  <from>
                    <xdr:col>20</xdr:col>
                    <xdr:colOff>0</xdr:colOff>
                    <xdr:row>94</xdr:row>
                    <xdr:rowOff>0</xdr:rowOff>
                  </from>
                  <to>
                    <xdr:col>21</xdr:col>
                    <xdr:colOff>0</xdr:colOff>
                    <xdr:row>95</xdr:row>
                    <xdr:rowOff>0</xdr:rowOff>
                  </to>
                </anchor>
              </controlPr>
            </control>
          </mc:Choice>
        </mc:AlternateContent>
        <mc:AlternateContent xmlns:mc="http://schemas.openxmlformats.org/markup-compatibility/2006">
          <mc:Choice Requires="x14">
            <control shapeId="11306" r:id="rId45" name="Check Box 42">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1307" r:id="rId46" name="Check Box 43">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1308" r:id="rId47" name="Check Box 44">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1309" r:id="rId48" name="Check Box 45">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1310" r:id="rId49" name="Check Box 46">
              <controlPr locked="0" defaultSize="0" autoFill="0" autoLine="0" autoPict="0">
                <anchor moveWithCells="1">
                  <from>
                    <xdr:col>13</xdr:col>
                    <xdr:colOff>28575</xdr:colOff>
                    <xdr:row>62</xdr:row>
                    <xdr:rowOff>57150</xdr:rowOff>
                  </from>
                  <to>
                    <xdr:col>14</xdr:col>
                    <xdr:colOff>38100</xdr:colOff>
                    <xdr:row>63</xdr:row>
                    <xdr:rowOff>57150</xdr:rowOff>
                  </to>
                </anchor>
              </controlPr>
            </control>
          </mc:Choice>
        </mc:AlternateContent>
        <mc:AlternateContent xmlns:mc="http://schemas.openxmlformats.org/markup-compatibility/2006">
          <mc:Choice Requires="x14">
            <control shapeId="11311" r:id="rId50" name="Check Box 47">
              <controlPr locked="0" defaultSize="0" autoFill="0" autoLine="0" autoPict="0">
                <anchor moveWithCells="1">
                  <from>
                    <xdr:col>11</xdr:col>
                    <xdr:colOff>28575</xdr:colOff>
                    <xdr:row>68</xdr:row>
                    <xdr:rowOff>47625</xdr:rowOff>
                  </from>
                  <to>
                    <xdr:col>12</xdr:col>
                    <xdr:colOff>38100</xdr:colOff>
                    <xdr:row>69</xdr:row>
                    <xdr:rowOff>47625</xdr:rowOff>
                  </to>
                </anchor>
              </controlPr>
            </control>
          </mc:Choice>
        </mc:AlternateContent>
        <mc:AlternateContent xmlns:mc="http://schemas.openxmlformats.org/markup-compatibility/2006">
          <mc:Choice Requires="x14">
            <control shapeId="11312" r:id="rId51" name="Check Box 48">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1313" r:id="rId52" name="Check Box 49">
              <controlPr locked="0" defaultSize="0" autoFill="0" autoLine="0" autoPict="0">
                <anchor moveWithCells="1">
                  <from>
                    <xdr:col>23</xdr:col>
                    <xdr:colOff>0</xdr:colOff>
                    <xdr:row>56</xdr:row>
                    <xdr:rowOff>0</xdr:rowOff>
                  </from>
                  <to>
                    <xdr:col>24</xdr:col>
                    <xdr:colOff>0</xdr:colOff>
                    <xdr:row>57</xdr:row>
                    <xdr:rowOff>38100</xdr:rowOff>
                  </to>
                </anchor>
              </controlPr>
            </control>
          </mc:Choice>
        </mc:AlternateContent>
        <mc:AlternateContent xmlns:mc="http://schemas.openxmlformats.org/markup-compatibility/2006">
          <mc:Choice Requires="x14">
            <control shapeId="11314" r:id="rId53" name="Check Box 50">
              <controlPr locked="0" defaultSize="0" autoFill="0" autoLine="0" autoPict="0">
                <anchor moveWithCells="1">
                  <from>
                    <xdr:col>40</xdr:col>
                    <xdr:colOff>0</xdr:colOff>
                    <xdr:row>33</xdr:row>
                    <xdr:rowOff>0</xdr:rowOff>
                  </from>
                  <to>
                    <xdr:col>41</xdr:col>
                    <xdr:colOff>0</xdr:colOff>
                    <xdr:row>34</xdr:row>
                    <xdr:rowOff>0</xdr:rowOff>
                  </to>
                </anchor>
              </controlPr>
            </control>
          </mc:Choice>
        </mc:AlternateContent>
        <mc:AlternateContent xmlns:mc="http://schemas.openxmlformats.org/markup-compatibility/2006">
          <mc:Choice Requires="x14">
            <control shapeId="11315" r:id="rId54" name="Check Box 51">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1316" r:id="rId55" name="Check Box 52">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1317" r:id="rId56" name="Check Box 53">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1318" r:id="rId57" name="Check Box 54">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8" id="{13FB6D6B-B2B7-42E1-939E-F9B84EA0600E}">
            <xm:f>$A$9&lt;&gt;'Sprachen &amp; Rückgabewerte(3)'!$H$132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6" id="{41A05995-205B-461D-83FD-43381A6F8D21}">
            <xm:f>'Sprachen &amp; Rückgabewerte(3)'!$U$49=FALSE</xm:f>
            <x14:dxf>
              <border>
                <bottom style="thin">
                  <color rgb="FFFF0000"/>
                </bottom>
                <vertical/>
                <horizontal/>
              </border>
            </x14:dxf>
          </x14:cfRule>
          <x14:cfRule type="expression" priority="279" id="{39CEC156-ED79-4E17-9571-119FFC010B5B}">
            <xm:f>'Sprachen &amp; Rückgabewerte(3)'!$I$12=FALSE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78" id="{E8B01D47-6BB8-4051-8152-5C146ACF875B}">
            <xm:f>AND('Sprachen &amp; Rückgabewerte(3)'!$I$11=FALSE,'Sprachen &amp; Rückgabewerte(3)'!$I$12=FALSE)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77" id="{49F53166-F816-4DEF-895C-201396CA0C2B}">
            <xm:f>AND('Sprachen &amp; Rückgabewerte(3)'!$I$10=FALSE,'Sprachen &amp; Rückgabewerte(3)'!$I$11=FALSE,'Sprachen &amp; Rückgabewerte(3)'!$I$12=FALSE)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20" id="{FE26D0E4-0957-4EF5-B6CA-7F74C50A20EA}">
            <xm:f>AND($AP$86="",'Sprachen &amp; Rückgabewerte(3)'!$I$51=TRUE)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76" id="{2E81BC9D-3AAF-4AD8-B500-A21462DC0862}">
            <xm:f>'Sprachen &amp; Rückgabewerte(3)'!$I$51=TRUE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75" id="{039E2359-4690-44BC-97A9-2462B66D090F}">
            <xm:f>'Sprachen &amp; Rückgabewerte(3)'!$C$41=FALSE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09" id="{48EDDF67-B181-465D-95E9-165F5BFB5E8E}">
            <xm:f>'Sprachen &amp; Rückgabewerte(3)'!$C$42=FALSE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44" id="{823789A5-2049-46C6-9D3A-1EE7D195ABDE}">
            <xm:f>'Sprachen &amp; Rückgabewerte(3)'!$C$43=FALSE</xm:f>
            <x14:dxf>
              <font>
                <color theme="0" tint="-0.14996795556505021"/>
              </font>
              <fill>
                <patternFill>
                  <bgColor theme="0" tint="-0.14996795556505021"/>
                </patternFill>
              </fill>
              <border>
                <left/>
                <right/>
                <top/>
                <bottom/>
                <vertical/>
                <horizontal/>
              </border>
            </x14:dxf>
          </x14:cfRule>
          <xm:sqref>R72:U72</xm:sqref>
        </x14:conditionalFormatting>
        <x14:conditionalFormatting xmlns:xm="http://schemas.microsoft.com/office/excel/2006/main">
          <x14:cfRule type="expression" priority="143" id="{548F76A3-F64C-44FF-91A2-9B0ECBCCE536}">
            <xm:f>'Sprachen &amp; Rückgabewerte(3)'!$C$44=FALSE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41" id="{2398B317-B0B3-4BE8-B085-3B7B281E8DBA}">
            <xm:f>'Sprachen &amp; Rückgabewerte(3)'!$C$45=FALSE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296" id="{D6B55C60-EA5B-4378-BF3E-C2931228762B}">
            <xm:f>'Sprachen &amp; Rückgabewerte(3)'!$C$46=FALSE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69" id="{3AB1D2F6-4082-4519-9EDB-292F9E79A09B}">
            <xm:f>'Sprachen &amp; Rückgabewerte(3)'!$C$47=FALSE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40" id="{CE44AEA5-970E-4D5F-93F8-0FA5AE71A76F}">
            <xm:f>'Sprachen &amp; Rückgabewerte(3)'!$C$49=FALSE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66" id="{9DA06690-7DBE-4660-95DF-C4E4A0A5AA3F}">
            <xm:f>G$20='Sprachen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67" id="{D697CBEA-3DB0-4B03-8414-99806E87C41C}">
            <xm:f>G$20='Sprachen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64" id="{EA3BB84D-BAC1-459B-B4DF-357193B4F4C0}">
            <xm:f>'Sprachen &amp; Rückgabewerte(3)'!$L$41=0</xm:f>
            <x14:dxf>
              <border>
                <left style="thin">
                  <color rgb="FFFF0000"/>
                </left>
                <vertical/>
                <horizontal/>
              </border>
            </x14:dxf>
          </x14:cfRule>
          <xm:sqref>C5:C8</xm:sqref>
        </x14:conditionalFormatting>
        <x14:conditionalFormatting xmlns:xm="http://schemas.microsoft.com/office/excel/2006/main">
          <x14:cfRule type="expression" priority="263" id="{B1A4ACFC-431D-49F5-B8B1-224D3CCB4031}">
            <xm:f>'Sprachen &amp; Rückgabewerte(3)'!$L$41=0</xm:f>
            <x14:dxf>
              <border>
                <top style="thin">
                  <color rgb="FFFF0000"/>
                </top>
                <vertical/>
                <horizontal/>
              </border>
            </x14:dxf>
          </x14:cfRule>
          <xm:sqref>C5:R5</xm:sqref>
        </x14:conditionalFormatting>
        <x14:conditionalFormatting xmlns:xm="http://schemas.microsoft.com/office/excel/2006/main">
          <x14:cfRule type="expression" priority="262" id="{948B1473-5D6C-4365-BDDA-42E3D49D0998}">
            <xm:f>'Sprachen &amp; Rückgabewerte(3)'!$L$41=0</xm:f>
            <x14:dxf>
              <border>
                <right style="thin">
                  <color rgb="FFFF0000"/>
                </right>
                <vertical/>
                <horizontal/>
              </border>
            </x14:dxf>
          </x14:cfRule>
          <xm:sqref>R5:R8</xm:sqref>
        </x14:conditionalFormatting>
        <x14:conditionalFormatting xmlns:xm="http://schemas.microsoft.com/office/excel/2006/main">
          <x14:cfRule type="expression" priority="261" id="{43D5986B-471D-4A44-B655-12E59697ACEB}">
            <xm:f>'Sprachen &amp; Rückgabewerte(3)'!$L$41=0</xm:f>
            <x14:dxf>
              <border>
                <bottom style="thin">
                  <color rgb="FFFF0000"/>
                </bottom>
                <vertical/>
                <horizontal/>
              </border>
            </x14:dxf>
          </x14:cfRule>
          <xm:sqref>C8:R8</xm:sqref>
        </x14:conditionalFormatting>
        <x14:conditionalFormatting xmlns:xm="http://schemas.microsoft.com/office/excel/2006/main">
          <x14:cfRule type="expression" priority="260" id="{669ECB32-33E8-488E-894C-0A53493F3B4D}">
            <xm:f>'Sprachen &amp; Rückgabewerte(3)'!$L$42=0</xm:f>
            <x14:dxf>
              <border>
                <left style="thin">
                  <color rgb="FFFF0000"/>
                </left>
                <vertical/>
                <horizontal/>
              </border>
            </x14:dxf>
          </x14:cfRule>
          <xm:sqref>S5:S8</xm:sqref>
        </x14:conditionalFormatting>
        <x14:conditionalFormatting xmlns:xm="http://schemas.microsoft.com/office/excel/2006/main">
          <x14:cfRule type="expression" priority="118" id="{BB224800-0806-4B07-B4F5-DC76C01D3789}">
            <xm:f>'Sprachen &amp; Rückgabewerte(3)'!$L$42=0</xm:f>
            <x14:dxf>
              <border>
                <top style="thin">
                  <color rgb="FFFF0000"/>
                </top>
                <vertical/>
                <horizontal/>
              </border>
            </x14:dxf>
          </x14:cfRule>
          <xm:sqref>S5:AG5</xm:sqref>
        </x14:conditionalFormatting>
        <x14:conditionalFormatting xmlns:xm="http://schemas.microsoft.com/office/excel/2006/main">
          <x14:cfRule type="expression" priority="258" id="{8C939FD8-25B7-4A47-970F-867F5C0E115E}">
            <xm:f>'Sprachen &amp; Rückgabewerte(3)'!$L$42=0</xm:f>
            <x14:dxf>
              <border>
                <right style="thin">
                  <color rgb="FFFF0000"/>
                </right>
                <vertical/>
                <horizontal/>
              </border>
            </x14:dxf>
          </x14:cfRule>
          <xm:sqref>AG5:AG8</xm:sqref>
        </x14:conditionalFormatting>
        <x14:conditionalFormatting xmlns:xm="http://schemas.microsoft.com/office/excel/2006/main">
          <x14:cfRule type="expression" priority="257" id="{E27168EE-BC45-4E15-9133-F6A750DD5F93}">
            <xm:f>'Sprachen &amp; Rückgabewerte(3)'!$L$42=0</xm:f>
            <x14:dxf>
              <border>
                <bottom style="thin">
                  <color rgb="FFFF0000"/>
                </bottom>
                <vertical/>
                <horizontal/>
              </border>
            </x14:dxf>
          </x14:cfRule>
          <xm:sqref>S8:AG8</xm:sqref>
        </x14:conditionalFormatting>
        <x14:conditionalFormatting xmlns:xm="http://schemas.microsoft.com/office/excel/2006/main">
          <x14:cfRule type="expression" priority="256" id="{2AB19EB3-432C-4D2F-89FE-BD5CEC976AA5}">
            <xm:f>'Sprachen &amp; Rückgabewerte(3)'!$L$43=0</xm:f>
            <x14:dxf>
              <border>
                <left style="thin">
                  <color rgb="FFFF0000"/>
                </left>
                <vertical/>
                <horizontal/>
              </border>
            </x14:dxf>
          </x14:cfRule>
          <xm:sqref>AH5:AH8</xm:sqref>
        </x14:conditionalFormatting>
        <x14:conditionalFormatting xmlns:xm="http://schemas.microsoft.com/office/excel/2006/main">
          <x14:cfRule type="expression" priority="115" id="{79FF69C1-4D07-44F2-97D8-82315C6EFF49}">
            <xm:f>'Sprachen &amp; Rückgabewerte(3)'!$L$43=0</xm:f>
            <x14:dxf>
              <border>
                <top style="thin">
                  <color rgb="FFFF0000"/>
                </top>
                <vertical/>
                <horizontal/>
              </border>
            </x14:dxf>
          </x14:cfRule>
          <xm:sqref>AH5:AM5</xm:sqref>
        </x14:conditionalFormatting>
        <x14:conditionalFormatting xmlns:xm="http://schemas.microsoft.com/office/excel/2006/main">
          <x14:cfRule type="expression" priority="254" id="{847546BA-6106-4D82-9FFD-75D134AC74DC}">
            <xm:f>'Sprachen &amp; Rückgabewerte(3)'!$L$43=0</xm:f>
            <x14:dxf>
              <border>
                <right style="thin">
                  <color rgb="FFFF0000"/>
                </right>
                <vertical/>
                <horizontal/>
              </border>
            </x14:dxf>
          </x14:cfRule>
          <xm:sqref>AM5:AM8</xm:sqref>
        </x14:conditionalFormatting>
        <x14:conditionalFormatting xmlns:xm="http://schemas.microsoft.com/office/excel/2006/main">
          <x14:cfRule type="expression" priority="253" id="{E2CA7052-AA08-4296-A587-CC21BF84507C}">
            <xm:f>'Sprachen &amp; Rückgabewerte(3)'!$L$43=0</xm:f>
            <x14:dxf>
              <border>
                <bottom style="thin">
                  <color rgb="FFFF0000"/>
                </bottom>
                <vertical/>
                <horizontal/>
              </border>
            </x14:dxf>
          </x14:cfRule>
          <xm:sqref>AH8:AM8</xm:sqref>
        </x14:conditionalFormatting>
        <x14:conditionalFormatting xmlns:xm="http://schemas.microsoft.com/office/excel/2006/main">
          <x14:cfRule type="expression" priority="252" id="{85319E6D-799B-4CFB-8FD5-39C35360C3E7}">
            <xm:f>'Sprachen &amp; Rückgabewerte(3)'!$L$44=0</xm:f>
            <x14:dxf>
              <border>
                <left style="thin">
                  <color rgb="FFFF0000"/>
                </left>
                <vertical/>
                <horizontal/>
              </border>
            </x14:dxf>
          </x14:cfRule>
          <xm:sqref>AN5:AN8</xm:sqref>
        </x14:conditionalFormatting>
        <x14:conditionalFormatting xmlns:xm="http://schemas.microsoft.com/office/excel/2006/main">
          <x14:cfRule type="expression" priority="251" id="{16B9350A-969F-465E-9106-52B240BEBD32}">
            <xm:f>'Sprachen &amp; Rückgabewerte(3)'!$L$44=0</xm:f>
            <x14:dxf>
              <border>
                <top style="thin">
                  <color rgb="FFFF0000"/>
                </top>
                <vertical/>
                <horizontal/>
              </border>
            </x14:dxf>
          </x14:cfRule>
          <xm:sqref>AN5:AT5</xm:sqref>
        </x14:conditionalFormatting>
        <x14:conditionalFormatting xmlns:xm="http://schemas.microsoft.com/office/excel/2006/main">
          <x14:cfRule type="expression" priority="250" id="{2C33F70A-094D-4173-8CA0-404237913BAA}">
            <xm:f>'Sprachen &amp; Rückgabewerte(3)'!$L$44=0</xm:f>
            <x14:dxf>
              <border>
                <right style="thin">
                  <color rgb="FFFF0000"/>
                </right>
                <vertical/>
                <horizontal/>
              </border>
            </x14:dxf>
          </x14:cfRule>
          <xm:sqref>AT5:AT8</xm:sqref>
        </x14:conditionalFormatting>
        <x14:conditionalFormatting xmlns:xm="http://schemas.microsoft.com/office/excel/2006/main">
          <x14:cfRule type="expression" priority="249" id="{3C486DDC-19DF-4CF9-8346-2411240AD7B9}">
            <xm:f>'Sprachen &amp; Rückgabewerte(3)'!$L$44=0</xm:f>
            <x14:dxf>
              <border>
                <bottom style="thin">
                  <color rgb="FFFF0000"/>
                </bottom>
                <vertical/>
                <horizontal/>
              </border>
            </x14:dxf>
          </x14:cfRule>
          <xm:sqref>AN8:AT8</xm:sqref>
        </x14:conditionalFormatting>
        <x14:conditionalFormatting xmlns:xm="http://schemas.microsoft.com/office/excel/2006/main">
          <x14:cfRule type="expression" priority="248" id="{2E6A223B-53F2-483B-A528-B8F427B9F750}">
            <xm:f>'Sprachen &amp; Rückgabewerte(3)'!$L$45=0</xm:f>
            <x14:dxf>
              <border>
                <left style="thin">
                  <color rgb="FFFF0000"/>
                </left>
                <vertical/>
                <horizontal/>
              </border>
            </x14:dxf>
          </x14:cfRule>
          <xm:sqref>C9:C30</xm:sqref>
        </x14:conditionalFormatting>
        <x14:conditionalFormatting xmlns:xm="http://schemas.microsoft.com/office/excel/2006/main">
          <x14:cfRule type="expression" priority="241" id="{F530895B-03DC-4901-BFA6-8C8A79B43962}">
            <xm:f>'Sprachen &amp; Rückgabewerte(3)'!$L$46=0</xm:f>
            <x14:dxf>
              <border>
                <bottom style="thin">
                  <color rgb="FFFF0000"/>
                </bottom>
                <vertical/>
                <horizontal/>
              </border>
            </x14:dxf>
          </x14:cfRule>
          <x14:cfRule type="expression" priority="247" id="{5198A27F-866E-4595-92BC-24BAA6E9DB12}">
            <xm:f>'Sprachen &amp; Rückgabewerte(3)'!$L$45=0</xm:f>
            <x14:dxf>
              <border>
                <bottom style="thin">
                  <color rgb="FFFF0000"/>
                </bottom>
                <vertical/>
                <horizontal/>
              </border>
            </x14:dxf>
          </x14:cfRule>
          <xm:sqref>C30:AT30</xm:sqref>
        </x14:conditionalFormatting>
        <x14:conditionalFormatting xmlns:xm="http://schemas.microsoft.com/office/excel/2006/main">
          <x14:cfRule type="expression" priority="246" id="{3C3134AC-BCD2-4ADB-8C7E-51A17307547E}">
            <xm:f>'Sprachen &amp; Rückgabewerte(3)'!$L$45=0</xm:f>
            <x14:dxf>
              <border>
                <top style="thin">
                  <color rgb="FFFF0000"/>
                </top>
                <vertical/>
                <horizontal/>
              </border>
            </x14:dxf>
          </x14:cfRule>
          <xm:sqref>C9:AT9</xm:sqref>
        </x14:conditionalFormatting>
        <x14:conditionalFormatting xmlns:xm="http://schemas.microsoft.com/office/excel/2006/main">
          <x14:cfRule type="expression" priority="245" id="{39643464-5E5E-44E5-8BC1-568EE849116D}">
            <xm:f>'Sprachen &amp; Rückgabewerte(3)'!$L$45=0</xm:f>
            <x14:dxf>
              <border>
                <right style="thin">
                  <color rgb="FFFF0000"/>
                </right>
                <vertical/>
                <horizontal/>
              </border>
            </x14:dxf>
          </x14:cfRule>
          <xm:sqref>AT9:AT30</xm:sqref>
        </x14:conditionalFormatting>
        <x14:conditionalFormatting xmlns:xm="http://schemas.microsoft.com/office/excel/2006/main">
          <x14:cfRule type="expression" priority="244" id="{9CB68759-9A26-4398-9C80-E21F41F6C504}">
            <xm:f>'Sprachen &amp; Rückgabewerte(3)'!$L$46=0</xm:f>
            <x14:dxf>
              <border>
                <left style="thin">
                  <color rgb="FFFF0000"/>
                </left>
                <vertical/>
                <horizontal/>
              </border>
            </x14:dxf>
          </x14:cfRule>
          <xm:sqref>C27:C30</xm:sqref>
        </x14:conditionalFormatting>
        <x14:conditionalFormatting xmlns:xm="http://schemas.microsoft.com/office/excel/2006/main">
          <x14:cfRule type="expression" priority="243" id="{ABDC61FA-B74D-4619-A7C8-3B6E31219919}">
            <xm:f>'Sprachen &amp; Rückgabewerte(3)'!$L$46=0</xm:f>
            <x14:dxf>
              <border>
                <top style="thin">
                  <color rgb="FFFF0000"/>
                </top>
                <vertical/>
                <horizontal/>
              </border>
            </x14:dxf>
          </x14:cfRule>
          <xm:sqref>C27:AT27</xm:sqref>
        </x14:conditionalFormatting>
        <x14:conditionalFormatting xmlns:xm="http://schemas.microsoft.com/office/excel/2006/main">
          <x14:cfRule type="expression" priority="242" id="{C3DFD4C6-2452-4BD2-BF67-2D6B2F712853}">
            <xm:f>'Sprachen &amp; Rückgabewerte(3)'!$L$46=0</xm:f>
            <x14:dxf>
              <border>
                <right style="thin">
                  <color rgb="FFFF0000"/>
                </right>
                <vertical/>
                <horizontal/>
              </border>
            </x14:dxf>
          </x14:cfRule>
          <xm:sqref>AT27:AT30</xm:sqref>
        </x14:conditionalFormatting>
        <x14:conditionalFormatting xmlns:xm="http://schemas.microsoft.com/office/excel/2006/main">
          <x14:cfRule type="expression" priority="240" id="{771F4DAE-B8DE-467E-A127-F6E90D7107AC}">
            <xm:f>'Sprachen &amp; Rückgabewerte(3)'!$L$47=0</xm:f>
            <x14:dxf>
              <border>
                <left style="thin">
                  <color rgb="FFFF0000"/>
                </left>
                <vertical/>
                <horizontal/>
              </border>
            </x14:dxf>
          </x14:cfRule>
          <xm:sqref>C32:C35</xm:sqref>
        </x14:conditionalFormatting>
        <x14:conditionalFormatting xmlns:xm="http://schemas.microsoft.com/office/excel/2006/main">
          <x14:cfRule type="expression" priority="239" id="{D5DFB206-77B1-42FE-AAB8-730977946566}">
            <xm:f>'Sprachen &amp; Rückgabewerte(3)'!$L$47=0</xm:f>
            <x14:dxf>
              <border>
                <top style="thin">
                  <color rgb="FFFF0000"/>
                </top>
                <vertical/>
                <horizontal/>
              </border>
            </x14:dxf>
          </x14:cfRule>
          <xm:sqref>C32:AB32</xm:sqref>
        </x14:conditionalFormatting>
        <x14:conditionalFormatting xmlns:xm="http://schemas.microsoft.com/office/excel/2006/main">
          <x14:cfRule type="expression" priority="238" id="{7700254D-00DD-44F8-9E0A-78D504F1D6ED}">
            <xm:f>'Sprachen &amp; Rückgabewerte(3)'!$L$47=0</xm:f>
            <x14:dxf>
              <border>
                <right style="thin">
                  <color rgb="FFFF0000"/>
                </right>
                <vertical/>
                <horizontal/>
              </border>
            </x14:dxf>
          </x14:cfRule>
          <xm:sqref>AB32:AB35</xm:sqref>
        </x14:conditionalFormatting>
        <x14:conditionalFormatting xmlns:xm="http://schemas.microsoft.com/office/excel/2006/main">
          <x14:cfRule type="expression" priority="237" id="{6F7D62AE-3D4C-40C0-BAD5-0DDC0B042B68}">
            <xm:f>'Sprachen &amp; Rückgabewerte(3)'!$L$47=0</xm:f>
            <x14:dxf>
              <border>
                <bottom style="thin">
                  <color rgb="FFFF0000"/>
                </bottom>
                <vertical/>
                <horizontal/>
              </border>
            </x14:dxf>
          </x14:cfRule>
          <xm:sqref>C35:AB35</xm:sqref>
        </x14:conditionalFormatting>
        <x14:conditionalFormatting xmlns:xm="http://schemas.microsoft.com/office/excel/2006/main">
          <x14:cfRule type="expression" priority="236" id="{3223686A-E63B-48D4-8C0E-C8B8EFA1EF5B}">
            <xm:f>'Sprachen &amp; Rückgabewerte(3)'!$M$49=0</xm:f>
            <x14:dxf>
              <border>
                <left style="thin">
                  <color rgb="FFFF0000"/>
                </left>
                <vertical/>
                <horizontal/>
              </border>
            </x14:dxf>
          </x14:cfRule>
          <xm:sqref>C36:C60</xm:sqref>
        </x14:conditionalFormatting>
        <x14:conditionalFormatting xmlns:xm="http://schemas.microsoft.com/office/excel/2006/main">
          <x14:cfRule type="expression" priority="235" id="{1C8E8A10-0656-4715-A6C4-06E5CB066ECE}">
            <xm:f>'Sprachen &amp; Rückgabewerte(3)'!$M$49=0</xm:f>
            <x14:dxf>
              <border>
                <top style="thin">
                  <color rgb="FFFF0000"/>
                </top>
                <vertical/>
                <horizontal/>
              </border>
            </x14:dxf>
          </x14:cfRule>
          <xm:sqref>C36:O36</xm:sqref>
        </x14:conditionalFormatting>
        <x14:conditionalFormatting xmlns:xm="http://schemas.microsoft.com/office/excel/2006/main">
          <x14:cfRule type="expression" priority="234" id="{FBB9275D-B2A3-4A7F-AED6-B61B35895D3A}">
            <xm:f>'Sprachen &amp; Rückgabewerte(3)'!$M$49=0</xm:f>
            <x14:dxf>
              <border>
                <right style="thin">
                  <color rgb="FFFF0000"/>
                </right>
                <vertical/>
                <horizontal/>
              </border>
            </x14:dxf>
          </x14:cfRule>
          <xm:sqref>O36:O60</xm:sqref>
        </x14:conditionalFormatting>
        <x14:conditionalFormatting xmlns:xm="http://schemas.microsoft.com/office/excel/2006/main">
          <x14:cfRule type="expression" priority="233" id="{BC00E3FB-4AF0-4B59-BB8C-C58B8DDB2B94}">
            <xm:f>'Sprachen &amp; Rückgabewerte(3)'!$M$49=0</xm:f>
            <x14:dxf>
              <border>
                <bottom style="thin">
                  <color rgb="FFFF0000"/>
                </bottom>
                <vertical/>
                <horizontal/>
              </border>
            </x14:dxf>
          </x14:cfRule>
          <xm:sqref>C60:O60</xm:sqref>
        </x14:conditionalFormatting>
        <x14:conditionalFormatting xmlns:xm="http://schemas.microsoft.com/office/excel/2006/main">
          <x14:cfRule type="expression" priority="232" id="{46B0CB01-608D-4CC6-8613-9054B7904140}">
            <xm:f>'Sprachen &amp; Rückgabewerte(3)'!$L$50=0</xm:f>
            <x14:dxf>
              <border>
                <top style="thin">
                  <color rgb="FFFF0000"/>
                </top>
                <vertical/>
                <horizontal/>
              </border>
            </x14:dxf>
          </x14:cfRule>
          <xm:sqref>P36:AB36</xm:sqref>
        </x14:conditionalFormatting>
        <x14:conditionalFormatting xmlns:xm="http://schemas.microsoft.com/office/excel/2006/main">
          <x14:cfRule type="expression" priority="231" id="{93B6154E-7D47-4B9A-B0AC-F9FA206E29DF}">
            <xm:f>'Sprachen &amp; Rückgabewerte(3)'!$L$50=0</xm:f>
            <x14:dxf>
              <border>
                <right style="thin">
                  <color rgb="FFFF0000"/>
                </right>
              </border>
            </x14:dxf>
          </x14:cfRule>
          <xm:sqref>AB36:AB60</xm:sqref>
        </x14:conditionalFormatting>
        <x14:conditionalFormatting xmlns:xm="http://schemas.microsoft.com/office/excel/2006/main">
          <x14:cfRule type="expression" priority="230" id="{193D300C-B0E4-4DE8-AD32-F6BA3C308115}">
            <xm:f>'Sprachen &amp; Rückgabewerte(3)'!$L$50=0</xm:f>
            <x14:dxf>
              <border>
                <bottom style="thin">
                  <color rgb="FFFF0000"/>
                </bottom>
                <vertical/>
                <horizontal/>
              </border>
            </x14:dxf>
          </x14:cfRule>
          <xm:sqref>P60:AB60</xm:sqref>
        </x14:conditionalFormatting>
        <x14:conditionalFormatting xmlns:xm="http://schemas.microsoft.com/office/excel/2006/main">
          <x14:cfRule type="expression" priority="229" id="{9544D5F1-B833-4A41-8775-69A494F9B09E}">
            <xm:f>'Sprachen &amp; Rückgabewerte(3)'!$L$50=0</xm:f>
            <x14:dxf>
              <border>
                <left style="thin">
                  <color rgb="FFFF0000"/>
                </left>
                <vertical/>
                <horizontal/>
              </border>
            </x14:dxf>
          </x14:cfRule>
          <xm:sqref>P36:P43</xm:sqref>
        </x14:conditionalFormatting>
        <x14:conditionalFormatting xmlns:xm="http://schemas.microsoft.com/office/excel/2006/main">
          <x14:cfRule type="expression" priority="228" id="{7C9ACC37-CAEB-4F43-8723-86A0C0294B27}">
            <xm:f>'Sprachen &amp; Rückgabewerte(3)'!$L$50=0</xm:f>
            <x14:dxf>
              <border>
                <left style="thin">
                  <color rgb="FFFF0000"/>
                </left>
                <vertical/>
                <horizontal/>
              </border>
            </x14:dxf>
          </x14:cfRule>
          <xm:sqref>P44:S45</xm:sqref>
        </x14:conditionalFormatting>
        <x14:conditionalFormatting xmlns:xm="http://schemas.microsoft.com/office/excel/2006/main">
          <x14:cfRule type="expression" priority="227" id="{17BD7980-B73C-401F-B770-F228C9FA47F4}">
            <xm:f>'Sprachen &amp; Rückgabewerte(3)'!$L$50=0</xm:f>
            <x14:dxf>
              <border>
                <left style="thin">
                  <color rgb="FFFF0000"/>
                </left>
                <vertical/>
                <horizontal/>
              </border>
            </x14:dxf>
          </x14:cfRule>
          <xm:sqref>P46:P60</xm:sqref>
        </x14:conditionalFormatting>
        <x14:conditionalFormatting xmlns:xm="http://schemas.microsoft.com/office/excel/2006/main">
          <x14:cfRule type="expression" priority="226" id="{7627A962-1B18-4ECE-8FC5-A48470AE31E4}">
            <xm:f>'Sprachen &amp; Rückgabewerte(3)'!$L$51=0</xm:f>
            <x14:dxf>
              <border>
                <top style="thin">
                  <color rgb="FFFF0000"/>
                </top>
                <vertical/>
                <horizontal/>
              </border>
            </x14:dxf>
          </x14:cfRule>
          <xm:sqref>AE32:AT32</xm:sqref>
        </x14:conditionalFormatting>
        <x14:conditionalFormatting xmlns:xm="http://schemas.microsoft.com/office/excel/2006/main">
          <x14:cfRule type="expression" priority="97" id="{C0D1174E-5DF0-4185-9D16-63FB36FB8849}">
            <xm:f>AND($AY$43&lt;&gt;0,'Sprachen &amp; Rückgabewerte(3)'!$I$19=TRUE)</xm:f>
            <x14:dxf>
              <border>
                <right style="thin">
                  <color rgb="FFFF0000"/>
                </right>
                <vertical/>
                <horizontal/>
              </border>
            </x14:dxf>
          </x14:cfRule>
          <x14:cfRule type="expression" priority="225" id="{9941EBB3-8522-4C33-AC13-52867661D7C3}">
            <xm:f>'Sprachen &amp; Rückgabewerte(3)'!$L$51=0</xm:f>
            <x14:dxf>
              <border>
                <right style="thin">
                  <color rgb="FFFF0000"/>
                </right>
                <vertical/>
                <horizontal/>
              </border>
            </x14:dxf>
          </x14:cfRule>
          <xm:sqref>AT32:AT40</xm:sqref>
        </x14:conditionalFormatting>
        <x14:conditionalFormatting xmlns:xm="http://schemas.microsoft.com/office/excel/2006/main">
          <x14:cfRule type="expression" priority="224" id="{3770C996-66C0-45C0-B9D0-09F0EEE61807}">
            <xm:f>'Sprachen &amp; Rückgabewerte(3)'!$L$51=0</xm:f>
            <x14:dxf>
              <border>
                <bottom style="thin">
                  <color rgb="FFFF0000"/>
                </bottom>
                <vertical/>
                <horizontal/>
              </border>
            </x14:dxf>
          </x14:cfRule>
          <xm:sqref>AE40:AT40</xm:sqref>
        </x14:conditionalFormatting>
        <x14:conditionalFormatting xmlns:xm="http://schemas.microsoft.com/office/excel/2006/main">
          <x14:cfRule type="expression" priority="223" id="{28B32493-1708-4B80-8097-0D5A870EC5A5}">
            <xm:f>'Sprachen &amp; Rückgabewerte(3)'!$L$52=0</xm:f>
            <x14:dxf>
              <border>
                <top style="thin">
                  <color rgb="FFFF0000"/>
                </top>
                <vertical/>
                <horizontal/>
              </border>
            </x14:dxf>
          </x14:cfRule>
          <xm:sqref>AE42:AT42</xm:sqref>
        </x14:conditionalFormatting>
        <x14:conditionalFormatting xmlns:xm="http://schemas.microsoft.com/office/excel/2006/main">
          <x14:cfRule type="expression" priority="222" id="{85177580-9FD5-4233-AB4E-761CDBFDEF6F}">
            <xm:f>'Sprachen &amp; Rückgabewerte(3)'!$L$52=0</xm:f>
            <x14:dxf>
              <border>
                <right style="thin">
                  <color rgb="FFFF0000"/>
                </right>
                <vertical/>
                <horizontal/>
              </border>
            </x14:dxf>
          </x14:cfRule>
          <xm:sqref>AT42:AT50</xm:sqref>
        </x14:conditionalFormatting>
        <x14:conditionalFormatting xmlns:xm="http://schemas.microsoft.com/office/excel/2006/main">
          <x14:cfRule type="expression" priority="221" id="{A7FD7CCF-A42A-47D4-8732-D68D8B0E4A45}">
            <xm:f>'Sprachen &amp; Rückgabewerte(3)'!$L$52=0</xm:f>
            <x14:dxf>
              <border>
                <bottom style="thin">
                  <color rgb="FFFF0000"/>
                </bottom>
                <vertical/>
                <horizontal/>
              </border>
            </x14:dxf>
          </x14:cfRule>
          <xm:sqref>AM50:AT50</xm:sqref>
        </x14:conditionalFormatting>
        <x14:conditionalFormatting xmlns:xm="http://schemas.microsoft.com/office/excel/2006/main">
          <x14:cfRule type="expression" priority="165" id="{B4127475-304E-4310-8693-17668385D5C7}">
            <xm:f>OR('Sprachen &amp; Rückgabewerte(3)'!$I$36=TRUE,'Sprachen &amp; Rückgabewerte(3)'!$I$39=TRUE)</xm:f>
            <x14:dxf>
              <font>
                <color theme="1"/>
              </font>
            </x14:dxf>
          </x14:cfRule>
          <x14:cfRule type="expression" priority="220" id="{FE895601-4D11-450B-868F-3ACCA4C7DB0F}">
            <xm:f>'Sprachen &amp; Rückgabewerte(3)'!$L$52=0</xm:f>
            <x14:dxf>
              <border>
                <bottom style="thin">
                  <color rgb="FFFF0000"/>
                </bottom>
                <vertical/>
                <horizontal/>
              </border>
            </x14:dxf>
          </x14:cfRule>
          <xm:sqref>AF48:AL50</xm:sqref>
        </x14:conditionalFormatting>
        <x14:conditionalFormatting xmlns:xm="http://schemas.microsoft.com/office/excel/2006/main">
          <x14:cfRule type="expression" priority="219" id="{7EDAA943-F9CF-430D-B9AD-E918BEF60333}">
            <xm:f>'Sprachen &amp; Rückgabewerte(3)'!$L$52=0</xm:f>
            <x14:dxf>
              <border>
                <bottom style="thin">
                  <color rgb="FFFF0000"/>
                </bottom>
                <vertical/>
                <horizontal/>
              </border>
            </x14:dxf>
          </x14:cfRule>
          <xm:sqref>AE50</xm:sqref>
        </x14:conditionalFormatting>
        <x14:conditionalFormatting xmlns:xm="http://schemas.microsoft.com/office/excel/2006/main">
          <x14:cfRule type="expression" priority="218" id="{152E0A3C-2658-43E8-81B6-27753E604D5A}">
            <xm:f>'Sprachen &amp; Rückgabewerte(3)'!$L$53=0</xm:f>
            <x14:dxf>
              <border>
                <top style="thin">
                  <color rgb="FFFF0000"/>
                </top>
                <vertical/>
                <horizontal/>
              </border>
            </x14:dxf>
          </x14:cfRule>
          <xm:sqref>AE52:AT52</xm:sqref>
        </x14:conditionalFormatting>
        <x14:conditionalFormatting xmlns:xm="http://schemas.microsoft.com/office/excel/2006/main">
          <x14:cfRule type="expression" priority="217" id="{FF0F03E4-53D2-4DFA-8C79-7B851DB48170}">
            <xm:f>'Sprachen &amp; Rückgabewerte(3)'!$L$53=0</xm:f>
            <x14:dxf>
              <border>
                <right style="thin">
                  <color rgb="FFFF0000"/>
                </right>
                <vertical/>
                <horizontal/>
              </border>
            </x14:dxf>
          </x14:cfRule>
          <xm:sqref>AT52:AT58</xm:sqref>
        </x14:conditionalFormatting>
        <x14:conditionalFormatting xmlns:xm="http://schemas.microsoft.com/office/excel/2006/main">
          <x14:cfRule type="expression" priority="216" id="{04C38383-DA31-4C92-AD9A-A1809AC34221}">
            <xm:f>'Sprachen &amp; Rückgabewerte(3)'!$L$53=0</xm:f>
            <x14:dxf>
              <border>
                <bottom style="thin">
                  <color rgb="FFFF0000"/>
                </bottom>
                <vertical/>
                <horizontal/>
              </border>
            </x14:dxf>
          </x14:cfRule>
          <xm:sqref>AE58:AT58</xm:sqref>
        </x14:conditionalFormatting>
        <x14:conditionalFormatting xmlns:xm="http://schemas.microsoft.com/office/excel/2006/main">
          <x14:cfRule type="expression" priority="215" id="{DE941B41-1DC9-46AF-AD92-9986F583E139}">
            <xm:f>'Sprachen &amp; Rückgabewerte(3)'!$L$54=0</xm:f>
            <x14:dxf>
              <border>
                <top style="thin">
                  <color rgb="FFFF0000"/>
                </top>
                <vertical/>
                <horizontal/>
              </border>
            </x14:dxf>
          </x14:cfRule>
          <xm:sqref>AE60:AT60</xm:sqref>
        </x14:conditionalFormatting>
        <x14:conditionalFormatting xmlns:xm="http://schemas.microsoft.com/office/excel/2006/main">
          <x14:cfRule type="expression" priority="214" id="{84C6E125-F294-45C8-B3D6-443398AA9647}">
            <xm:f>'Sprachen &amp; Rückgabewerte(3)'!$L$54=0</xm:f>
            <x14:dxf>
              <border>
                <right style="thin">
                  <color rgb="FFFF0000"/>
                </right>
                <vertical/>
                <horizontal/>
              </border>
            </x14:dxf>
          </x14:cfRule>
          <xm:sqref>AT60:AT71</xm:sqref>
        </x14:conditionalFormatting>
        <x14:conditionalFormatting xmlns:xm="http://schemas.microsoft.com/office/excel/2006/main">
          <x14:cfRule type="expression" priority="213" id="{3FAEBA76-4325-4C52-8674-B9062D441420}">
            <xm:f>'Sprachen &amp; Rückgabewerte(3)'!$L$54=0</xm:f>
            <x14:dxf>
              <border>
                <bottom style="thin">
                  <color rgb="FFFF0000"/>
                </bottom>
                <vertical/>
                <horizontal/>
              </border>
            </x14:dxf>
          </x14:cfRule>
          <xm:sqref>AE71:AT71</xm:sqref>
        </x14:conditionalFormatting>
        <x14:conditionalFormatting xmlns:xm="http://schemas.microsoft.com/office/excel/2006/main">
          <x14:cfRule type="expression" priority="212" id="{9D64C30F-392A-48D6-AD08-459F1832849E}">
            <xm:f>'Sprachen &amp; Rückgabewerte(3)'!$L$55=0</xm:f>
            <x14:dxf>
              <border>
                <top style="thin">
                  <color rgb="FFFF0000"/>
                </top>
                <vertical/>
                <horizontal/>
              </border>
            </x14:dxf>
          </x14:cfRule>
          <xm:sqref>AE83:AT83</xm:sqref>
        </x14:conditionalFormatting>
        <x14:conditionalFormatting xmlns:xm="http://schemas.microsoft.com/office/excel/2006/main">
          <x14:cfRule type="expression" priority="211" id="{829DE62B-071E-4F34-ADD1-8B90454540D3}">
            <xm:f>'Sprachen &amp; Rückgabewerte(3)'!$L$55=0</xm:f>
            <x14:dxf>
              <border>
                <right style="thin">
                  <color rgb="FFFF0000"/>
                </right>
                <vertical/>
                <horizontal/>
              </border>
            </x14:dxf>
          </x14:cfRule>
          <xm:sqref>AT83:AT93</xm:sqref>
        </x14:conditionalFormatting>
        <x14:conditionalFormatting xmlns:xm="http://schemas.microsoft.com/office/excel/2006/main">
          <x14:cfRule type="expression" priority="210" id="{5382C98C-A55B-40A9-9763-13B67B6E9EC1}">
            <xm:f>'Sprachen &amp; Rückgabewerte(3)'!$L$55=0</xm:f>
            <x14:dxf>
              <border>
                <bottom style="thin">
                  <color rgb="FFFF0000"/>
                </bottom>
                <vertical/>
                <horizontal/>
              </border>
            </x14:dxf>
          </x14:cfRule>
          <xm:sqref>AE93:AT93</xm:sqref>
        </x14:conditionalFormatting>
        <x14:conditionalFormatting xmlns:xm="http://schemas.microsoft.com/office/excel/2006/main">
          <x14:cfRule type="expression" priority="208" id="{8744FA28-2916-481C-A70F-148111DF0140}">
            <xm:f>'Sprachen &amp; Rückgabewerte(3)'!$M$59=0</xm:f>
            <x14:dxf>
              <border>
                <right style="thin">
                  <color rgb="FFFF0000"/>
                </right>
                <vertical/>
                <horizontal/>
              </border>
            </x14:dxf>
          </x14:cfRule>
          <xm:sqref>AB86</xm:sqref>
        </x14:conditionalFormatting>
        <x14:conditionalFormatting xmlns:xm="http://schemas.microsoft.com/office/excel/2006/main">
          <x14:cfRule type="expression" priority="207" id="{0FE76957-A451-4B00-850B-FB8335C2F0D3}">
            <xm:f>'Sprachen &amp; Rückgabewerte(3)'!$M$59=0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04" id="{4B2C150A-D363-480A-A737-25A946AB5E36}">
            <xm:f>K$20='Sprachen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5" id="{29824C8B-AC43-4378-AA8D-F7C959E4591C}">
            <xm:f>K$20='Sprachen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02" id="{56D2B8FB-3E81-450F-865D-0FEC2167DBB0}">
            <xm:f>O$20='Sprachen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3" id="{17830841-E195-4CC9-AD01-83EFA63101C6}">
            <xm:f>O$20='Sprachen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00" id="{63D925BA-E9A3-495C-A222-E02070317230}">
            <xm:f>S$20='Sprachen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01" id="{1258FA82-0218-4481-A887-B1F5B23A37B0}">
            <xm:f>S$20='Sprachen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198" id="{C75FE7CF-8C7F-45E5-B76C-8485F0EB7864}">
            <xm:f>W$20='Sprachen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9" id="{459851D1-4EEC-42F0-BD47-CEDF7CC59D2C}">
            <xm:f>W$20='Sprachen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196" id="{DE527E4B-F5C5-4A3D-B9F7-00B88DE6CB31}">
            <xm:f>AA$20='Sprachen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7" id="{FB91E74E-EB45-4B65-A5C2-8660EA11C58C}">
            <xm:f>AA$20='Sprachen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194" id="{37F7FA48-AB94-424A-8E37-7B62AB4F4D17}">
            <xm:f>AE$20='Sprachen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5" id="{28562510-9EA3-4A5F-BEE3-9CA7036F9387}">
            <xm:f>AE$20='Sprachen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192" id="{5334C576-D433-4092-9F8A-BA215C65A7B5}">
            <xm:f>AI$20='Sprachen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3" id="{09C4124B-AD89-4225-A4D5-A7499CE25C9F}">
            <xm:f>AI$20='Sprachen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190" id="{076FD145-F638-4F63-B0DC-4A91D0B5DA7F}">
            <xm:f>AM$20='Sprachen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191" id="{FE74F3EE-302B-45FE-9872-364A0BA02B73}">
            <xm:f>AM$20='Sprachen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189" id="{8E6ECCC0-F62D-45BA-8BB5-A43A281D221D}">
            <xm:f>'Sprachen &amp; Rückgabewerte(3)'!$M$59=0</xm:f>
            <x14:dxf>
              <border>
                <top style="thin">
                  <color rgb="FFFF0000"/>
                </top>
                <vertical/>
                <horizontal/>
              </border>
            </x14:dxf>
          </x14:cfRule>
          <xm:sqref>L86:AB86</xm:sqref>
        </x14:conditionalFormatting>
        <x14:conditionalFormatting xmlns:xm="http://schemas.microsoft.com/office/excel/2006/main">
          <x14:cfRule type="expression" priority="188" id="{356A0222-11B0-4360-857E-EB8DA8C6F3B0}">
            <xm:f>'Sprachen &amp; Rückgabewerte(3)'!$M$59=0</xm:f>
            <x14:dxf>
              <border>
                <bottom style="thin">
                  <color rgb="FFFF0000"/>
                </bottom>
                <vertical/>
                <horizontal/>
              </border>
            </x14:dxf>
          </x14:cfRule>
          <xm:sqref>L97:AB97</xm:sqref>
        </x14:conditionalFormatting>
        <x14:conditionalFormatting xmlns:xm="http://schemas.microsoft.com/office/excel/2006/main">
          <x14:cfRule type="expression" priority="187" id="{9869CF25-ECDB-4837-98D1-286D63FFF35D}">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186" id="{38F32F74-6964-42D5-B8B4-4B8F661369C6}">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185" id="{92685C87-2571-4B52-BB9D-18645B9FC303}">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184" id="{C91C1864-989B-4A96-8D83-775A2E383456}">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183" id="{4B286D8C-8059-4EC5-8687-765487D1FFB0}">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182" id="{682841B2-0A55-4472-A518-30C67B9354E1}">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181" id="{6DE99ABD-E7D7-4189-B7B1-D245F86339AA}">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180" id="{1CC9C9E4-C178-4461-AE46-F96D5C5C006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179" id="{229E3CD1-35FF-41EF-8C16-8DA56FCDA1F1}">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78" id="{48A31CDA-821A-49A1-A35C-0C87C726BEA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77" id="{84AD63AB-A957-469B-814E-6A75D00BE0BB}">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76" id="{5C8FCF31-E9AD-42A5-8C85-B85F737F6F69}">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75" id="{32225C08-CEC4-47CB-AB0B-A6B09BDAFC58}">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74" id="{E96C55C0-3419-4C2B-BC87-3605B97031F2}">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73" id="{03B66EEF-39C1-4623-B7E0-CD349F75FC2C}">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72" id="{5BBD4B00-8663-40C5-AD01-7593C13018E8}">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71" id="{8ECD7279-F79C-4A33-82B2-03E87F7D963F}">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38" id="{F2E70D78-3F1F-4115-84E1-F9C2CBE4A584}">
            <xm:f>'Sprachen &amp; Rückgabewerte(3)'!$U$49=FALSE</xm:f>
            <x14:dxf>
              <border>
                <top style="thin">
                  <color rgb="FFFF0000"/>
                </top>
                <vertical/>
                <horizontal/>
              </border>
            </x14:dxf>
          </x14:cfRule>
          <x14:cfRule type="expression" priority="169" id="{8863209D-243E-4123-AA4F-56DEA108662B}">
            <xm:f>'Sprachen &amp; Rückgabewerte(3)'!$I$133=TRUE</xm:f>
            <x14:dxf>
              <font>
                <color theme="1"/>
              </font>
              <border>
                <left style="hair">
                  <color auto="1"/>
                </left>
                <right style="hair">
                  <color auto="1"/>
                </right>
                <top style="hair">
                  <color auto="1"/>
                </top>
                <bottom style="hair">
                  <color auto="1"/>
                </bottom>
                <vertical/>
                <horizontal/>
              </border>
            </x14:dxf>
          </x14:cfRule>
          <xm:sqref>E22:AR22</xm:sqref>
        </x14:conditionalFormatting>
        <x14:conditionalFormatting xmlns:xm="http://schemas.microsoft.com/office/excel/2006/main">
          <x14:cfRule type="expression" priority="123" id="{02C8924E-79B2-4CE3-8AE3-28B63D908820}">
            <xm:f>AND($AL$39="",'Sprachen &amp; Rückgabewerte(3)'!$I$22=TRUE)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8" id="{A89042B9-28F0-4747-AB31-5B1C3C91F6A3}">
            <xm:f>'Sprachen &amp; Rückgabewerte(3)'!$I$22=FALSE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36" id="{7531D93C-EF16-4EB8-91C5-71A8EE75E2BB}">
            <xm:f>'Sprachen &amp; Rückgabewerte(3)'!$I$36=FALSE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3" id="{9CBC5046-3B4C-416C-B709-6993918EFF1E}">
            <xm:f>'Sprachen &amp; Rückgabewerte(3)'!$I$39=FALSE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35" id="{9D754131-8358-47A4-AE9F-D82E8A809BB1}">
            <xm:f>AND('Sprachen &amp; Rückgabewerte(3)'!$I$36=FALSE,'Sprachen &amp; Rückgabewerte(3)'!$I$39=FALSE)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52" id="{A8AA0C19-E455-49C1-8E02-905018A24CA4}">
            <xm:f>'Sprachen &amp; Rückgabewerte(3)'!$I$45=FALSE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62" id="{157DA5BA-EBE5-4B3C-8645-35646B2C6A00}">
            <xm:f>'Sprachen &amp; Rückgabewerte(3)'!$L$67=TRUE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61" id="{3FAED4F2-B768-4BE1-AE32-8DC6347C6CA3}">
            <xm:f>'Sprachen &amp; Rückgabewerte(3)'!$L$68=TRUE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95" id="{0C7B43D8-A4AE-48C1-9A9D-4F2BE2DD799A}">
            <xm:f>AND($AY$43&lt;&gt;0,'Sprachen &amp; Rückgabewerte(3)'!$I$19=TRUE)</xm:f>
            <x14:dxf>
              <border>
                <left style="thin">
                  <color rgb="FFFF0000"/>
                </left>
                <bottom/>
                <vertical/>
                <horizontal/>
              </border>
            </x14:dxf>
          </x14:cfRule>
          <x14:cfRule type="expression" priority="160" id="{8D80AD3A-B9F7-4F65-9A8C-590FEFE39562}">
            <xm:f>'Sprachen &amp; Rückgabewerte(3)'!$L$51=0</xm:f>
            <x14:dxf>
              <border>
                <left style="thin">
                  <color rgb="FFFF0000"/>
                </left>
                <vertical/>
                <horizontal/>
              </border>
            </x14:dxf>
          </x14:cfRule>
          <xm:sqref>AD32:AD40</xm:sqref>
        </x14:conditionalFormatting>
        <x14:conditionalFormatting xmlns:xm="http://schemas.microsoft.com/office/excel/2006/main">
          <x14:cfRule type="expression" priority="94" id="{33CC9BEF-6690-455B-97A4-9D2CF560B78C}">
            <xm:f>AND($AY$43&lt;&gt;0,'Sprachen &amp; Rückgabewerte(3)'!$I$19=TRUE)</xm:f>
            <x14:dxf>
              <border>
                <bottom style="thin">
                  <color rgb="FFFF0000"/>
                </bottom>
                <vertical/>
                <horizontal/>
              </border>
            </x14:dxf>
          </x14:cfRule>
          <x14:cfRule type="expression" priority="159" id="{226D1667-F06A-4FCE-89B1-3DE688287D94}">
            <xm:f>'Sprachen &amp; Rückgabewerte(3)'!$L$51=0</xm:f>
            <x14:dxf>
              <border>
                <bottom style="thin">
                  <color rgb="FFFF0000"/>
                </bottom>
                <vertical/>
                <horizontal/>
              </border>
            </x14:dxf>
          </x14:cfRule>
          <xm:sqref>AD40</xm:sqref>
        </x14:conditionalFormatting>
        <x14:conditionalFormatting xmlns:xm="http://schemas.microsoft.com/office/excel/2006/main">
          <x14:cfRule type="expression" priority="158" id="{847DBACD-4BD0-4C82-BBF9-AA7B47F6596D}">
            <xm:f>'Sprachen &amp; Rückgabewerte(3)'!$L$51=0</xm:f>
            <x14:dxf>
              <border>
                <top style="thin">
                  <color rgb="FFFF0000"/>
                </top>
                <vertical/>
                <horizontal/>
              </border>
            </x14:dxf>
          </x14:cfRule>
          <xm:sqref>AD32</xm:sqref>
        </x14:conditionalFormatting>
        <x14:conditionalFormatting xmlns:xm="http://schemas.microsoft.com/office/excel/2006/main">
          <x14:cfRule type="expression" priority="157" id="{C5D56E8D-216D-4774-9A16-C6B32F271F5B}">
            <xm:f>'Sprachen &amp; Rückgabewerte(3)'!$L$52=0</xm:f>
            <x14:dxf>
              <border>
                <left style="thin">
                  <color rgb="FFFF0000"/>
                </left>
                <vertical/>
                <horizontal/>
              </border>
            </x14:dxf>
          </x14:cfRule>
          <xm:sqref>AD42:AD50</xm:sqref>
        </x14:conditionalFormatting>
        <x14:conditionalFormatting xmlns:xm="http://schemas.microsoft.com/office/excel/2006/main">
          <x14:cfRule type="expression" priority="156" id="{BEB79326-6682-431A-954D-6A4AEB75E335}">
            <xm:f>'Sprachen &amp; Rückgabewerte(3)'!$L$52=0</xm:f>
            <x14:dxf>
              <border>
                <top style="thin">
                  <color rgb="FFFF0000"/>
                </top>
                <vertical/>
                <horizontal/>
              </border>
            </x14:dxf>
          </x14:cfRule>
          <xm:sqref>AD42</xm:sqref>
        </x14:conditionalFormatting>
        <x14:conditionalFormatting xmlns:xm="http://schemas.microsoft.com/office/excel/2006/main">
          <x14:cfRule type="expression" priority="155" id="{AAEC57A7-FFDA-4E76-8322-F39FC85D9AEF}">
            <xm:f>'Sprachen &amp; Rückgabewerte(3)'!$L$52=0</xm:f>
            <x14:dxf>
              <border>
                <bottom style="thin">
                  <color rgb="FFFF0000"/>
                </bottom>
                <vertical/>
                <horizontal/>
              </border>
            </x14:dxf>
          </x14:cfRule>
          <xm:sqref>AD50</xm:sqref>
        </x14:conditionalFormatting>
        <x14:conditionalFormatting xmlns:xm="http://schemas.microsoft.com/office/excel/2006/main">
          <x14:cfRule type="expression" priority="154" id="{AA78F87C-52DA-4345-8FE6-F5BDBC45D5E9}">
            <xm:f>'Sprachen &amp; Rückgabewerte(3)'!$L$53=0</xm:f>
            <x14:dxf>
              <border>
                <left style="thin">
                  <color rgb="FFFF0000"/>
                </left>
                <vertical/>
                <horizontal/>
              </border>
            </x14:dxf>
          </x14:cfRule>
          <xm:sqref>AD52:AD58</xm:sqref>
        </x14:conditionalFormatting>
        <x14:conditionalFormatting xmlns:xm="http://schemas.microsoft.com/office/excel/2006/main">
          <x14:cfRule type="expression" priority="153" id="{5462B2D0-F65E-49E5-BA09-E9B3889B3BB4}">
            <xm:f>'Sprachen &amp; Rückgabewerte(3)'!$L$53=0</xm:f>
            <x14:dxf>
              <border>
                <top style="thin">
                  <color rgb="FFFF0000"/>
                </top>
                <vertical/>
                <horizontal/>
              </border>
            </x14:dxf>
          </x14:cfRule>
          <xm:sqref>AD52</xm:sqref>
        </x14:conditionalFormatting>
        <x14:conditionalFormatting xmlns:xm="http://schemas.microsoft.com/office/excel/2006/main">
          <x14:cfRule type="expression" priority="152" id="{90EDD58B-8C3C-41AD-BEB4-11224C1E2CD5}">
            <xm:f>'Sprachen &amp; Rückgabewerte(3)'!$L$53=0</xm:f>
            <x14:dxf>
              <border>
                <bottom style="thin">
                  <color rgb="FFFF0000"/>
                </bottom>
                <vertical/>
                <horizontal/>
              </border>
            </x14:dxf>
          </x14:cfRule>
          <xm:sqref>AD58</xm:sqref>
        </x14:conditionalFormatting>
        <x14:conditionalFormatting xmlns:xm="http://schemas.microsoft.com/office/excel/2006/main">
          <x14:cfRule type="expression" priority="151" id="{DFCA371B-A423-4F58-A157-CF96256D1C6C}">
            <xm:f>'Sprachen &amp; Rückgabewerte(3)'!$L$54=0</xm:f>
            <x14:dxf>
              <border>
                <left style="thin">
                  <color rgb="FFFF0000"/>
                </left>
                <vertical/>
                <horizontal/>
              </border>
            </x14:dxf>
          </x14:cfRule>
          <xm:sqref>AD60:AD71</xm:sqref>
        </x14:conditionalFormatting>
        <x14:conditionalFormatting xmlns:xm="http://schemas.microsoft.com/office/excel/2006/main">
          <x14:cfRule type="expression" priority="150" id="{6486B9FF-6796-4E71-93DE-FE7E47119511}">
            <xm:f>'Sprachen &amp; Rückgabewerte(3)'!$L$54=0</xm:f>
            <x14:dxf>
              <border>
                <top style="thin">
                  <color rgb="FFFF0000"/>
                </top>
                <vertical/>
                <horizontal/>
              </border>
            </x14:dxf>
          </x14:cfRule>
          <xm:sqref>AD60</xm:sqref>
        </x14:conditionalFormatting>
        <x14:conditionalFormatting xmlns:xm="http://schemas.microsoft.com/office/excel/2006/main">
          <x14:cfRule type="expression" priority="149" id="{5F7430FD-F465-4F3C-A230-5DC7E1573321}">
            <xm:f>'Sprachen &amp; Rückgabewerte(3)'!$L$54=0</xm:f>
            <x14:dxf>
              <border>
                <bottom style="thin">
                  <color rgb="FFFF0000"/>
                </bottom>
                <vertical/>
                <horizontal/>
              </border>
            </x14:dxf>
          </x14:cfRule>
          <xm:sqref>AD71</xm:sqref>
        </x14:conditionalFormatting>
        <x14:conditionalFormatting xmlns:xm="http://schemas.microsoft.com/office/excel/2006/main">
          <x14:cfRule type="expression" priority="132" id="{FD6E3AF3-7C9C-4FD7-B5EA-CDCD05E96D9A}">
            <xm:f>'Sprachen &amp; Rückgabewerte(3)'!$C$64=0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47" id="{3DB6CCE9-A0C5-40BB-8BD1-5A49E9DC674B}">
            <xm:f>'Sprachen &amp; Rückgabewerte(3)'!$L$55=0</xm:f>
            <x14:dxf>
              <border>
                <left style="thin">
                  <color rgb="FFFF0000"/>
                </left>
                <vertical/>
                <horizontal/>
              </border>
            </x14:dxf>
          </x14:cfRule>
          <xm:sqref>AD83:AD93</xm:sqref>
        </x14:conditionalFormatting>
        <x14:conditionalFormatting xmlns:xm="http://schemas.microsoft.com/office/excel/2006/main">
          <x14:cfRule type="expression" priority="146" id="{4F01A3A7-ABF3-457F-8AB7-64A8C8DD7A52}">
            <xm:f>'Sprachen &amp; Rückgabewerte(3)'!$L$55=0</xm:f>
            <x14:dxf>
              <border>
                <top style="thin">
                  <color rgb="FFFF0000"/>
                </top>
                <vertical/>
                <horizontal/>
              </border>
            </x14:dxf>
          </x14:cfRule>
          <xm:sqref>AD83</xm:sqref>
        </x14:conditionalFormatting>
        <x14:conditionalFormatting xmlns:xm="http://schemas.microsoft.com/office/excel/2006/main">
          <x14:cfRule type="expression" priority="145" id="{C2D059E5-B4CB-4201-BAC6-05512C41E597}">
            <xm:f>'Sprachen &amp; Rückgabewerte(3)'!$L$55=0</xm:f>
            <x14:dxf>
              <border>
                <bottom style="thin">
                  <color rgb="FFFF0000"/>
                </bottom>
                <vertical/>
                <horizontal/>
              </border>
            </x14:dxf>
          </x14:cfRule>
          <xm:sqref>AD93</xm:sqref>
        </x14:conditionalFormatting>
        <x14:conditionalFormatting xmlns:xm="http://schemas.microsoft.com/office/excel/2006/main">
          <x14:cfRule type="expression" priority="122" id="{1D495855-8F74-433A-8DEA-75813369B3F7}">
            <xm:f>AND($AE$85="",$AE$84='Sprachen &amp; Rückgabewerte(3)'!$H$89)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39" id="{A1DF7BCA-EA2A-4B43-8797-A59A74855704}">
            <xm:f>$AE$84='Sprachen &amp; Rückgabewerte(3)'!$H$89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284" id="{E08EA404-9F31-4737-B609-AF29E36EAF3E}">
            <xm:f>'Sprachen &amp; Rückgabewerte(3)'!$M$62=2</xm:f>
            <x14:dxf>
              <border>
                <left style="thin">
                  <color rgb="FFFF0000"/>
                </left>
                <vertical/>
                <horizontal/>
              </border>
            </x14:dxf>
          </x14:cfRule>
          <x14:cfRule type="expression" priority="285" id="{6C4BF7E0-A0CE-42D8-B7DB-A252BCBAD79D}">
            <xm:f>'Sprachen &amp; Rückgabewerte(3)'!$M$62=3</xm:f>
            <x14:dxf>
              <border>
                <left style="thin">
                  <color rgb="FFFF0000"/>
                </left>
                <vertical/>
                <horizontal/>
              </border>
            </x14:dxf>
          </x14:cfRule>
          <x14:cfRule type="expression" priority="286" id="{2DEFCD07-88E6-4E9C-B644-2C03316EC888}">
            <xm:f>'Sprachen &amp; Rückgabewerte(3)'!$M$59=0</xm:f>
            <x14:dxf>
              <border>
                <left style="thin">
                  <color rgb="FFFF0000"/>
                </left>
                <vertical/>
                <horizontal/>
              </border>
            </x14:dxf>
          </x14:cfRule>
          <xm:sqref>L86:L97</xm:sqref>
        </x14:conditionalFormatting>
        <x14:conditionalFormatting xmlns:xm="http://schemas.microsoft.com/office/excel/2006/main">
          <x14:cfRule type="expression" priority="287" id="{E23F12A1-4020-4CC3-9094-22D54ABD156A}">
            <xm:f>'Sprachen &amp; Rückgabewerte(3)'!$C$48=FALSE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289" id="{9193B451-642C-4EDD-90B6-A8DA287BA339}">
            <xm:f>'Sprachen &amp; Rückgabewerte(3)'!$M$62=3</xm:f>
            <x14:dxf>
              <border>
                <left style="thin">
                  <color rgb="FFFF0000"/>
                </left>
                <vertical/>
                <horizontal/>
              </border>
            </x14:dxf>
          </x14:cfRule>
          <x14:cfRule type="expression" priority="290" id="{2E077A95-6F44-4044-99A2-FDA27980FD62}">
            <xm:f>'Sprachen &amp; Rückgabewerte(3)'!$M$62=2</xm:f>
            <x14:dxf>
              <border>
                <left style="thin">
                  <color rgb="FFFF0000"/>
                </left>
                <vertical/>
                <horizontal/>
              </border>
            </x14:dxf>
          </x14:cfRule>
          <xm:sqref>C73:C97</xm:sqref>
        </x14:conditionalFormatting>
        <x14:conditionalFormatting xmlns:xm="http://schemas.microsoft.com/office/excel/2006/main">
          <x14:cfRule type="expression" priority="291" id="{C55880E0-3D7D-46A7-BAF3-5BEC8724C4DE}">
            <xm:f>'Sprachen &amp; Rückgabewerte(3)'!$M$62=2</xm:f>
            <x14:dxf>
              <border>
                <top style="thin">
                  <color rgb="FFFF0000"/>
                </top>
                <vertical/>
                <horizontal/>
              </border>
            </x14:dxf>
          </x14:cfRule>
          <x14:cfRule type="expression" priority="292" id="{B03EB98C-08C9-451E-ABC6-30FD988AAF5D}">
            <xm:f>'Sprachen &amp; Rückgabewerte(3)'!$M$62=3</xm:f>
            <x14:dxf>
              <border>
                <top style="thin">
                  <color rgb="FFFF0000"/>
                </top>
                <vertical/>
                <horizontal/>
              </border>
            </x14:dxf>
          </x14:cfRule>
          <xm:sqref>C73:AB73</xm:sqref>
        </x14:conditionalFormatting>
        <x14:conditionalFormatting xmlns:xm="http://schemas.microsoft.com/office/excel/2006/main">
          <x14:cfRule type="expression" priority="293" id="{AD2E1A69-7AFF-456F-B479-A03D0D81F694}">
            <xm:f>'Sprachen &amp; Rückgabewerte(3)'!$M$62=2</xm:f>
            <x14:dxf>
              <border>
                <right style="thin">
                  <color rgb="FFFF0000"/>
                </right>
                <vertical/>
                <horizontal/>
              </border>
            </x14:dxf>
          </x14:cfRule>
          <x14:cfRule type="expression" priority="294" id="{44F9733A-2EC4-4E5D-9EF4-88437AF56473}">
            <xm:f>'Sprachen &amp; Rückgabewerte(3)'!$M$62=3</xm:f>
            <x14:dxf>
              <border>
                <right style="thin">
                  <color rgb="FFFF0000"/>
                </right>
                <vertical/>
                <horizontal/>
              </border>
            </x14:dxf>
          </x14:cfRule>
          <xm:sqref>AB73:AB85</xm:sqref>
        </x14:conditionalFormatting>
        <x14:conditionalFormatting xmlns:xm="http://schemas.microsoft.com/office/excel/2006/main">
          <x14:cfRule type="expression" priority="170" id="{DABD211D-6639-44DD-B24B-029252E52F12}">
            <xm:f>'Sprachen &amp; Rückgabewerte(3)'!$M$62=2</xm:f>
            <x14:dxf>
              <border>
                <bottom style="thin">
                  <color rgb="FFFF0000"/>
                </bottom>
                <vertical/>
                <horizontal/>
              </border>
            </x14:dxf>
          </x14:cfRule>
          <x14:cfRule type="expression" priority="206" id="{CB24DC0E-5440-44E3-9A43-C4461B101EA0}">
            <xm:f>'Sprachen &amp; Rückgabewerte(3)'!$M$62=3</xm:f>
            <x14:dxf>
              <border>
                <bottom style="thin">
                  <color rgb="FFFF0000"/>
                </bottom>
                <vertical/>
                <horizontal/>
              </border>
            </x14:dxf>
          </x14:cfRule>
          <xm:sqref>L85:AB85</xm:sqref>
        </x14:conditionalFormatting>
        <x14:conditionalFormatting xmlns:xm="http://schemas.microsoft.com/office/excel/2006/main">
          <x14:cfRule type="expression" priority="297" id="{B0C7CC74-C8D0-445C-91FC-8033CE12A3F4}">
            <xm:f>'Sprachen &amp; Rückgabewerte(3)'!$M$62=3</xm:f>
            <x14:dxf>
              <border>
                <bottom style="thin">
                  <color rgb="FFFF0000"/>
                </bottom>
                <vertical/>
                <horizontal/>
              </border>
            </x14:dxf>
          </x14:cfRule>
          <x14:cfRule type="expression" priority="298" id="{037A56ED-5265-43B9-9FE0-078D9EB36224}">
            <xm:f>'Sprachen &amp; Rückgabewerte(3)'!$M$62=2</xm:f>
            <x14:dxf>
              <border>
                <bottom style="thin">
                  <color rgb="FFFF0000"/>
                </bottom>
                <vertical/>
                <horizontal/>
              </border>
            </x14:dxf>
          </x14:cfRule>
          <xm:sqref>C97:K97</xm:sqref>
        </x14:conditionalFormatting>
        <x14:conditionalFormatting xmlns:xm="http://schemas.microsoft.com/office/excel/2006/main">
          <x14:cfRule type="expression" priority="299" id="{EB49A852-CEE8-4D45-93F9-3CCCADCDEDFE}">
            <xm:f>'Sprachen &amp; Rückgabewerte(3)'!$M$60=0</xm:f>
            <x14:dxf>
              <border>
                <left style="thin">
                  <color rgb="FFFF0000"/>
                </left>
                <vertical/>
                <horizontal/>
              </border>
            </x14:dxf>
          </x14:cfRule>
          <xm:sqref>M73:M85</xm:sqref>
        </x14:conditionalFormatting>
        <x14:conditionalFormatting xmlns:xm="http://schemas.microsoft.com/office/excel/2006/main">
          <x14:cfRule type="expression" priority="300" id="{E0522707-0146-4CA3-86F2-5D495F2F920E}">
            <xm:f>'Sprachen &amp; Rückgabewerte(3)'!$M$60=0</xm:f>
            <x14:dxf>
              <border>
                <top style="thin">
                  <color rgb="FFFF0000"/>
                </top>
                <vertical/>
                <horizontal/>
              </border>
            </x14:dxf>
          </x14:cfRule>
          <xm:sqref>M73:S73</xm:sqref>
        </x14:conditionalFormatting>
        <x14:conditionalFormatting xmlns:xm="http://schemas.microsoft.com/office/excel/2006/main">
          <x14:cfRule type="expression" priority="301" id="{5FAF9443-1058-47F3-A4B9-CA091955C41F}">
            <xm:f>'Sprachen &amp; Rückgabewerte(3)'!$M$60=0</xm:f>
            <x14:dxf>
              <border>
                <right style="thin">
                  <color rgb="FFFF0000"/>
                </right>
                <vertical/>
                <horizontal/>
              </border>
            </x14:dxf>
          </x14:cfRule>
          <xm:sqref>S73:S85</xm:sqref>
        </x14:conditionalFormatting>
        <x14:conditionalFormatting xmlns:xm="http://schemas.microsoft.com/office/excel/2006/main">
          <x14:cfRule type="expression" priority="295" id="{987D9EA2-6D8A-4DC7-8EDD-B4FD27725D83}">
            <xm:f>'Sprachen &amp; Rückgabewerte(3)'!$M$60=0</xm:f>
            <x14:dxf>
              <border>
                <bottom style="thin">
                  <color rgb="FFFF0000"/>
                </bottom>
                <vertical/>
                <horizontal/>
              </border>
            </x14:dxf>
          </x14:cfRule>
          <xm:sqref>M85:S85</xm:sqref>
        </x14:conditionalFormatting>
        <x14:conditionalFormatting xmlns:xm="http://schemas.microsoft.com/office/excel/2006/main">
          <x14:cfRule type="expression" priority="303" id="{9CD1D267-018A-4C0C-92FE-20DEBCD0CBEA}">
            <xm:f>'Sprachen &amp; Rückgabewerte(3)'!$M$56=0</xm:f>
            <x14:dxf>
              <border>
                <left style="thin">
                  <color rgb="FFFF0000"/>
                </left>
                <vertical/>
                <horizontal/>
              </border>
            </x14:dxf>
          </x14:cfRule>
          <xm:sqref>C62:C72</xm:sqref>
        </x14:conditionalFormatting>
        <x14:conditionalFormatting xmlns:xm="http://schemas.microsoft.com/office/excel/2006/main">
          <x14:cfRule type="expression" priority="142" id="{99DD9B11-66E6-42B3-9C87-78D6274FC1F6}">
            <xm:f>'Sprachen &amp; Rückgabewerte(3)'!$M$56=0</xm:f>
            <x14:dxf>
              <border>
                <bottom style="thin">
                  <color rgb="FFFF0000"/>
                </bottom>
                <vertical/>
                <horizontal/>
              </border>
            </x14:dxf>
          </x14:cfRule>
          <xm:sqref>C72:AB72</xm:sqref>
        </x14:conditionalFormatting>
        <x14:conditionalFormatting xmlns:xm="http://schemas.microsoft.com/office/excel/2006/main">
          <x14:cfRule type="expression" priority="305" id="{775C27FB-BB64-4385-9D78-773F2337538E}">
            <xm:f>'Sprachen &amp; Rückgabewerte(3)'!$M$56=0</xm:f>
            <x14:dxf>
              <border>
                <right style="thin">
                  <color rgb="FFFF0000"/>
                </right>
                <vertical/>
                <horizontal/>
              </border>
            </x14:dxf>
          </x14:cfRule>
          <xm:sqref>AB62:AB72</xm:sqref>
        </x14:conditionalFormatting>
        <x14:conditionalFormatting xmlns:xm="http://schemas.microsoft.com/office/excel/2006/main">
          <x14:cfRule type="expression" priority="306" id="{20CA1C2C-969B-4C53-9B0F-9A77408ADF94}">
            <xm:f>'Sprachen &amp; Rückgabewerte(3)'!$M$56=0</xm:f>
            <x14:dxf>
              <border>
                <top style="thin">
                  <color rgb="FFFF0000"/>
                </top>
                <vertical/>
                <horizontal/>
              </border>
            </x14:dxf>
          </x14:cfRule>
          <xm:sqref>C62:AB62</xm:sqref>
        </x14:conditionalFormatting>
        <x14:conditionalFormatting xmlns:xm="http://schemas.microsoft.com/office/excel/2006/main">
          <x14:cfRule type="expression" priority="127" id="{A84B5887-690B-4260-BB7B-49BABD2EB985}">
            <xm:f>'Sprachen &amp; Rückgabewerte(3)'!$M$66=FALSE</xm:f>
            <x14:dxf>
              <border>
                <left style="thin">
                  <color rgb="FFFF0000"/>
                </left>
                <vertical/>
                <horizontal/>
              </border>
            </x14:dxf>
          </x14:cfRule>
          <xm:sqref>AD73:AD81</xm:sqref>
        </x14:conditionalFormatting>
        <x14:conditionalFormatting xmlns:xm="http://schemas.microsoft.com/office/excel/2006/main">
          <x14:cfRule type="expression" priority="126" id="{CA6344F7-9893-4863-BF3D-366C061C86F1}">
            <xm:f>'Sprachen &amp; Rückgabewerte(3)'!$M$66=FALSE</xm:f>
            <x14:dxf>
              <border>
                <top style="thin">
                  <color rgb="FFFF0000"/>
                </top>
                <vertical/>
                <horizontal/>
              </border>
            </x14:dxf>
          </x14:cfRule>
          <xm:sqref>AD73:AT73</xm:sqref>
        </x14:conditionalFormatting>
        <x14:conditionalFormatting xmlns:xm="http://schemas.microsoft.com/office/excel/2006/main">
          <x14:cfRule type="expression" priority="125" id="{AC723D69-F0F8-400F-9B2C-3F1367373ADA}">
            <xm:f>'Sprachen &amp; Rückgabewerte(3)'!$M$66=FALSE</xm:f>
            <x14:dxf>
              <border>
                <right style="thin">
                  <color rgb="FFFF0000"/>
                </right>
                <vertical/>
                <horizontal/>
              </border>
            </x14:dxf>
          </x14:cfRule>
          <xm:sqref>AT73:AT81</xm:sqref>
        </x14:conditionalFormatting>
        <x14:conditionalFormatting xmlns:xm="http://schemas.microsoft.com/office/excel/2006/main">
          <x14:cfRule type="expression" priority="124" id="{F121DFBD-626B-4431-BBEC-25967DABFD22}">
            <xm:f>'Sprachen &amp; Rückgabewerte(3)'!$M$66=FALSE</xm:f>
            <x14:dxf>
              <border>
                <bottom style="thin">
                  <color rgb="FFFF0000"/>
                </bottom>
                <vertical/>
                <horizontal/>
              </border>
            </x14:dxf>
          </x14:cfRule>
          <xm:sqref>AD81:AT81</xm:sqref>
        </x14:conditionalFormatting>
        <x14:conditionalFormatting xmlns:xm="http://schemas.microsoft.com/office/excel/2006/main">
          <x14:cfRule type="expression" priority="119" id="{B3622C99-9157-46A1-ABA1-762689A30F57}">
            <xm:f>'Sprachen &amp; Rückgabewerte(3)'!$I$5=FALSE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100" id="{F65E862F-BAF2-40D7-9DA2-058EF4A305C2}">
            <xm:f>'Sprachen &amp; Rückgabewerte(3)'!$I$19=FALSE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07" id="{0E2E5AC2-A65E-4C4C-92F4-AF303F28CA73}">
            <xm:f>'Sprachen &amp; Rückgabewerte(3)'!$I$13=FALSE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99" id="{A2DAF571-658F-4EBC-B83B-03BA79AC7489}">
            <xm:f>AND($AY$43&lt;&gt;0,'Sprachen &amp; Rückgabewerte(3)'!$I$19=TRUE)</xm:f>
            <x14:dxf>
              <border>
                <top style="thin">
                  <color rgb="FFFF0000"/>
                </top>
                <vertical/>
                <horizontal/>
              </border>
            </x14:dxf>
          </x14:cfRule>
          <x14:cfRule type="expression" priority="104" id="{F3EF273B-30D5-4BB9-8987-29C7BB5BCE25}">
            <xm:f>'Sprachen &amp; Rückgabewerte(3)'!$I$19=FALSE</xm:f>
            <x14:dxf>
              <border>
                <top/>
                <vertical/>
                <horizontal/>
              </border>
            </x14:dxf>
          </x14:cfRule>
          <xm:sqref>AU32:AV32</xm:sqref>
        </x14:conditionalFormatting>
        <x14:conditionalFormatting xmlns:xm="http://schemas.microsoft.com/office/excel/2006/main">
          <x14:cfRule type="expression" priority="103" id="{8031C6E5-2045-4BDE-B619-B5AB61744803}">
            <xm:f>AND($AY$43&lt;&gt;0,'Sprachen &amp; Rückgabewerte(3)'!$I$19=TRUE)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02" id="{71E7FC9A-93F5-4366-958D-486378207646}">
            <xm:f>AND($AY$43&lt;&gt;0,'Sprachen &amp; Rückgabewerte(3)'!$I$19=TRUE)</xm:f>
            <x14:dxf>
              <border>
                <right style="thin">
                  <color rgb="FFFF0000"/>
                </right>
                <vertical/>
                <horizontal/>
              </border>
            </x14:dxf>
          </x14:cfRule>
          <xm:sqref>BA33:BA43</xm:sqref>
        </x14:conditionalFormatting>
        <x14:conditionalFormatting xmlns:xm="http://schemas.microsoft.com/office/excel/2006/main">
          <x14:cfRule type="expression" priority="101" id="{F1E257F2-9148-4477-9617-84DB9C3F5C93}">
            <xm:f>AND($AY$43&lt;&gt;0,'Sprachen &amp; Rückgabewerte(3)'!$I$19=TRUE)</xm:f>
            <x14:dxf>
              <border>
                <bottom style="thin">
                  <color rgb="FFFF0000"/>
                </bottom>
                <vertical/>
                <horizontal/>
              </border>
            </x14:dxf>
          </x14:cfRule>
          <xm:sqref>AW43:BA43</xm:sqref>
        </x14:conditionalFormatting>
        <x14:conditionalFormatting xmlns:xm="http://schemas.microsoft.com/office/excel/2006/main">
          <x14:cfRule type="expression" priority="105" id="{291AA5D9-7FD5-4BEF-A699-F898FAB0F736}">
            <xm:f>AND($AY$43&lt;&gt;0,'Sprachen &amp; Rückgabewerte(3)'!$I$19=TRUE)</xm:f>
            <x14:dxf>
              <border>
                <left style="thin">
                  <color rgb="FFFF0000"/>
                </left>
                <vertical/>
                <horizontal/>
              </border>
            </x14:dxf>
          </x14:cfRule>
          <xm:sqref>AW33:AW43</xm:sqref>
        </x14:conditionalFormatting>
        <x14:conditionalFormatting xmlns:xm="http://schemas.microsoft.com/office/excel/2006/main">
          <x14:cfRule type="expression" priority="98" id="{A3ADA526-C72F-49F0-AA7E-6379B941332E}">
            <xm:f>AND($AY$43&lt;&gt;0,'Sprachen &amp; Rückgabewerte(3)'!$I$19=TRUE)</xm:f>
            <x14:dxf>
              <border>
                <top style="thin">
                  <color rgb="FFFF0000"/>
                </top>
                <vertical/>
                <horizontal/>
              </border>
            </x14:dxf>
          </x14:cfRule>
          <xm:sqref>AD32:AT32</xm:sqref>
        </x14:conditionalFormatting>
        <x14:conditionalFormatting xmlns:xm="http://schemas.microsoft.com/office/excel/2006/main">
          <x14:cfRule type="expression" priority="96" id="{20B67482-257A-4422-B65E-073B580C448C}">
            <xm:f>AND($AY$43&lt;&gt;0,'Sprachen &amp; Rückgabewerte(3)'!$I$19=TRUE)</xm:f>
            <x14:dxf>
              <border>
                <bottom style="thin">
                  <color rgb="FFFF0000"/>
                </bottom>
                <vertical/>
                <horizontal/>
              </border>
            </x14:dxf>
          </x14:cfRule>
          <xm:sqref>AD40:AT40</xm:sqref>
        </x14:conditionalFormatting>
        <x14:conditionalFormatting xmlns:xm="http://schemas.microsoft.com/office/excel/2006/main">
          <x14:cfRule type="expression" priority="93" id="{C04BC443-2E7D-4D82-AE3B-70E4C6DDF95A}">
            <xm:f>AND('Sprachen &amp; Rückgabewerte(3)'!$I$50=TRUE,'Sprachen &amp; Rückgabewerte(3)'!$C$95&lt;&gt;0)</xm:f>
            <x14:dxf>
              <border>
                <top style="thin">
                  <color rgb="FFFF0000"/>
                </top>
                <vertical/>
                <horizontal/>
              </border>
            </x14:dxf>
          </x14:cfRule>
          <xm:sqref>B101:AU101</xm:sqref>
        </x14:conditionalFormatting>
        <x14:conditionalFormatting xmlns:xm="http://schemas.microsoft.com/office/excel/2006/main">
          <x14:cfRule type="expression" priority="92" id="{2036A742-CA73-47A2-B200-22F78688C975}">
            <xm:f>AND('Sprachen &amp; Rückgabewerte(3)'!$I$50=TRUE,'Sprachen &amp; Rückgabewerte(3)'!$C$95&lt;&gt;0)</xm:f>
            <x14:dxf>
              <border>
                <right style="thin">
                  <color rgb="FFFF0000"/>
                </right>
                <vertical/>
                <horizontal/>
              </border>
            </x14:dxf>
          </x14:cfRule>
          <xm:sqref>AU101:AU136</xm:sqref>
        </x14:conditionalFormatting>
        <x14:conditionalFormatting xmlns:xm="http://schemas.microsoft.com/office/excel/2006/main">
          <x14:cfRule type="expression" priority="91" id="{8870E8E0-A989-4412-A574-C0E53BA924EA}">
            <xm:f>AND('Sprachen &amp; Rückgabewerte(3)'!$I$50=TRUE,'Sprachen &amp; Rückgabewerte(3)'!$C$95&lt;&gt;0)</xm:f>
            <x14:dxf>
              <border>
                <bottom style="thin">
                  <color rgb="FFFF0000"/>
                </bottom>
                <vertical/>
                <horizontal/>
              </border>
            </x14:dxf>
          </x14:cfRule>
          <xm:sqref>B136:AU136</xm:sqref>
        </x14:conditionalFormatting>
        <x14:conditionalFormatting xmlns:xm="http://schemas.microsoft.com/office/excel/2006/main">
          <x14:cfRule type="expression" priority="90" id="{87C60131-D633-4D41-8540-18A5826FC72F}">
            <xm:f>AND('Sprachen &amp; Rückgabewerte(3)'!$I$50=TRUE,'Sprachen &amp; Rückgabewerte(3)'!$C$95&lt;&gt;0)</xm:f>
            <x14:dxf>
              <border>
                <left style="thin">
                  <color rgb="FFFF0000"/>
                </left>
                <vertical/>
                <horizontal/>
              </border>
            </x14:dxf>
          </x14:cfRule>
          <xm:sqref>B101:B136</xm:sqref>
        </x14:conditionalFormatting>
        <x14:conditionalFormatting xmlns:xm="http://schemas.microsoft.com/office/excel/2006/main">
          <x14:cfRule type="expression" priority="89" id="{13021659-7A74-477F-B79F-F7EF0FCFCBE0}">
            <xm:f>AND('Sprachen &amp; Rückgabewerte(3)'!$I$50=TRUE,'Sprachen &amp; Rückgabewerte(3)'!$C$95&lt;&gt;0)</xm:f>
            <x14:dxf>
              <border>
                <top style="thin">
                  <color rgb="FFFF0000"/>
                </top>
                <bottom/>
                <vertical/>
                <horizontal/>
              </border>
            </x14:dxf>
          </x14:cfRule>
          <xm:sqref>AV101</xm:sqref>
        </x14:conditionalFormatting>
        <x14:conditionalFormatting xmlns:xm="http://schemas.microsoft.com/office/excel/2006/main">
          <x14:cfRule type="expression" priority="85" id="{EF1D96E4-2BFC-4DA0-8C0D-97D5B0CBA20B}">
            <xm:f>'Sprachen &amp; Rückgabewerte(3)'!$I$50=FALSE</xm:f>
            <x14:dxf>
              <border>
                <right/>
                <vertical/>
                <horizontal/>
              </border>
            </x14:dxf>
          </x14:cfRule>
          <x14:cfRule type="expression" priority="88" id="{82D52C87-AC40-490C-AE2A-3D39F2FAADFF}">
            <xm:f>AND('Sprachen &amp; Rückgabewerte(3)'!$I$50=TRUE,'Sprachen &amp; Rückgabewerte(3)'!$C$95&lt;&gt;0)</xm:f>
            <x14:dxf>
              <border>
                <right style="thin">
                  <color rgb="FFFF0000"/>
                </right>
                <vertical/>
                <horizontal/>
              </border>
            </x14:dxf>
          </x14:cfRule>
          <xm:sqref>AV84:AV100</xm:sqref>
        </x14:conditionalFormatting>
        <x14:conditionalFormatting xmlns:xm="http://schemas.microsoft.com/office/excel/2006/main">
          <x14:cfRule type="expression" priority="86" id="{ECB5F8E4-7D3F-42AB-ACC7-4F006263FD02}">
            <xm:f>'Sprachen &amp; Rückgabewerte(3)'!$I$50=FALSE</xm:f>
            <x14:dxf>
              <border>
                <top/>
                <vertical/>
                <horizontal/>
              </border>
            </x14:dxf>
          </x14:cfRule>
          <x14:cfRule type="expression" priority="87" id="{137E5A0C-ED82-4C64-AC76-98BF540E39A8}">
            <xm:f>AND('Sprachen &amp; Rückgabewerte(3)'!$I$50=TRUE,'Sprachen &amp; Rückgabewerte(3)'!$C$95&lt;&gt;0)</xm:f>
            <x14:dxf>
              <border>
                <top style="thin">
                  <color rgb="FFFF0000"/>
                </top>
                <vertical/>
                <horizontal/>
              </border>
            </x14:dxf>
          </x14:cfRule>
          <xm:sqref>AU84:AV84</xm:sqref>
        </x14:conditionalFormatting>
        <x14:conditionalFormatting xmlns:xm="http://schemas.microsoft.com/office/excel/2006/main">
          <x14:cfRule type="expression" priority="84" id="{BBAF3995-4C94-495E-8DBC-FC691B68EF25}">
            <xm:f>'Sprachen &amp; Rückgabewerte(3)'!$I$50=FALSE</xm:f>
            <x14:dxf>
              <border>
                <bottom/>
                <vertical/>
                <horizontal/>
              </border>
            </x14:dxf>
          </x14:cfRule>
          <xm:sqref>AV100</xm:sqref>
        </x14:conditionalFormatting>
        <x14:conditionalFormatting xmlns:xm="http://schemas.microsoft.com/office/excel/2006/main">
          <x14:cfRule type="expression" priority="73" id="{62DD2194-9D94-454E-AB04-8098021CE863}">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7" id="{87B506C6-B448-48F5-B539-1233846EFF4C}">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08" id="{6BBE58F4-F1FE-4D16-9CA3-7CCFC86CC650}">
            <xm:f>'Sprachen &amp; Rückgabewerte(3)'!$S$41=1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09" id="{95E47338-20D7-453F-89D6-9027A2F54A50}">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10" id="{A65EE8FF-6D78-44B7-B3FE-3A2135E74EE0}">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11" id="{A34925F4-43D2-48AD-B1E1-AC1D4E9DEE16}">
            <xm:f>'Sprachen &amp; Rückgabewerte(3)'!$S$41=3</xm:f>
            <x14:dxf>
              <font>
                <b/>
                <i val="0"/>
                <color theme="1"/>
              </font>
            </x14:dxf>
          </x14:cfRule>
          <x14:cfRule type="expression" priority="312" id="{4172503E-B107-4251-AA35-0A772D838285}">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13" id="{762482B9-632F-4924-9DC3-7384B8879612}">
            <xm:f>'Sprachen &amp; Rückgabewerte(3)'!$S$41=3</xm:f>
            <x14:dxf>
              <font>
                <b/>
                <i val="0"/>
                <color theme="1"/>
              </font>
            </x14:dxf>
          </x14:cfRule>
          <xm:sqref>L46</xm:sqref>
        </x14:conditionalFormatting>
        <x14:conditionalFormatting xmlns:xm="http://schemas.microsoft.com/office/excel/2006/main">
          <x14:cfRule type="expression" priority="314" id="{D46D1884-9BFC-4B5F-A715-79B21040E9CF}">
            <xm:f>'Sprachen &amp; Rückgabewerte(3)'!$S$41=2</xm:f>
            <x14:dxf>
              <font>
                <b/>
                <i val="0"/>
                <color theme="1"/>
              </font>
            </x14:dxf>
          </x14:cfRule>
          <x14:cfRule type="expression" priority="315" id="{FC655073-ECC4-4F89-B1BE-5E66C6AFE71F}">
            <xm:f>'Sprachen &amp; Rückgabewerte(3)'!$S$41=3</xm:f>
            <x14:dxf>
              <font>
                <b/>
                <i val="0"/>
                <color theme="1"/>
              </font>
            </x14:dxf>
          </x14:cfRule>
          <xm:sqref>L47</xm:sqref>
        </x14:conditionalFormatting>
        <x14:conditionalFormatting xmlns:xm="http://schemas.microsoft.com/office/excel/2006/main">
          <x14:cfRule type="expression" priority="316" id="{37B10F8F-B934-4083-8E40-CC70E1F12219}">
            <xm:f>'Sprachen &amp; Rückgabewerte(3)'!$S$41=3</xm:f>
            <x14:dxf>
              <font>
                <b/>
                <i val="0"/>
                <color theme="1"/>
              </font>
            </x14:dxf>
          </x14:cfRule>
          <x14:cfRule type="expression" priority="317" id="{BB6E89B8-A96D-4FE2-9631-09DE65A6DD1A}">
            <xm:f>'Sprachen &amp; Rückgabewerte(3)'!$S$41=2</xm:f>
            <x14:dxf>
              <font>
                <b/>
                <i val="0"/>
                <color theme="1"/>
              </font>
            </x14:dxf>
          </x14:cfRule>
          <x14:cfRule type="expression" priority="318" id="{46CCACB9-B289-4AB5-A2CC-0D926097FD04}">
            <xm:f>'Sprachen &amp; Rückgabewerte(3)'!$S$41=1</xm:f>
            <x14:dxf>
              <font>
                <b/>
                <i val="0"/>
                <color theme="1"/>
              </font>
            </x14:dxf>
          </x14:cfRule>
          <xm:sqref>L48</xm:sqref>
        </x14:conditionalFormatting>
        <x14:conditionalFormatting xmlns:xm="http://schemas.microsoft.com/office/excel/2006/main">
          <x14:cfRule type="expression" priority="81" id="{C9C44748-9025-4EFD-A1D0-8FFF4CCAA71A}">
            <xm:f>'Sprachen &amp; Rückgabewerte(3)'!$M$71=0</xm:f>
            <x14:dxf>
              <border>
                <top style="thin">
                  <color rgb="FFFF0000"/>
                </top>
                <vertical/>
                <horizontal/>
              </border>
            </x14:dxf>
          </x14:cfRule>
          <xm:sqref>AW45:AX45</xm:sqref>
        </x14:conditionalFormatting>
        <x14:conditionalFormatting xmlns:xm="http://schemas.microsoft.com/office/excel/2006/main">
          <x14:cfRule type="expression" priority="80" id="{9DC6AC48-A6CE-4376-B055-1D813A64C942}">
            <xm:f>'Sprachen &amp; Rückgabewerte(3)'!$M$71=0</xm:f>
            <x14:dxf>
              <border>
                <right style="thin">
                  <color rgb="FFFF0000"/>
                </right>
                <vertical/>
                <horizontal/>
              </border>
            </x14:dxf>
          </x14:cfRule>
          <xm:sqref>AX45:AX47 AW48:AX48 AX49</xm:sqref>
        </x14:conditionalFormatting>
        <x14:conditionalFormatting xmlns:xm="http://schemas.microsoft.com/office/excel/2006/main">
          <x14:cfRule type="expression" priority="79" id="{5A8EDC6D-E70B-45A9-80B9-77C668469403}">
            <xm:f>'Sprachen &amp; Rückgabewerte(3)'!$M$71=0</xm:f>
            <x14:dxf>
              <border>
                <bottom style="thin">
                  <color rgb="FFFF0000"/>
                </bottom>
                <vertical/>
                <horizontal/>
              </border>
            </x14:dxf>
          </x14:cfRule>
          <xm:sqref>AW49:AX49</xm:sqref>
        </x14:conditionalFormatting>
        <x14:conditionalFormatting xmlns:xm="http://schemas.microsoft.com/office/excel/2006/main">
          <x14:cfRule type="expression" priority="78" id="{EF6413C2-9B8F-4951-84E9-312B46760A3A}">
            <xm:f>'Sprachen &amp; Rückgabewerte(3)'!$M$71=0</xm:f>
            <x14:dxf>
              <border>
                <left style="thin">
                  <color rgb="FFFF0000"/>
                </left>
                <vertical/>
                <horizontal/>
              </border>
            </x14:dxf>
          </x14:cfRule>
          <xm:sqref>AW49 AW48:AX48 AW45:AW47</xm:sqref>
        </x14:conditionalFormatting>
        <x14:conditionalFormatting xmlns:xm="http://schemas.microsoft.com/office/excel/2006/main">
          <x14:cfRule type="expression" priority="75" id="{F55FB12B-B40E-4083-9622-A80B06C6B5F3}">
            <xm:f>'Sprachen &amp; Rückgabewerte(3)'!$L$71=1</xm:f>
            <x14:dxf>
              <font>
                <color theme="0" tint="-0.14996795556505021"/>
              </font>
              <fill>
                <patternFill>
                  <bgColor theme="0" tint="-0.14996795556505021"/>
                </patternFill>
              </fill>
              <border>
                <top/>
                <vertical/>
                <horizontal/>
              </border>
            </x14:dxf>
          </x14:cfRule>
          <x14:cfRule type="expression" priority="77" id="{BDCBE567-E116-4ADD-8CB5-A950FF539B95}">
            <xm:f>'Sprachen &amp; Rückgabewerte(3)'!$M$71=0</xm:f>
            <x14:dxf>
              <border>
                <top style="thin">
                  <color rgb="FFFF0000"/>
                </top>
                <vertical/>
                <horizontal/>
              </border>
            </x14:dxf>
          </x14:cfRule>
          <xm:sqref>AU45:AV45</xm:sqref>
        </x14:conditionalFormatting>
        <x14:conditionalFormatting xmlns:xm="http://schemas.microsoft.com/office/excel/2006/main">
          <x14:cfRule type="expression" priority="76" id="{BBE1D054-B2E9-431E-ABD2-9EDCDAA1A7AA}">
            <xm:f>'Sprachen &amp; Rückgabewerte(3)'!$L$71=1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55" id="{88EFC343-CA0B-4981-8097-8F295F959239}">
            <xm:f>'Sprachen &amp; Rückgabewerte(3)'!$I$50=FALSE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54" id="{F714C743-EFEF-424E-9B38-61133BC7986F}">
            <xm:f>'Sprachen &amp; Rückgabewerte(3)'!$I$50=FALSE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53" id="{2891D7F3-840A-4D4C-A357-DF7473A7D7B7}">
            <xm:f>$AX$19='Sprachen &amp; Rückgabewerte(3)'!$H$155</xm:f>
            <x14:dxf>
              <font>
                <color rgb="FFFF0000"/>
              </font>
            </x14:dxf>
          </x14:cfRule>
          <xm:sqref>AX19:BA20</xm:sqref>
        </x14:conditionalFormatting>
        <x14:conditionalFormatting xmlns:xm="http://schemas.microsoft.com/office/excel/2006/main">
          <x14:cfRule type="expression" priority="50" id="{807B4656-29D9-452B-83C4-5AE1025221BC}">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43" id="{E47A29E0-0AAD-4D79-B0F3-728CC72C6EE2}">
            <xm:f>$AN$80&lt;&gt;'Sprachen &amp; Rückgabewerte(3)'!$H$85</xm:f>
            <x14:dxf>
              <border>
                <left style="thin">
                  <color auto="1"/>
                </left>
                <top style="thin">
                  <color auto="1"/>
                </top>
                <bottom style="thin">
                  <color auto="1"/>
                </bottom>
                <vertical/>
                <horizontal/>
              </border>
            </x14:dxf>
          </x14:cfRule>
          <xm:sqref>AW76:AW80</xm:sqref>
        </x14:conditionalFormatting>
        <x14:conditionalFormatting xmlns:xm="http://schemas.microsoft.com/office/excel/2006/main">
          <x14:cfRule type="expression" priority="42" id="{271B593C-10CC-4C51-9986-98E121957F97}">
            <xm:f>$AN$80&lt;&gt;'Sprachen &amp; Rückgabewerte(3)'!$H$86</xm:f>
            <x14:dxf>
              <border>
                <right style="thin">
                  <color auto="1"/>
                </right>
                <top style="thin">
                  <color auto="1"/>
                </top>
                <bottom style="thin">
                  <color auto="1"/>
                </bottom>
                <vertical/>
                <horizontal/>
              </border>
            </x14:dxf>
          </x14:cfRule>
          <xm:sqref>AX76:AX80</xm:sqref>
        </x14:conditionalFormatting>
        <x14:conditionalFormatting xmlns:xm="http://schemas.microsoft.com/office/excel/2006/main">
          <x14:cfRule type="expression" priority="37" id="{A84C964A-3DE4-4FA7-B7FD-58AAB7A81116}">
            <xm:f>'Sprachen &amp; Rückgabewerte(3)'!$U$49=FALSE</xm:f>
            <x14:dxf>
              <border>
                <left style="thin">
                  <color rgb="FFFF0000"/>
                </left>
                <vertical/>
                <horizontal/>
              </border>
            </x14:dxf>
          </x14:cfRule>
          <xm:sqref>E22:H26</xm:sqref>
        </x14:conditionalFormatting>
        <x14:conditionalFormatting xmlns:xm="http://schemas.microsoft.com/office/excel/2006/main">
          <x14:cfRule type="expression" priority="35" id="{8B744B09-45AC-4FEF-9B72-18C339B8D6FA}">
            <xm:f>'Sprachen &amp; Rückgabewerte(3)'!$U$49=FALSE</xm:f>
            <x14:dxf>
              <border>
                <right style="thin">
                  <color rgb="FFFF0000"/>
                </right>
                <vertical/>
                <horizontal/>
              </border>
            </x14:dxf>
          </x14:cfRule>
          <xm:sqref>AO22:AR26</xm:sqref>
        </x14:conditionalFormatting>
        <x14:conditionalFormatting xmlns:xm="http://schemas.microsoft.com/office/excel/2006/main">
          <x14:cfRule type="expression" priority="34" id="{D37260DA-83B1-45F0-B7FF-2F45AE1DE6B7}">
            <xm:f>'Sprachen &amp; Rückgabewerte(3)'!$I$39=FALSE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1" id="{5E180CB2-7E7B-4BEF-A8BC-2B81E5E3BD2E}">
            <xm:f>'Sprachen &amp; Rückgabewerte(3)'!$I$39=FALSE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0" id="{910AAE53-AE00-4CA0-83ED-22516D981BCC}">
            <xm:f>AND('Sprachen &amp; Rückgabewerte(3)'!$C$16=1,$F$16="")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29" id="{08056673-D613-4DC6-B253-9C3C742A8016}">
            <xm:f>AND('Sprachen &amp; Rückgabewerte(3)'!$C$17=1,$J$16="")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28" id="{AA403F46-5F49-46A4-A6B7-E943F8C3A171}">
            <xm:f>AND('Sprachen &amp; Rückgabewerte(3)'!$C$18=1,$N$16="")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7" id="{890FE021-1717-4025-A762-B5C81F7747E7}">
            <xm:f>AND('Sprachen &amp; Rückgabewerte(3)'!$C$19=1,$R$16="")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6" id="{16C4B024-DA08-4657-A4D8-3CE2962B3898}">
            <xm:f>AND('Sprachen &amp; Rückgabewerte(3)'!$C$20=1,$V$16="")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5" id="{65CA2B55-5836-403B-A7B6-F747D3C9926D}">
            <xm:f>AND('Sprachen &amp; Rückgabewerte(3)'!$C$21=1,$Z$16="")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4" id="{A99323B4-2F38-4564-BDDB-0784210AF562}">
            <xm:f>AND('Sprachen &amp; Rückgabewerte(3)'!$C$22=1,$AD$16="")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3" id="{17A39AD7-8A4E-47ED-8CAE-EC3AC3E3A54A}">
            <xm:f>AND('Sprachen &amp; Rückgabewerte(3)'!$C$23=1,$AH$16="")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2" id="{5AF75F8D-AFFD-40E3-8ED0-F47D19784518}">
            <xm:f>AND('Sprachen &amp; Rückgabewerte(3)'!$C$24=1,$AL$16="")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1" id="{5DF6FD1F-40F7-4D36-A775-059F173F339F}">
            <xm:f>AND('Sprachen &amp; Rückgabewerte(3)'!$C$25=1,$AP$16="")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0" id="{DCD37E32-E81E-493B-93B6-7B6FF34D4701}">
            <xm:f>'Sprachen &amp; Rückgabewerte(3)'!$I$71=FALSE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19" id="{9FC1FFDF-6FFF-47A2-8D59-56E75D58929A}">
            <xm:f>AND('Sprachen &amp; Rückgabewerte(3)'!$I$71=TRUE,$AP$74="",$AP$75="",$AP$76="")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01642C9A-FA36-41B2-AB1D-376AD2393779}">
            <xm:f>OR($AQ$96='Sprachen &amp; Rückgabewerte(3)'!$H$96,$AQ$96="")</xm:f>
            <x14:dxf>
              <border>
                <bottom/>
                <vertical/>
                <horizontal/>
              </border>
            </x14:dxf>
          </x14:cfRule>
          <x14:cfRule type="expression" priority="17" id="{8CF0698C-7852-438F-8F4B-BB3CE8868FA4}">
            <xm:f>AND($AQ$96='Sprachen &amp; Rückgabewerte(3)'!$H$95,$AW$96="")</xm:f>
            <x14:dxf>
              <border>
                <bottom style="thin">
                  <color rgb="FFFF0000"/>
                </bottom>
                <vertical/>
                <horizontal/>
              </border>
            </x14:dxf>
          </x14:cfRule>
          <xm:sqref>AS96:AV96</xm:sqref>
        </x14:conditionalFormatting>
        <x14:conditionalFormatting xmlns:xm="http://schemas.microsoft.com/office/excel/2006/main">
          <x14:cfRule type="expression" priority="15" id="{F886DA0D-81DC-4672-94C6-EBF879501D36}">
            <xm:f>AND($AQ$96='Sprachen &amp; Rückgabewerte(3)'!$H$95,$AW$96="")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4" id="{094826D3-7728-414B-9AD9-EF5AD0830279}">
            <xm:f>OR($AQ$96='Sprachen &amp; Rückgabewerte(3)'!$H$96,$AQ$96="")</xm:f>
            <x14:dxf>
              <font>
                <color theme="0" tint="-0.14996795556505021"/>
              </font>
              <fill>
                <patternFill>
                  <bgColor theme="0" tint="-0.14996795556505021"/>
                </patternFill>
              </fill>
              <border>
                <left/>
                <right/>
                <top/>
                <bottom/>
                <vertical/>
                <horizontal/>
              </border>
            </x14:dxf>
          </x14:cfRule>
          <xm:sqref>AW95:AX96</xm:sqref>
        </x14:conditionalFormatting>
        <x14:conditionalFormatting xmlns:xm="http://schemas.microsoft.com/office/excel/2006/main">
          <x14:cfRule type="expression" priority="13" id="{79E38CCB-E96F-47FE-AD8C-ACE3E76E565E}">
            <xm:f>'Sprachen &amp; Rückgabewerte(3)'!$W$68&gt;0</xm:f>
            <x14:dxf>
              <border>
                <bottom style="thin">
                  <color rgb="FFFF0000"/>
                </bottom>
                <vertical/>
                <horizontal/>
              </border>
            </x14:dxf>
          </x14:cfRule>
          <xm:sqref>AD97:AT97</xm:sqref>
        </x14:conditionalFormatting>
        <x14:conditionalFormatting xmlns:xm="http://schemas.microsoft.com/office/excel/2006/main">
          <x14:cfRule type="expression" priority="12" id="{06FDCBE9-71DF-4A2B-AC8C-1DCD03A5C4E3}">
            <xm:f>'Sprachen &amp; Rückgabewerte(3)'!$W$68&gt;0</xm:f>
            <x14:dxf>
              <border>
                <top style="thin">
                  <color rgb="FFFF0000"/>
                </top>
                <vertical/>
                <horizontal/>
              </border>
            </x14:dxf>
          </x14:cfRule>
          <xm:sqref>AD95:AT95</xm:sqref>
        </x14:conditionalFormatting>
        <x14:conditionalFormatting xmlns:xm="http://schemas.microsoft.com/office/excel/2006/main">
          <x14:cfRule type="expression" priority="11" id="{C3D8EAD7-76EA-48FB-A19F-AF6B5DB168DA}">
            <xm:f>'Sprachen &amp; Rückgabewerte(3)'!$W$68&gt;0</xm:f>
            <x14:dxf>
              <border>
                <left style="thin">
                  <color rgb="FFFF0000"/>
                </left>
                <vertical/>
                <horizontal/>
              </border>
            </x14:dxf>
          </x14:cfRule>
          <xm:sqref>AD95:AD97</xm:sqref>
        </x14:conditionalFormatting>
        <x14:conditionalFormatting xmlns:xm="http://schemas.microsoft.com/office/excel/2006/main">
          <x14:cfRule type="expression" priority="10" id="{2A9C7D59-7E76-4358-9B19-FC73C84D0F5F}">
            <xm:f>'Sprachen &amp; Rückgabewerte(3)'!$W$68&gt;0</xm:f>
            <x14:dxf>
              <border>
                <right style="thin">
                  <color rgb="FFFF0000"/>
                </right>
                <vertical/>
                <horizontal/>
              </border>
            </x14:dxf>
          </x14:cfRule>
          <xm:sqref>AT95:AT97</xm:sqref>
        </x14:conditionalFormatting>
        <x14:conditionalFormatting xmlns:xm="http://schemas.microsoft.com/office/excel/2006/main">
          <x14:cfRule type="expression" priority="7" id="{213110EC-ABFF-490F-8082-512E821CFF82}">
            <xm:f>'Sprachen &amp; Rückgabewerte(3)'!$C$51=FALSE</xm:f>
            <x14:dxf>
              <font>
                <color theme="0" tint="-0.14996795556505021"/>
              </font>
              <fill>
                <patternFill>
                  <bgColor theme="0" tint="-0.14996795556505021"/>
                </patternFill>
              </fill>
              <border>
                <left/>
                <right/>
                <top/>
                <bottom/>
                <vertical/>
                <horizontal/>
              </border>
            </x14:dxf>
          </x14:cfRule>
          <x14:cfRule type="expression" priority="8" id="{E67D9362-7C22-485B-9619-0B3A035F1F94}">
            <xm:f>'Sprachen &amp; Rückgabewerte(3)'!$U$65=FALSE</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V96:Y96</xm:sqref>
        </x14:conditionalFormatting>
        <x14:conditionalFormatting xmlns:xm="http://schemas.microsoft.com/office/excel/2006/main">
          <x14:cfRule type="expression" priority="4" id="{28A2CD86-F4A5-4332-9E89-E3980C927DBD}">
            <xm:f>'Sprachen &amp; Rückgabewerte(3)'!$W$78&lt;&gt;0</xm:f>
            <x14:dxf>
              <border>
                <bottom style="thin">
                  <color rgb="FFFF0000"/>
                </bottom>
                <vertical/>
                <horizontal/>
              </border>
            </x14:dxf>
          </x14:cfRule>
          <xm:sqref>AW11:BB11</xm:sqref>
        </x14:conditionalFormatting>
        <x14:conditionalFormatting xmlns:xm="http://schemas.microsoft.com/office/excel/2006/main">
          <x14:cfRule type="expression" priority="3" id="{7E680056-7BC0-47E5-8C0F-953D8899B889}">
            <xm:f>'Sprachen &amp; Rückgabewerte(3)'!$W$78&lt;&gt;0</xm:f>
            <x14:dxf>
              <border>
                <top style="thin">
                  <color rgb="FFFF0000"/>
                </top>
                <vertical/>
                <horizontal/>
              </border>
            </x14:dxf>
          </x14:cfRule>
          <xm:sqref>AW6:BB6</xm:sqref>
        </x14:conditionalFormatting>
        <x14:conditionalFormatting xmlns:xm="http://schemas.microsoft.com/office/excel/2006/main">
          <x14:cfRule type="expression" priority="2" id="{F0A6E879-E46B-425E-8A87-97E8C865B3C2}">
            <xm:f>'Sprachen &amp; Rückgabewerte(3)'!$W$78&lt;&gt;0</xm:f>
            <x14:dxf>
              <border>
                <left style="thin">
                  <color rgb="FFFF0000"/>
                </left>
                <vertical/>
                <horizontal/>
              </border>
            </x14:dxf>
          </x14:cfRule>
          <xm:sqref>AW6:AW11</xm:sqref>
        </x14:conditionalFormatting>
        <x14:conditionalFormatting xmlns:xm="http://schemas.microsoft.com/office/excel/2006/main">
          <x14:cfRule type="expression" priority="1" id="{AD2D5912-61B7-4CF9-88F7-A942BD094A92}">
            <xm:f>'Sprachen &amp; Rückgabewerte(3)'!$W$78&lt;&gt;0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4">
        <x14:dataValidation type="list" allowBlank="1" showInputMessage="1" showErrorMessage="1" xr:uid="{F89A0321-5735-47C1-843F-D1DC4D74F956}">
          <x14:formula1>
            <xm:f>'Sprachen &amp; Rückgabewerte(3)'!$M$86:$M$138</xm:f>
          </x14:formula1>
          <xm:sqref>AM88:AR88</xm:sqref>
        </x14:dataValidation>
        <x14:dataValidation type="list" showInputMessage="1" showErrorMessage="1" xr:uid="{EB49E7C1-B259-4E33-A130-F3546D93CFD4}">
          <x14:formula1>
            <xm:f>'Sprachen &amp; Rückgabewerte(3)'!$B$70:$B$72</xm:f>
          </x14:formula1>
          <xm:sqref>H85:K85 V85:Y85 O85:R85 X72:AA72</xm:sqref>
        </x14:dataValidation>
        <x14:dataValidation type="list" allowBlank="1" showInputMessage="1" showErrorMessage="1" xr:uid="{7D6D2024-C50A-41B7-9905-062B496D7B85}">
          <x14:formula1>
            <xm:f>'Sprachen &amp; Rückgabewerte(3)'!$H$103:$H$107</xm:f>
          </x14:formula1>
          <xm:sqref>G20:AP20</xm:sqref>
        </x14:dataValidation>
        <x14:dataValidation type="list" showInputMessage="1" showErrorMessage="1" xr:uid="{E8F9D41C-3610-423E-AF7C-04194037B931}">
          <x14:formula1>
            <xm:f>'Sprachen &amp; Rückgabewerte(3)'!$B$33:$B$34</xm:f>
          </x14:formula1>
          <xm:sqref>E23:AR26</xm:sqref>
        </x14:dataValidation>
        <x14:dataValidation type="list" showInputMessage="1" showErrorMessage="1" xr:uid="{35E05A00-AD51-4923-955E-9A17824B4181}">
          <x14:formula1>
            <xm:f>'Sprachen &amp; Rückgabewerte(3)'!$A$11:$A$18</xm:f>
          </x14:formula1>
          <xm:sqref>AM43:AQ43</xm:sqref>
        </x14:dataValidation>
        <x14:dataValidation type="list" showInputMessage="1" showErrorMessage="1" xr:uid="{7CD0AAE4-CDB1-44FC-A720-EBC40145535D}">
          <x14:formula1>
            <xm:f>'Sprachen &amp; Rückgabewerte(3)'!$A$19:$A$21</xm:f>
          </x14:formula1>
          <xm:sqref>AR43:AS43</xm:sqref>
        </x14:dataValidation>
        <x14:dataValidation type="list" allowBlank="1" showInputMessage="1" showErrorMessage="1" xr:uid="{3703221E-31CB-4291-B23F-56D278A4B8CD}">
          <x14:formula1>
            <xm:f>'Sprachen &amp; Rückgabewerte(3)'!$J$67:$J$69</xm:f>
          </x14:formula1>
          <xm:sqref>AN70:AS70</xm:sqref>
        </x14:dataValidation>
        <x14:dataValidation type="list" allowBlank="1" showInputMessage="1" showErrorMessage="1" xr:uid="{98D30AE6-1C2F-4135-991F-A66D1995F5E4}">
          <x14:formula1>
            <xm:f>'Sprachen &amp; Rückgabewerte(3)'!$J$77:$J$79</xm:f>
          </x14:formula1>
          <xm:sqref>AN78:AP78</xm:sqref>
        </x14:dataValidation>
        <x14:dataValidation type="list" allowBlank="1" showInputMessage="1" showErrorMessage="1" xr:uid="{FDC44AF9-30EF-4514-8E3A-68980D6A2504}">
          <x14:formula1>
            <xm:f>'Sprachen &amp; Rückgabewerte(3)'!$J$80:$J$82</xm:f>
          </x14:formula1>
          <xm:sqref>AN79:AP79</xm:sqref>
        </x14:dataValidation>
        <x14:dataValidation type="list" allowBlank="1" showInputMessage="1" showErrorMessage="1" xr:uid="{64A9A460-0FFB-440C-9F89-C84FC70C303F}">
          <x14:formula1>
            <xm:f>'Sprachen &amp; Rückgabewerte(3)'!$J$84:$J$86</xm:f>
          </x14:formula1>
          <xm:sqref>AN80:AS80</xm:sqref>
        </x14:dataValidation>
        <x14:dataValidation type="list" allowBlank="1" showInputMessage="1" showErrorMessage="1" xr:uid="{0CECA9F0-8322-4CD1-8C63-4C9E5685A2D9}">
          <x14:formula1>
            <xm:f>'Sprachen &amp; Rückgabewerte(3)'!$J$94:$J$96</xm:f>
          </x14:formula1>
          <xm:sqref>AO55:AP55</xm:sqref>
        </x14:dataValidation>
        <x14:dataValidation type="list" showInputMessage="1" showErrorMessage="1" xr:uid="{27B15D44-60C0-441E-B29E-21C99FE56D26}">
          <x14:formula1>
            <xm:f>'Sprachen &amp; Rückgabewerte(3)'!$B$73:$B$75</xm:f>
          </x14:formula1>
          <xm:sqref>H96:K96</xm:sqref>
        </x14:dataValidation>
        <x14:dataValidation type="list" showInputMessage="1" showErrorMessage="1" xr:uid="{3A10531A-9DB6-426C-963A-4799E8334B65}">
          <x14:formula1>
            <xm:f>'Sprachen &amp; Rückgabewerte(3)'!$B$76:$B$78</xm:f>
          </x14:formula1>
          <xm:sqref>O96:R96</xm:sqref>
        </x14:dataValidation>
        <x14:dataValidation type="list" allowBlank="1" showInputMessage="1" showErrorMessage="1" xr:uid="{4AF233DD-9630-4D78-B2A5-73DCC67836B7}">
          <x14:formula1>
            <xm:f>'Sprachen &amp; Rückgabewerte(3)'!$B$9:$B$14</xm:f>
          </x14:formula1>
          <xm:sqref>F10:G10 J10:K10 N10:O10 R10:S10 V10:W10 Z10:AA10 AD10:AE10 AH10:AI10 AL10:AM10 AP10:AQ10</xm:sqref>
        </x14:dataValidation>
        <x14:dataValidation type="list" allowBlank="1" showInputMessage="1" showErrorMessage="1" xr:uid="{4EE24D45-61BC-4BAB-A0B4-808B59B1EC03}">
          <x14:formula1>
            <xm:f>'Sprachen &amp; Rückgabewerte(3)'!$B$33:$B$34</xm:f>
          </x14:formula1>
          <xm:sqref>E22:AR22</xm:sqref>
        </x14:dataValidation>
        <x14:dataValidation type="list" showInputMessage="1" showErrorMessage="1" xr:uid="{9F9EF686-60CB-4DBF-9DA7-9E5FCA3D49F4}">
          <x14:formula1>
            <xm:f>'Sprachen &amp; Rückgabewerte(3)'!$B$67:$B$69</xm:f>
          </x14:formula1>
          <xm:sqref>F72:I72 L72:O72 R72:U72</xm:sqref>
        </x14:dataValidation>
        <x14:dataValidation type="list" allowBlank="1" showInputMessage="1" showErrorMessage="1" xr:uid="{6862A975-AB36-4F31-BAE1-B7FC401AB141}">
          <x14:formula1>
            <xm:f>'Sprachen &amp; Rückgabewerte(3)'!$J$91:$J$93</xm:f>
          </x14:formula1>
          <xm:sqref>AM49:AP49</xm:sqref>
        </x14:dataValidation>
        <x14:dataValidation type="list" allowBlank="1" showInputMessage="1" showErrorMessage="1" xr:uid="{1366B7D6-FC8A-4D21-BFA5-B5216FB3004F}">
          <x14:formula1>
            <xm:f>'Sprachen &amp; Rückgabewerte(3)'!$N$78:$N$80</xm:f>
          </x14:formula1>
          <xm:sqref>AE70:AL70</xm:sqref>
        </x14:dataValidation>
        <x14:dataValidation type="list" allowBlank="1" showInputMessage="1" showErrorMessage="1" xr:uid="{F531BEEA-743D-401B-AB89-DB4B124BE2AD}">
          <x14:formula1>
            <xm:f>'Sprachen &amp; Rückgabewerte(3)'!$J$133:$J$136</xm:f>
          </x14:formula1>
          <xm:sqref>AX33:AY42</xm:sqref>
        </x14:dataValidation>
        <x14:dataValidation type="list" allowBlank="1" showInputMessage="1" showErrorMessage="1" xr:uid="{E292CEEF-BE6C-49CA-8C4A-E2E83A800CCF}">
          <x14:formula1>
            <xm:f>'Sprachen &amp; Rückgabewerte(3)'!$B$81:$B$84</xm:f>
          </x14:formula1>
          <xm:sqref>T104</xm:sqref>
        </x14:dataValidation>
        <x14:dataValidation type="list" allowBlank="1" showInputMessage="1" showErrorMessage="1" xr:uid="{B378A7F7-2DFB-4611-8114-073CE9D2FA11}">
          <x14:formula1>
            <xm:f>'Sprachen &amp; Rückgabewerte(3)'!$J$142:$J$144</xm:f>
          </x14:formula1>
          <xm:sqref>T110</xm:sqref>
        </x14:dataValidation>
        <x14:dataValidation type="list" allowBlank="1" showInputMessage="1" showErrorMessage="1" xr:uid="{A23DE391-5E21-450C-B510-1C8BFBB64415}">
          <x14:formula1>
            <xm:f>'Sprachen &amp; Rückgabewerte(3)'!$J$145:$J$147</xm:f>
          </x14:formula1>
          <xm:sqref>T114</xm:sqref>
        </x14:dataValidation>
        <x14:dataValidation type="list" showInputMessage="1" showErrorMessage="1" xr:uid="{33CCD568-E6AB-4B6F-98FF-AE1282B0B553}">
          <x14:formula1>
            <xm:f>'Sprachen &amp; Rückgabewerte(3)'!$R$41:$R$43</xm:f>
          </x14:formula1>
          <xm:sqref>AF11:AG11 AN11:AO11 X11:Y11 T11:U11 P11:Q11 L11:M11 AB11:AC11 AJ11:AK11 H11:I11</xm:sqref>
        </x14:dataValidation>
        <x14:dataValidation type="list" allowBlank="1" showInputMessage="1" showErrorMessage="1" xr:uid="{88B7D38A-E0D3-4AA1-91D5-8409605E2473}">
          <x14:formula1>
            <xm:f>'Sprachen &amp; Rückgabewerte(3)'!$Q$41:$Q$51</xm:f>
          </x14:formula1>
          <xm:sqref>AP74:AP76</xm:sqref>
        </x14:dataValidation>
        <x14:dataValidation type="list" showInputMessage="1" showErrorMessage="1" errorTitle="SG-Typ auswählen" error="Bitte wählen Sie einen Sky-Glass Typ aus. Spezialaufbau bitte im Feld Speziell eingeben!" xr:uid="{8FC0E7E8-B937-43B1-B406-EE9EBBCFA982}">
          <x14:formula1>
            <xm:f>'Sprachen &amp; Rückgabewerte(3)'!$V$3:$V$35</xm:f>
          </x14:formula1>
          <xm:sqref>AE53:AG53</xm:sqref>
        </x14:dataValidation>
        <x14:dataValidation type="list" allowBlank="1" showInputMessage="1" showErrorMessage="1" xr:uid="{825D5E66-9108-450A-9B67-5C5A23641F12}">
          <x14:formula1>
            <xm:f>'Sprachen &amp; Rückgabewerte(3)'!$J$150:$J$153</xm:f>
          </x14:formula1>
          <xm:sqref>AW48:AX48</xm:sqref>
        </x14:dataValidation>
        <x14:dataValidation type="list" allowBlank="1" showInputMessage="1" showErrorMessage="1" xr:uid="{BB3E3BBA-ECAD-4660-9959-2B50491C3E63}">
          <x14:formula1>
            <xm:f>'Sprachen &amp; Rückgabewerte(3)'!$J$87:$J$89</xm:f>
          </x14:formula1>
          <xm:sqref>AE84:AL84</xm:sqref>
        </x14:dataValidation>
        <x14:dataValidation type="list" allowBlank="1" showInputMessage="1" showErrorMessage="1" xr:uid="{0BD4A6A1-0969-4A93-AA0D-E4B111562BAA}">
          <x14:formula1>
            <xm:f>'Sprachen &amp; Rückgabewerte(3)'!$J$174:$J$175</xm:f>
          </x14:formula1>
          <xm:sqref>AM46:AS46</xm:sqref>
        </x14:dataValidation>
        <x14:dataValidation type="list" allowBlank="1" showInputMessage="1" showErrorMessage="1" xr:uid="{D23232F7-A84F-4DF6-B6EB-573146A470F9}">
          <x14:formula1>
            <xm:f>'Sprachen &amp; Rückgabewerte(3)'!$J$177:$J$178</xm:f>
          </x14:formula1>
          <xm:sqref>AM47:AS47</xm:sqref>
        </x14:dataValidation>
        <x14:dataValidation type="list" allowBlank="1" showInputMessage="1" showErrorMessage="1" xr:uid="{7D1AC325-B606-4726-AA8E-9D3507995D11}">
          <x14:formula1>
            <xm:f>'Sprachen &amp; Rückgabewerte(3)'!$A$28:$A$30</xm:f>
          </x14:formula1>
          <xm:sqref>F16:G17 AL16:AM17 J16:K17 N16:O17 R16:S17 V16:W17 Z16:AA17 AD16:AE17 AH16:AI17 AP16:AQ17</xm:sqref>
        </x14:dataValidation>
        <x14:dataValidation type="list" allowBlank="1" showInputMessage="1" showErrorMessage="1" xr:uid="{9D59D866-A376-4EFF-BB45-AB91EEB24FA3}">
          <x14:formula1>
            <xm:f>'Sprachen &amp; Rückgabewerte(3)'!$H$95:$H$96</xm:f>
          </x14:formula1>
          <xm:sqref>AQ96:AR96</xm:sqref>
        </x14:dataValidation>
        <x14:dataValidation type="list" allowBlank="1" showInputMessage="1" showErrorMessage="1" xr:uid="{86F538D0-1AEB-4C3D-ABFD-B8BBF9E621E5}">
          <x14:formula1>
            <xm:f>'Sprachen &amp; Rückgabewerte(3)'!$H$191:$H$192</xm:f>
          </x14:formula1>
          <xm:sqref>V96:Y96</xm:sqref>
        </x14:dataValidation>
        <x14:dataValidation type="list" allowBlank="1" showInputMessage="1" showErrorMessage="1" xr:uid="{D334E4D2-4930-4419-B87B-F589E2080D91}">
          <x14:formula1>
            <xm:f>'Sprachen &amp; Rückgabewerte(3)'!$H$198:$H$199</xm:f>
          </x14:formula1>
          <xm:sqref>AZ9:BA9</xm:sqref>
        </x14:dataValidation>
        <x14:dataValidation type="list" allowBlank="1" showInputMessage="1" showErrorMessage="1" xr:uid="{50E0FEE4-9D10-45C2-ACE6-6A713AE98EC4}">
          <x14:formula1>
            <xm:f>'Sprachen &amp; Rückgabewerte(3)'!$H$196:$H$197</xm:f>
          </x14:formula1>
          <xm:sqref>AZ10:BA10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87F21-DA1D-471F-80A9-1DF4A82A92D1}">
  <dimension ref="A1:AF205"/>
  <sheetViews>
    <sheetView showGridLines="0" topLeftCell="A170" zoomScale="70" zoomScaleNormal="70" workbookViewId="0">
      <selection activeCell="P78" sqref="P78"/>
    </sheetView>
  </sheetViews>
  <sheetFormatPr baseColWidth="10" defaultColWidth="11.42578125" defaultRowHeight="12.75" x14ac:dyDescent="0.2"/>
  <cols>
    <col min="1" max="1" width="19.140625" style="280" customWidth="1"/>
    <col min="2" max="2" width="16.7109375" style="280" customWidth="1"/>
    <col min="3" max="3" width="11.42578125" style="280" customWidth="1"/>
    <col min="4" max="7" width="40.7109375" style="280" customWidth="1"/>
    <col min="8" max="8" width="34.28515625" style="280" customWidth="1"/>
    <col min="9" max="9" width="30.42578125" style="280" customWidth="1"/>
    <col min="10" max="10" width="25.7109375" style="280" customWidth="1"/>
    <col min="11" max="11" width="15.5703125" style="280" customWidth="1"/>
    <col min="12" max="12" width="13.42578125" style="280" customWidth="1"/>
    <col min="13" max="13" width="16.140625" style="280" customWidth="1"/>
    <col min="14" max="17" width="11.42578125" style="280"/>
    <col min="18" max="18" width="12.5703125" style="280" customWidth="1"/>
    <col min="19" max="19" width="10.140625" style="280" customWidth="1"/>
    <col min="20" max="20" width="10.28515625" style="280" customWidth="1"/>
    <col min="21" max="21" width="21.5703125" style="280" customWidth="1"/>
    <col min="22" max="26" width="11.42578125" style="280"/>
    <col min="27" max="27" width="12.28515625" style="280" customWidth="1"/>
    <col min="28" max="28" width="11.42578125" style="280"/>
    <col min="29" max="31" width="26.42578125" style="280" customWidth="1"/>
    <col min="32" max="16384" width="11.42578125" style="280"/>
  </cols>
  <sheetData>
    <row r="1" spans="1:32" ht="13.5" thickBot="1" x14ac:dyDescent="0.25">
      <c r="H1" s="46" t="s">
        <v>214</v>
      </c>
      <c r="L1" s="280" t="s">
        <v>181</v>
      </c>
      <c r="M1" s="280" t="s">
        <v>182</v>
      </c>
      <c r="N1" s="280" t="s">
        <v>183</v>
      </c>
      <c r="R1" s="280" t="s">
        <v>623</v>
      </c>
      <c r="S1" s="280" t="s">
        <v>624</v>
      </c>
      <c r="T1" s="280" t="s">
        <v>625</v>
      </c>
      <c r="W1" s="316" t="str">
        <f>IF($I$125=TRUE,R1,L1)</f>
        <v>Ug=</v>
      </c>
      <c r="X1" s="371" t="str">
        <f>IF($I$125=TRUE,S1,M1)</f>
        <v>Lt=</v>
      </c>
      <c r="Y1" s="371" t="str">
        <f>IF($I$125=TRUE,T1,N1)</f>
        <v>g=</v>
      </c>
    </row>
    <row r="2" spans="1:32" x14ac:dyDescent="0.2">
      <c r="B2" s="29" t="s">
        <v>178</v>
      </c>
      <c r="C2" s="30" t="s">
        <v>91</v>
      </c>
      <c r="D2" s="16" t="s">
        <v>457</v>
      </c>
      <c r="E2" s="17" t="s">
        <v>458</v>
      </c>
      <c r="F2" s="17" t="s">
        <v>459</v>
      </c>
      <c r="G2" s="18" t="s">
        <v>460</v>
      </c>
      <c r="H2" s="444" t="str">
        <f>IF($B$3=$A$3,D2,IF($B$3=$A$4,E2,IF($B$3=$A$5,F2,IF($B$3=$A$6,G2,""))))</f>
        <v>Sprache:</v>
      </c>
      <c r="I2" s="46" t="s">
        <v>194</v>
      </c>
      <c r="K2" s="34" t="s">
        <v>626</v>
      </c>
      <c r="L2" s="365"/>
      <c r="M2" s="365"/>
      <c r="N2" s="365"/>
      <c r="O2" s="365"/>
      <c r="P2" s="366"/>
      <c r="Q2" s="34" t="s">
        <v>627</v>
      </c>
      <c r="R2" s="365"/>
      <c r="S2" s="365"/>
      <c r="T2" s="365"/>
      <c r="U2" s="366"/>
      <c r="V2" s="34" t="s">
        <v>628</v>
      </c>
      <c r="W2" s="365"/>
      <c r="X2" s="365"/>
      <c r="Y2" s="365"/>
      <c r="Z2" s="365"/>
      <c r="AA2" s="366"/>
      <c r="AB2" s="445"/>
      <c r="AC2" s="445"/>
      <c r="AD2" s="445"/>
      <c r="AE2" s="445"/>
      <c r="AF2" s="445"/>
    </row>
    <row r="3" spans="1:32" x14ac:dyDescent="0.2">
      <c r="A3" s="280">
        <v>1</v>
      </c>
      <c r="B3" s="446">
        <v>1</v>
      </c>
      <c r="C3" s="447" t="s">
        <v>92</v>
      </c>
      <c r="D3" s="448" t="s">
        <v>92</v>
      </c>
      <c r="E3" s="449" t="s">
        <v>93</v>
      </c>
      <c r="F3" s="449" t="s">
        <v>94</v>
      </c>
      <c r="G3" s="450" t="s">
        <v>95</v>
      </c>
      <c r="H3" s="444" t="str">
        <f>IF($B$3=$A$3,D3,IF($B$3=$A$4,E3,IF($B$3=$A$5,F3,IF($B$3=$A$6,G3,""))))</f>
        <v>DEUTSCH</v>
      </c>
      <c r="I3" s="451"/>
      <c r="K3" s="357" t="s">
        <v>232</v>
      </c>
      <c r="L3" s="371">
        <v>1.1000000000000001</v>
      </c>
      <c r="M3" s="371">
        <v>81</v>
      </c>
      <c r="N3" s="371">
        <v>64</v>
      </c>
      <c r="O3" s="371" t="s">
        <v>233</v>
      </c>
      <c r="P3" s="372"/>
      <c r="Q3" s="357" t="s">
        <v>232</v>
      </c>
      <c r="R3" s="452">
        <v>0.34</v>
      </c>
      <c r="S3" s="371">
        <v>0.49</v>
      </c>
      <c r="T3" s="371">
        <v>0.67</v>
      </c>
      <c r="U3" s="372" t="s">
        <v>658</v>
      </c>
      <c r="V3" s="357" t="str">
        <f t="shared" ref="V3:Z25" si="0">IF($I$125=TRUE,Q3,K3)</f>
        <v>SG-01</v>
      </c>
      <c r="W3" s="316">
        <f t="shared" si="0"/>
        <v>1.1000000000000001</v>
      </c>
      <c r="X3" s="371">
        <f t="shared" si="0"/>
        <v>81</v>
      </c>
      <c r="Y3" s="371">
        <f t="shared" si="0"/>
        <v>64</v>
      </c>
      <c r="Z3" s="371" t="str">
        <f t="shared" si="0"/>
        <v>ESG 6 / 18 / ESG 6</v>
      </c>
      <c r="AA3" s="372"/>
      <c r="AB3" s="445"/>
      <c r="AC3" s="453"/>
      <c r="AD3" s="453"/>
      <c r="AE3" s="453"/>
      <c r="AF3" s="445"/>
    </row>
    <row r="4" spans="1:32" x14ac:dyDescent="0.2">
      <c r="A4" s="280">
        <v>2</v>
      </c>
      <c r="B4" s="454"/>
      <c r="C4" s="455" t="s">
        <v>93</v>
      </c>
      <c r="D4" s="357" t="s">
        <v>96</v>
      </c>
      <c r="E4" s="456" t="s">
        <v>97</v>
      </c>
      <c r="F4" s="456" t="s">
        <v>98</v>
      </c>
      <c r="G4" s="457" t="s">
        <v>99</v>
      </c>
      <c r="H4" s="444" t="str">
        <f>IF($B$3=$A$3,D4,IF($B$3=$A$4,E4,IF($B$3=$A$5,F4,IF($B$3=$A$6,G4,""))))</f>
        <v>BESTELLUNG</v>
      </c>
      <c r="I4" s="451"/>
      <c r="K4" s="281" t="s">
        <v>234</v>
      </c>
      <c r="L4" s="316">
        <v>1.1000000000000001</v>
      </c>
      <c r="M4" s="316">
        <v>80</v>
      </c>
      <c r="N4" s="316">
        <v>63</v>
      </c>
      <c r="O4" s="316" t="s">
        <v>235</v>
      </c>
      <c r="P4" s="317"/>
      <c r="Q4" s="281" t="s">
        <v>234</v>
      </c>
      <c r="R4" s="316">
        <v>0.34</v>
      </c>
      <c r="S4" s="316">
        <v>0.48</v>
      </c>
      <c r="T4" s="316">
        <v>0.66</v>
      </c>
      <c r="U4" s="317" t="s">
        <v>659</v>
      </c>
      <c r="V4" s="281" t="str">
        <f t="shared" si="0"/>
        <v>SG-02</v>
      </c>
      <c r="W4" s="316">
        <f t="shared" si="0"/>
        <v>1.1000000000000001</v>
      </c>
      <c r="X4" s="316">
        <f t="shared" si="0"/>
        <v>80</v>
      </c>
      <c r="Y4" s="316">
        <f t="shared" si="0"/>
        <v>63</v>
      </c>
      <c r="Z4" s="316" t="str">
        <f t="shared" si="0"/>
        <v>ESG 8 / 14 / ESG 8</v>
      </c>
      <c r="AA4" s="317"/>
      <c r="AB4" s="722"/>
      <c r="AC4" s="458"/>
      <c r="AD4" s="458"/>
      <c r="AE4" s="458"/>
      <c r="AF4" s="445"/>
    </row>
    <row r="5" spans="1:32" x14ac:dyDescent="0.2">
      <c r="A5" s="280">
        <v>3</v>
      </c>
      <c r="B5" s="454"/>
      <c r="C5" s="455" t="s">
        <v>94</v>
      </c>
      <c r="D5" s="281" t="s">
        <v>0</v>
      </c>
      <c r="E5" s="316" t="s">
        <v>1</v>
      </c>
      <c r="F5" s="316" t="s">
        <v>101</v>
      </c>
      <c r="G5" s="317" t="s">
        <v>100</v>
      </c>
      <c r="H5" s="444" t="str">
        <f>IF($B$3=$A$3,D5,IF($B$3=$A$4,E5,IF($B$3=$A$5,F5,IF($B$3=$A$6,G5,""))))</f>
        <v>Gemäss Zeichnung Nr.:</v>
      </c>
      <c r="I5" s="451" t="b">
        <v>0</v>
      </c>
      <c r="K5" s="281" t="s">
        <v>236</v>
      </c>
      <c r="L5" s="316">
        <v>1.1000000000000001</v>
      </c>
      <c r="M5" s="316">
        <v>80</v>
      </c>
      <c r="N5" s="316">
        <v>64</v>
      </c>
      <c r="O5" s="316" t="s">
        <v>237</v>
      </c>
      <c r="P5" s="317"/>
      <c r="Q5" s="281" t="s">
        <v>236</v>
      </c>
      <c r="R5" s="316">
        <v>0.34</v>
      </c>
      <c r="S5" s="316">
        <v>0.49</v>
      </c>
      <c r="T5" s="316">
        <v>0.68</v>
      </c>
      <c r="U5" s="317" t="s">
        <v>660</v>
      </c>
      <c r="V5" s="281" t="str">
        <f t="shared" si="0"/>
        <v>SG-03</v>
      </c>
      <c r="W5" s="316">
        <f t="shared" si="0"/>
        <v>1.1000000000000001</v>
      </c>
      <c r="X5" s="316">
        <f t="shared" si="0"/>
        <v>80</v>
      </c>
      <c r="Y5" s="316">
        <f t="shared" si="0"/>
        <v>64</v>
      </c>
      <c r="Z5" s="316" t="str">
        <f t="shared" si="0"/>
        <v>ESG 8 / 16 / ESG 6</v>
      </c>
      <c r="AA5" s="317"/>
      <c r="AB5" s="722"/>
      <c r="AC5" s="458"/>
      <c r="AD5" s="458"/>
      <c r="AE5" s="458"/>
      <c r="AF5" s="445"/>
    </row>
    <row r="6" spans="1:32" ht="13.5" thickBot="1" x14ac:dyDescent="0.25">
      <c r="A6" s="280">
        <v>4</v>
      </c>
      <c r="B6" s="459"/>
      <c r="C6" s="460" t="s">
        <v>95</v>
      </c>
      <c r="D6" s="281" t="s">
        <v>102</v>
      </c>
      <c r="E6" s="316" t="s">
        <v>103</v>
      </c>
      <c r="F6" s="316" t="s">
        <v>104</v>
      </c>
      <c r="G6" s="317" t="s">
        <v>376</v>
      </c>
      <c r="H6" s="444" t="str">
        <f>IF($B$3=$A$3,D6,IF($B$3=$A$4,E6,IF($B$3=$A$5,F6,IF($B$3=$A$6,G6,""))))</f>
        <v>Gemäss Skizze: (Ansicht von Aussen)</v>
      </c>
      <c r="I6" s="451" t="b">
        <v>0</v>
      </c>
      <c r="K6" s="281" t="s">
        <v>238</v>
      </c>
      <c r="L6" s="316">
        <v>1.1000000000000001</v>
      </c>
      <c r="M6" s="316">
        <v>80</v>
      </c>
      <c r="N6" s="316">
        <v>62</v>
      </c>
      <c r="O6" s="316" t="s">
        <v>239</v>
      </c>
      <c r="P6" s="317"/>
      <c r="Q6" s="281" t="s">
        <v>238</v>
      </c>
      <c r="R6" s="316">
        <v>0.34</v>
      </c>
      <c r="S6" s="316">
        <v>0.48</v>
      </c>
      <c r="T6" s="316">
        <v>0.66</v>
      </c>
      <c r="U6" s="317" t="s">
        <v>661</v>
      </c>
      <c r="V6" s="281" t="str">
        <f t="shared" si="0"/>
        <v>SG-04</v>
      </c>
      <c r="W6" s="316">
        <f t="shared" si="0"/>
        <v>1.1000000000000001</v>
      </c>
      <c r="X6" s="316">
        <f t="shared" si="0"/>
        <v>80</v>
      </c>
      <c r="Y6" s="316">
        <f t="shared" si="0"/>
        <v>62</v>
      </c>
      <c r="Z6" s="316" t="str">
        <f t="shared" si="0"/>
        <v>ESG 10 / 14 / ESG 6</v>
      </c>
      <c r="AA6" s="317"/>
      <c r="AB6" s="722"/>
      <c r="AC6" s="458"/>
      <c r="AD6" s="458"/>
      <c r="AE6" s="458"/>
      <c r="AF6" s="445"/>
    </row>
    <row r="7" spans="1:32" ht="13.5" thickBot="1" x14ac:dyDescent="0.25">
      <c r="D7" s="281" t="s">
        <v>513</v>
      </c>
      <c r="E7" s="316" t="s">
        <v>514</v>
      </c>
      <c r="F7" s="316" t="s">
        <v>515</v>
      </c>
      <c r="G7" s="317" t="s">
        <v>516</v>
      </c>
      <c r="H7" s="444" t="str">
        <f t="shared" ref="H7:H71" si="1">IF($B$3=$A$3,D7,IF($B$3=$A$4,E7,IF($B$3=$A$5,F7,IF($B$3=$A$6,G7,""))))</f>
        <v xml:space="preserve">Objekt: </v>
      </c>
      <c r="I7" s="451"/>
      <c r="K7" s="281" t="s">
        <v>240</v>
      </c>
      <c r="L7" s="316">
        <v>1.1000000000000001</v>
      </c>
      <c r="M7" s="316">
        <v>80</v>
      </c>
      <c r="N7" s="316" t="s">
        <v>800</v>
      </c>
      <c r="O7" s="316" t="s">
        <v>241</v>
      </c>
      <c r="P7" s="317"/>
      <c r="Q7" s="281" t="s">
        <v>240</v>
      </c>
      <c r="R7" s="316">
        <v>0.34</v>
      </c>
      <c r="S7" s="316">
        <v>0.47</v>
      </c>
      <c r="T7" s="316">
        <v>0.66</v>
      </c>
      <c r="U7" s="317" t="s">
        <v>662</v>
      </c>
      <c r="V7" s="281" t="str">
        <f t="shared" si="0"/>
        <v>SG-05</v>
      </c>
      <c r="W7" s="316">
        <f t="shared" si="0"/>
        <v>1.1000000000000001</v>
      </c>
      <c r="X7" s="316">
        <f t="shared" si="0"/>
        <v>80</v>
      </c>
      <c r="Y7" s="316" t="str">
        <f t="shared" si="0"/>
        <v>59/64</v>
      </c>
      <c r="Z7" s="316" t="str">
        <f t="shared" si="0"/>
        <v>V-F 8-2 / 14 / ESG 6</v>
      </c>
      <c r="AA7" s="317"/>
      <c r="AB7" s="722"/>
      <c r="AC7" s="458"/>
      <c r="AD7" s="458"/>
      <c r="AE7" s="458"/>
      <c r="AF7" s="445"/>
    </row>
    <row r="8" spans="1:32" x14ac:dyDescent="0.2">
      <c r="B8" s="16" t="s">
        <v>186</v>
      </c>
      <c r="C8" s="18" t="s">
        <v>190</v>
      </c>
      <c r="D8" s="281" t="s">
        <v>184</v>
      </c>
      <c r="E8" s="316" t="s">
        <v>185</v>
      </c>
      <c r="F8" s="316" t="s">
        <v>105</v>
      </c>
      <c r="G8" s="317" t="s">
        <v>106</v>
      </c>
      <c r="H8" s="444" t="str">
        <f t="shared" si="1"/>
        <v>Bestelldatum:</v>
      </c>
      <c r="I8" s="451"/>
      <c r="K8" s="281" t="s">
        <v>242</v>
      </c>
      <c r="L8" s="316">
        <v>1.1000000000000001</v>
      </c>
      <c r="M8" s="316">
        <v>79</v>
      </c>
      <c r="N8" s="316" t="s">
        <v>801</v>
      </c>
      <c r="O8" s="316" t="s">
        <v>243</v>
      </c>
      <c r="P8" s="317"/>
      <c r="Q8" s="281" t="s">
        <v>242</v>
      </c>
      <c r="R8" s="316">
        <v>0.33</v>
      </c>
      <c r="S8" s="316">
        <v>0.46</v>
      </c>
      <c r="T8" s="316">
        <v>0.65</v>
      </c>
      <c r="U8" s="317" t="s">
        <v>663</v>
      </c>
      <c r="V8" s="281" t="str">
        <f t="shared" si="0"/>
        <v>SG-06</v>
      </c>
      <c r="W8" s="316">
        <f t="shared" si="0"/>
        <v>1.1000000000000001</v>
      </c>
      <c r="X8" s="316">
        <f t="shared" si="0"/>
        <v>79</v>
      </c>
      <c r="Y8" s="316" t="str">
        <f t="shared" si="0"/>
        <v>59/62</v>
      </c>
      <c r="Z8" s="316" t="str">
        <f t="shared" si="0"/>
        <v>V-F 8-2 / 14 / ESG 8</v>
      </c>
      <c r="AA8" s="317"/>
      <c r="AB8" s="722"/>
      <c r="AC8" s="458"/>
      <c r="AD8" s="458"/>
      <c r="AE8" s="458"/>
      <c r="AF8" s="445"/>
    </row>
    <row r="9" spans="1:32" ht="13.5" thickBot="1" x14ac:dyDescent="0.25">
      <c r="B9" s="357" t="s">
        <v>841</v>
      </c>
      <c r="C9" s="358" t="s">
        <v>842</v>
      </c>
      <c r="D9" s="281" t="s">
        <v>2</v>
      </c>
      <c r="E9" s="316" t="s">
        <v>3</v>
      </c>
      <c r="F9" s="316" t="s">
        <v>4</v>
      </c>
      <c r="G9" s="317" t="s">
        <v>107</v>
      </c>
      <c r="H9" s="444" t="str">
        <f t="shared" si="1"/>
        <v>Projekt-Nr.:</v>
      </c>
      <c r="I9" s="451"/>
      <c r="K9" s="281" t="s">
        <v>244</v>
      </c>
      <c r="L9" s="316">
        <v>1.1000000000000001</v>
      </c>
      <c r="M9" s="316">
        <v>81</v>
      </c>
      <c r="N9" s="316">
        <v>64</v>
      </c>
      <c r="O9" s="316" t="s">
        <v>245</v>
      </c>
      <c r="P9" s="317"/>
      <c r="Q9" s="281">
        <v>0</v>
      </c>
      <c r="R9" s="316">
        <v>0</v>
      </c>
      <c r="S9" s="316">
        <v>0</v>
      </c>
      <c r="T9" s="316">
        <v>0</v>
      </c>
      <c r="U9" s="317" t="str">
        <f>$H$54</f>
        <v>Glastyp wählen</v>
      </c>
      <c r="V9" s="281" t="str">
        <f t="shared" si="0"/>
        <v>SG-07</v>
      </c>
      <c r="W9" s="316">
        <f t="shared" si="0"/>
        <v>1.1000000000000001</v>
      </c>
      <c r="X9" s="316">
        <f t="shared" si="0"/>
        <v>81</v>
      </c>
      <c r="Y9" s="316">
        <f t="shared" si="0"/>
        <v>64</v>
      </c>
      <c r="Z9" s="316" t="str">
        <f t="shared" si="0"/>
        <v>ESG 6 / 14 / V-WG 8-2</v>
      </c>
      <c r="AA9" s="317"/>
      <c r="AB9" s="722"/>
      <c r="AC9" s="458"/>
      <c r="AD9" s="458"/>
      <c r="AE9" s="458"/>
      <c r="AF9" s="445"/>
    </row>
    <row r="10" spans="1:32" x14ac:dyDescent="0.2">
      <c r="A10" s="57" t="s">
        <v>44</v>
      </c>
      <c r="B10" s="461" t="s">
        <v>187</v>
      </c>
      <c r="C10" s="462" t="s">
        <v>191</v>
      </c>
      <c r="D10" s="281" t="s">
        <v>5</v>
      </c>
      <c r="E10" s="316" t="s">
        <v>6</v>
      </c>
      <c r="F10" s="316" t="s">
        <v>7</v>
      </c>
      <c r="G10" s="317" t="s">
        <v>352</v>
      </c>
      <c r="H10" s="444" t="str">
        <f t="shared" si="1"/>
        <v>2-gleisig</v>
      </c>
      <c r="I10" s="463" t="b">
        <v>0</v>
      </c>
      <c r="K10" s="281" t="s">
        <v>246</v>
      </c>
      <c r="L10" s="52">
        <v>1.1000000000000001</v>
      </c>
      <c r="M10" s="316">
        <v>81</v>
      </c>
      <c r="N10" s="316">
        <v>63</v>
      </c>
      <c r="O10" s="316" t="s">
        <v>840</v>
      </c>
      <c r="P10" s="317"/>
      <c r="Q10" s="281" t="s">
        <v>247</v>
      </c>
      <c r="R10" s="316">
        <v>0.34</v>
      </c>
      <c r="S10" s="316">
        <v>0.41</v>
      </c>
      <c r="T10" s="316">
        <v>0.59</v>
      </c>
      <c r="U10" s="317" t="s">
        <v>657</v>
      </c>
      <c r="V10" s="281" t="str">
        <f t="shared" si="0"/>
        <v>SG-08</v>
      </c>
      <c r="W10" s="316">
        <f t="shared" si="0"/>
        <v>1.1000000000000001</v>
      </c>
      <c r="X10" s="316">
        <f t="shared" si="0"/>
        <v>81</v>
      </c>
      <c r="Y10" s="316">
        <f t="shared" si="0"/>
        <v>63</v>
      </c>
      <c r="Z10" s="316" t="str">
        <f t="shared" si="0"/>
        <v>ESG 8 / 14 / V-WG 8-2</v>
      </c>
      <c r="AA10" s="317"/>
      <c r="AB10" s="722"/>
      <c r="AC10" s="458"/>
      <c r="AD10" s="458"/>
      <c r="AE10" s="458"/>
      <c r="AF10" s="445"/>
    </row>
    <row r="11" spans="1:32" x14ac:dyDescent="0.2">
      <c r="A11" s="464"/>
      <c r="B11" s="465" t="s">
        <v>188</v>
      </c>
      <c r="C11" s="466" t="s">
        <v>192</v>
      </c>
      <c r="D11" s="281" t="s">
        <v>8</v>
      </c>
      <c r="E11" s="316" t="s">
        <v>9</v>
      </c>
      <c r="F11" s="316" t="s">
        <v>790</v>
      </c>
      <c r="G11" s="317" t="s">
        <v>353</v>
      </c>
      <c r="H11" s="444" t="str">
        <f t="shared" si="1"/>
        <v>3-gleisig</v>
      </c>
      <c r="I11" s="463" t="b">
        <v>0</v>
      </c>
      <c r="K11" s="281">
        <v>0</v>
      </c>
      <c r="L11" s="316">
        <v>0</v>
      </c>
      <c r="M11" s="316">
        <v>0</v>
      </c>
      <c r="N11" s="316">
        <v>0</v>
      </c>
      <c r="O11" s="316" t="str">
        <f>$H$54</f>
        <v>Glastyp wählen</v>
      </c>
      <c r="P11" s="317"/>
      <c r="Q11" s="281" t="s">
        <v>248</v>
      </c>
      <c r="R11" s="316">
        <v>0.33</v>
      </c>
      <c r="S11" s="316">
        <v>0.4</v>
      </c>
      <c r="T11" s="316">
        <v>0.57999999999999996</v>
      </c>
      <c r="U11" s="317" t="s">
        <v>664</v>
      </c>
      <c r="V11" s="281">
        <f t="shared" si="0"/>
        <v>0</v>
      </c>
      <c r="W11" s="316">
        <f t="shared" si="0"/>
        <v>0</v>
      </c>
      <c r="X11" s="316">
        <f t="shared" si="0"/>
        <v>0</v>
      </c>
      <c r="Y11" s="316">
        <f t="shared" si="0"/>
        <v>0</v>
      </c>
      <c r="Z11" s="316" t="str">
        <f t="shared" si="0"/>
        <v>Glastyp wählen</v>
      </c>
      <c r="AA11" s="317"/>
      <c r="AB11" s="722"/>
      <c r="AC11" s="458"/>
      <c r="AD11" s="458"/>
      <c r="AE11" s="458"/>
      <c r="AF11" s="445"/>
    </row>
    <row r="12" spans="1:32" x14ac:dyDescent="0.2">
      <c r="A12" s="444" t="s">
        <v>180</v>
      </c>
      <c r="B12" s="465" t="s">
        <v>189</v>
      </c>
      <c r="C12" s="466" t="s">
        <v>193</v>
      </c>
      <c r="D12" s="281" t="s">
        <v>10</v>
      </c>
      <c r="E12" s="316" t="s">
        <v>11</v>
      </c>
      <c r="F12" s="316" t="s">
        <v>791</v>
      </c>
      <c r="G12" s="317" t="s">
        <v>354</v>
      </c>
      <c r="H12" s="444" t="str">
        <f t="shared" si="1"/>
        <v>4-gleisig</v>
      </c>
      <c r="I12" s="463" t="b">
        <v>0</v>
      </c>
      <c r="K12" s="281" t="s">
        <v>247</v>
      </c>
      <c r="L12" s="316">
        <v>1</v>
      </c>
      <c r="M12" s="316">
        <v>71</v>
      </c>
      <c r="N12" s="316">
        <v>52</v>
      </c>
      <c r="O12" s="316" t="s">
        <v>233</v>
      </c>
      <c r="P12" s="317"/>
      <c r="Q12" s="281" t="s">
        <v>249</v>
      </c>
      <c r="R12" s="316">
        <v>0.34</v>
      </c>
      <c r="S12" s="316">
        <v>0.4</v>
      </c>
      <c r="T12" s="316">
        <v>0.57999999999999996</v>
      </c>
      <c r="U12" s="317" t="s">
        <v>665</v>
      </c>
      <c r="V12" s="281" t="str">
        <f t="shared" si="0"/>
        <v>SG-11</v>
      </c>
      <c r="W12" s="316">
        <f t="shared" si="0"/>
        <v>1</v>
      </c>
      <c r="X12" s="316">
        <f t="shared" si="0"/>
        <v>71</v>
      </c>
      <c r="Y12" s="316">
        <f t="shared" si="0"/>
        <v>52</v>
      </c>
      <c r="Z12" s="316" t="str">
        <f t="shared" si="0"/>
        <v>ESG 6 / 18 / ESG 6</v>
      </c>
      <c r="AA12" s="317"/>
      <c r="AB12" s="722"/>
      <c r="AC12" s="458"/>
      <c r="AD12" s="458"/>
      <c r="AE12" s="458"/>
      <c r="AF12" s="445"/>
    </row>
    <row r="13" spans="1:32" x14ac:dyDescent="0.2">
      <c r="A13" s="444" t="s">
        <v>225</v>
      </c>
      <c r="B13" s="467" t="s">
        <v>453</v>
      </c>
      <c r="C13" s="468" t="s">
        <v>452</v>
      </c>
      <c r="D13" s="281" t="s">
        <v>12</v>
      </c>
      <c r="E13" s="316" t="s">
        <v>13</v>
      </c>
      <c r="F13" s="316" t="s">
        <v>14</v>
      </c>
      <c r="G13" s="317" t="s">
        <v>108</v>
      </c>
      <c r="H13" s="444" t="str">
        <f t="shared" si="1"/>
        <v>Teilung Achsmasse</v>
      </c>
      <c r="I13" s="451" t="b">
        <v>0</v>
      </c>
      <c r="K13" s="281" t="s">
        <v>248</v>
      </c>
      <c r="L13" s="316">
        <v>1.1000000000000001</v>
      </c>
      <c r="M13" s="316">
        <v>70</v>
      </c>
      <c r="N13" s="316">
        <v>51</v>
      </c>
      <c r="O13" s="316" t="s">
        <v>235</v>
      </c>
      <c r="P13" s="317"/>
      <c r="Q13" s="281" t="s">
        <v>250</v>
      </c>
      <c r="R13" s="316">
        <v>0.33</v>
      </c>
      <c r="S13" s="316">
        <v>0.4</v>
      </c>
      <c r="T13" s="316">
        <v>0.57999999999999996</v>
      </c>
      <c r="U13" s="317" t="s">
        <v>666</v>
      </c>
      <c r="V13" s="281" t="str">
        <f t="shared" si="0"/>
        <v>SG-12</v>
      </c>
      <c r="W13" s="316">
        <f t="shared" si="0"/>
        <v>1.1000000000000001</v>
      </c>
      <c r="X13" s="316">
        <f t="shared" si="0"/>
        <v>70</v>
      </c>
      <c r="Y13" s="316">
        <f t="shared" si="0"/>
        <v>51</v>
      </c>
      <c r="Z13" s="316" t="str">
        <f t="shared" si="0"/>
        <v>ESG 8 / 14 / ESG 8</v>
      </c>
      <c r="AA13" s="317"/>
      <c r="AB13" s="722"/>
      <c r="AC13" s="458"/>
      <c r="AD13" s="458"/>
      <c r="AE13" s="458"/>
      <c r="AF13" s="445"/>
    </row>
    <row r="14" spans="1:32" ht="13.5" thickBot="1" x14ac:dyDescent="0.25">
      <c r="A14" s="444" t="s">
        <v>224</v>
      </c>
      <c r="B14" s="374" t="s">
        <v>454</v>
      </c>
      <c r="C14" s="469" t="s">
        <v>451</v>
      </c>
      <c r="D14" s="281" t="s">
        <v>110</v>
      </c>
      <c r="E14" s="316" t="s">
        <v>109</v>
      </c>
      <c r="F14" s="5" t="s">
        <v>15</v>
      </c>
      <c r="G14" s="59" t="s">
        <v>377</v>
      </c>
      <c r="H14" s="444" t="str">
        <f t="shared" si="1"/>
        <v>alle Gläser gleiche Breite (Empfehlung)</v>
      </c>
      <c r="I14" s="451" t="b">
        <v>0</v>
      </c>
      <c r="K14" s="281" t="s">
        <v>249</v>
      </c>
      <c r="L14" s="316">
        <v>1</v>
      </c>
      <c r="M14" s="316">
        <v>71</v>
      </c>
      <c r="N14" s="316">
        <v>52</v>
      </c>
      <c r="O14" s="316" t="s">
        <v>237</v>
      </c>
      <c r="P14" s="317"/>
      <c r="Q14" s="281" t="s">
        <v>251</v>
      </c>
      <c r="R14" s="316">
        <v>0.33</v>
      </c>
      <c r="S14" s="316">
        <v>0.39</v>
      </c>
      <c r="T14" s="316">
        <v>0.56999999999999995</v>
      </c>
      <c r="U14" s="317" t="s">
        <v>667</v>
      </c>
      <c r="V14" s="281" t="str">
        <f t="shared" si="0"/>
        <v>SG-13</v>
      </c>
      <c r="W14" s="316">
        <f t="shared" si="0"/>
        <v>1</v>
      </c>
      <c r="X14" s="316">
        <f t="shared" si="0"/>
        <v>71</v>
      </c>
      <c r="Y14" s="316">
        <f t="shared" si="0"/>
        <v>52</v>
      </c>
      <c r="Z14" s="316" t="str">
        <f t="shared" si="0"/>
        <v>ESG 8 / 16 / ESG 6</v>
      </c>
      <c r="AA14" s="317"/>
      <c r="AB14" s="722"/>
      <c r="AC14" s="458"/>
      <c r="AD14" s="458"/>
      <c r="AE14" s="458"/>
      <c r="AF14" s="445"/>
    </row>
    <row r="15" spans="1:32" x14ac:dyDescent="0.2">
      <c r="A15" s="444" t="s">
        <v>226</v>
      </c>
      <c r="B15" s="86" t="s">
        <v>197</v>
      </c>
      <c r="C15" s="35"/>
      <c r="D15" s="281" t="s">
        <v>16</v>
      </c>
      <c r="E15" s="316" t="s">
        <v>16</v>
      </c>
      <c r="F15" s="316" t="s">
        <v>16</v>
      </c>
      <c r="G15" s="317" t="s">
        <v>16</v>
      </c>
      <c r="H15" s="444" t="str">
        <f t="shared" si="1"/>
        <v>Standard</v>
      </c>
      <c r="I15" s="451" t="b">
        <v>0</v>
      </c>
      <c r="K15" s="281" t="s">
        <v>250</v>
      </c>
      <c r="L15" s="316">
        <v>1.1000000000000001</v>
      </c>
      <c r="M15" s="316">
        <v>70</v>
      </c>
      <c r="N15" s="316">
        <v>50</v>
      </c>
      <c r="O15" s="316" t="s">
        <v>239</v>
      </c>
      <c r="P15" s="317"/>
      <c r="Q15" s="281" t="s">
        <v>252</v>
      </c>
      <c r="R15" s="316">
        <v>0.33</v>
      </c>
      <c r="S15" s="316">
        <v>0.39</v>
      </c>
      <c r="T15" s="316">
        <v>0.56999999999999995</v>
      </c>
      <c r="U15" s="317" t="s">
        <v>668</v>
      </c>
      <c r="V15" s="281" t="str">
        <f t="shared" si="0"/>
        <v>SG-14</v>
      </c>
      <c r="W15" s="316">
        <f t="shared" si="0"/>
        <v>1.1000000000000001</v>
      </c>
      <c r="X15" s="316">
        <f t="shared" si="0"/>
        <v>70</v>
      </c>
      <c r="Y15" s="316">
        <f t="shared" si="0"/>
        <v>50</v>
      </c>
      <c r="Z15" s="316" t="str">
        <f t="shared" si="0"/>
        <v>ESG 10 / 14 / ESG 6</v>
      </c>
      <c r="AA15" s="317"/>
      <c r="AB15" s="722"/>
      <c r="AC15" s="458"/>
      <c r="AD15" s="458"/>
      <c r="AE15" s="458"/>
      <c r="AF15" s="445"/>
    </row>
    <row r="16" spans="1:32" x14ac:dyDescent="0.2">
      <c r="A16" s="444" t="s">
        <v>227</v>
      </c>
      <c r="B16" s="470" t="s">
        <v>198</v>
      </c>
      <c r="C16" s="462">
        <f>IF(AND($I$20=TRUE,OR('Pos. 4'!$F$10='Sprachen &amp; Rückgabewerte(4)'!$B$10,'Pos. 4'!$F$10='Sprachen &amp; Rückgabewerte(4)'!$B$11)),1,0)</f>
        <v>0</v>
      </c>
      <c r="D16" s="281" t="s">
        <v>17</v>
      </c>
      <c r="E16" s="316" t="s">
        <v>18</v>
      </c>
      <c r="F16" s="316" t="s">
        <v>19</v>
      </c>
      <c r="G16" s="317" t="s">
        <v>355</v>
      </c>
      <c r="H16" s="444" t="str">
        <f t="shared" si="1"/>
        <v>Einbruchschutz RC2</v>
      </c>
      <c r="I16" s="451" t="b">
        <v>0</v>
      </c>
      <c r="K16" s="281" t="s">
        <v>251</v>
      </c>
      <c r="L16" s="316">
        <v>1</v>
      </c>
      <c r="M16" s="316">
        <v>70</v>
      </c>
      <c r="N16" s="316" t="s">
        <v>803</v>
      </c>
      <c r="O16" s="316" t="s">
        <v>241</v>
      </c>
      <c r="P16" s="317"/>
      <c r="Q16" s="281">
        <v>0</v>
      </c>
      <c r="R16" s="316">
        <v>0</v>
      </c>
      <c r="S16" s="316">
        <v>0</v>
      </c>
      <c r="T16" s="316">
        <v>0</v>
      </c>
      <c r="U16" s="317" t="str">
        <f t="shared" ref="U16:U23" si="2">$H$54</f>
        <v>Glastyp wählen</v>
      </c>
      <c r="V16" s="281" t="str">
        <f t="shared" si="0"/>
        <v>SG-15</v>
      </c>
      <c r="W16" s="316">
        <f t="shared" si="0"/>
        <v>1</v>
      </c>
      <c r="X16" s="316">
        <f t="shared" si="0"/>
        <v>70</v>
      </c>
      <c r="Y16" s="316" t="str">
        <f t="shared" si="0"/>
        <v>48/51</v>
      </c>
      <c r="Z16" s="316" t="str">
        <f t="shared" si="0"/>
        <v>V-F 8-2 / 14 / ESG 6</v>
      </c>
      <c r="AA16" s="317"/>
      <c r="AB16" s="722"/>
      <c r="AC16" s="458"/>
      <c r="AD16" s="458"/>
      <c r="AE16" s="458"/>
      <c r="AF16" s="445"/>
    </row>
    <row r="17" spans="1:32" x14ac:dyDescent="0.2">
      <c r="A17" s="444" t="s">
        <v>228</v>
      </c>
      <c r="B17" s="465" t="s">
        <v>199</v>
      </c>
      <c r="C17" s="466">
        <f>IF(AND($I$20=TRUE,OR('Pos. 4'!$J$10='Sprachen &amp; Rückgabewerte(4)'!$B$10,'Pos. 4'!$J$10='Sprachen &amp; Rückgabewerte(4)'!$B$11)),1,0)</f>
        <v>0</v>
      </c>
      <c r="D17" s="281" t="s">
        <v>346</v>
      </c>
      <c r="E17" s="316" t="s">
        <v>20</v>
      </c>
      <c r="F17" s="316" t="s">
        <v>21</v>
      </c>
      <c r="G17" s="317" t="s">
        <v>125</v>
      </c>
      <c r="H17" s="444" t="str">
        <f t="shared" si="1"/>
        <v>Positionsüberwachung (P)</v>
      </c>
      <c r="I17" s="451" t="b">
        <v>0</v>
      </c>
      <c r="K17" s="281" t="s">
        <v>252</v>
      </c>
      <c r="L17" s="316">
        <v>1</v>
      </c>
      <c r="M17" s="316">
        <v>70</v>
      </c>
      <c r="N17" s="316" t="s">
        <v>802</v>
      </c>
      <c r="O17" s="316" t="s">
        <v>243</v>
      </c>
      <c r="P17" s="317"/>
      <c r="Q17" s="281" t="s">
        <v>253</v>
      </c>
      <c r="R17" s="316">
        <v>0.34</v>
      </c>
      <c r="S17" s="316">
        <v>0.26</v>
      </c>
      <c r="T17" s="316">
        <v>0.53</v>
      </c>
      <c r="U17" s="317" t="s">
        <v>669</v>
      </c>
      <c r="V17" s="281" t="str">
        <f t="shared" si="0"/>
        <v>SG-16</v>
      </c>
      <c r="W17" s="316">
        <f t="shared" si="0"/>
        <v>1</v>
      </c>
      <c r="X17" s="316">
        <f t="shared" si="0"/>
        <v>70</v>
      </c>
      <c r="Y17" s="316" t="str">
        <f t="shared" si="0"/>
        <v>48/50</v>
      </c>
      <c r="Z17" s="316" t="str">
        <f t="shared" si="0"/>
        <v>V-F 8-2 / 14 / ESG 8</v>
      </c>
      <c r="AA17" s="317"/>
      <c r="AB17" s="722"/>
      <c r="AC17" s="458"/>
      <c r="AD17" s="458"/>
      <c r="AE17" s="458"/>
      <c r="AF17" s="445"/>
    </row>
    <row r="18" spans="1:32" x14ac:dyDescent="0.2">
      <c r="A18" s="444" t="s">
        <v>229</v>
      </c>
      <c r="B18" s="465" t="s">
        <v>200</v>
      </c>
      <c r="C18" s="466">
        <f>IF(AND($I$20=TRUE,OR('Pos. 4'!$N$10='Sprachen &amp; Rückgabewerte(4)'!$B$10,'Pos. 4'!$N$10='Sprachen &amp; Rückgabewerte(4)'!$B$11)),1,0)</f>
        <v>0</v>
      </c>
      <c r="D18" s="281" t="s">
        <v>347</v>
      </c>
      <c r="E18" s="316" t="s">
        <v>22</v>
      </c>
      <c r="F18" s="316" t="s">
        <v>348</v>
      </c>
      <c r="G18" s="317" t="s">
        <v>126</v>
      </c>
      <c r="H18" s="444" t="str">
        <f t="shared" si="1"/>
        <v xml:space="preserve">Riegelüberwachung (R) </v>
      </c>
      <c r="I18" s="451" t="b">
        <v>0</v>
      </c>
      <c r="K18" s="281">
        <v>0</v>
      </c>
      <c r="L18" s="316">
        <v>0</v>
      </c>
      <c r="M18" s="316">
        <v>0</v>
      </c>
      <c r="N18" s="316"/>
      <c r="O18" s="316" t="str">
        <f>$H$54</f>
        <v>Glastyp wählen</v>
      </c>
      <c r="P18" s="317"/>
      <c r="Q18" s="281" t="s">
        <v>254</v>
      </c>
      <c r="R18" s="316">
        <v>0.33</v>
      </c>
      <c r="S18" s="316">
        <v>0.26</v>
      </c>
      <c r="T18" s="316">
        <v>0.52</v>
      </c>
      <c r="U18" s="317" t="s">
        <v>670</v>
      </c>
      <c r="V18" s="281">
        <f t="shared" si="0"/>
        <v>0</v>
      </c>
      <c r="W18" s="316">
        <f t="shared" si="0"/>
        <v>0</v>
      </c>
      <c r="X18" s="316">
        <f t="shared" si="0"/>
        <v>0</v>
      </c>
      <c r="Y18" s="316">
        <f t="shared" si="0"/>
        <v>0</v>
      </c>
      <c r="Z18" s="316" t="str">
        <f t="shared" si="0"/>
        <v>Glastyp wählen</v>
      </c>
      <c r="AA18" s="317"/>
      <c r="AB18" s="722"/>
      <c r="AC18" s="458"/>
      <c r="AD18" s="458"/>
      <c r="AE18" s="458"/>
      <c r="AF18" s="445"/>
    </row>
    <row r="19" spans="1:32" x14ac:dyDescent="0.2">
      <c r="A19" s="444"/>
      <c r="B19" s="465" t="s">
        <v>201</v>
      </c>
      <c r="C19" s="466">
        <f>IF(AND($I$20=TRUE,OR('Pos. 4'!$R$10='Sprachen &amp; Rückgabewerte(4)'!$B$10,'Pos. 4'!$R$10='Sprachen &amp; Rückgabewerte(4)'!$B$11)),1,0)</f>
        <v>0</v>
      </c>
      <c r="D19" s="281" t="s">
        <v>349</v>
      </c>
      <c r="E19" s="316" t="s">
        <v>23</v>
      </c>
      <c r="F19" s="316" t="s">
        <v>24</v>
      </c>
      <c r="G19" s="317" t="s">
        <v>124</v>
      </c>
      <c r="H19" s="444" t="str">
        <f t="shared" si="1"/>
        <v>Glasbruchüberwachung (G)</v>
      </c>
      <c r="I19" s="451" t="b">
        <v>0</v>
      </c>
      <c r="K19" s="281" t="s">
        <v>253</v>
      </c>
      <c r="L19" s="316">
        <v>1</v>
      </c>
      <c r="M19" s="316">
        <v>61</v>
      </c>
      <c r="N19" s="316">
        <v>28</v>
      </c>
      <c r="O19" s="316" t="s">
        <v>233</v>
      </c>
      <c r="P19" s="317"/>
      <c r="Q19" s="281" t="s">
        <v>255</v>
      </c>
      <c r="R19" s="316">
        <v>0.34</v>
      </c>
      <c r="S19" s="316">
        <v>0.26</v>
      </c>
      <c r="T19" s="316">
        <v>0.52</v>
      </c>
      <c r="U19" s="317" t="s">
        <v>671</v>
      </c>
      <c r="V19" s="281" t="str">
        <f t="shared" si="0"/>
        <v>SG-21</v>
      </c>
      <c r="W19" s="316">
        <f t="shared" si="0"/>
        <v>1</v>
      </c>
      <c r="X19" s="316">
        <f t="shared" si="0"/>
        <v>61</v>
      </c>
      <c r="Y19" s="316">
        <f t="shared" si="0"/>
        <v>28</v>
      </c>
      <c r="Z19" s="316" t="str">
        <f t="shared" si="0"/>
        <v>ESG 6 / 18 / ESG 6</v>
      </c>
      <c r="AA19" s="317"/>
      <c r="AB19" s="445"/>
      <c r="AC19" s="445"/>
      <c r="AD19" s="445"/>
      <c r="AE19" s="445"/>
      <c r="AF19" s="445"/>
    </row>
    <row r="20" spans="1:32" x14ac:dyDescent="0.2">
      <c r="A20" s="444" t="s">
        <v>230</v>
      </c>
      <c r="B20" s="465" t="s">
        <v>202</v>
      </c>
      <c r="C20" s="466">
        <f>IF(AND($I$20=TRUE,OR('Pos. 4'!$V$10='Sprachen &amp; Rückgabewerte(4)'!$B$10,'Pos. 4'!$V$10='Sprachen &amp; Rückgabewerte(4)'!$B$11)),1,0)</f>
        <v>0</v>
      </c>
      <c r="D20" s="281" t="s">
        <v>25</v>
      </c>
      <c r="E20" s="316" t="s">
        <v>195</v>
      </c>
      <c r="F20" s="316" t="s">
        <v>26</v>
      </c>
      <c r="G20" s="317" t="s">
        <v>127</v>
      </c>
      <c r="H20" s="444" t="str">
        <f t="shared" si="1"/>
        <v>Elektrischer Antrieb, Anzahl</v>
      </c>
      <c r="I20" s="451" t="b">
        <v>0</v>
      </c>
      <c r="K20" s="281" t="s">
        <v>254</v>
      </c>
      <c r="L20" s="316">
        <v>1.1000000000000001</v>
      </c>
      <c r="M20" s="316">
        <v>60</v>
      </c>
      <c r="N20" s="316">
        <v>28</v>
      </c>
      <c r="O20" s="316" t="s">
        <v>235</v>
      </c>
      <c r="P20" s="317"/>
      <c r="Q20" s="281" t="s">
        <v>256</v>
      </c>
      <c r="R20" s="316">
        <v>0.33</v>
      </c>
      <c r="S20" s="316">
        <v>0.26</v>
      </c>
      <c r="T20" s="316">
        <v>0.52</v>
      </c>
      <c r="U20" s="317" t="s">
        <v>672</v>
      </c>
      <c r="V20" s="281" t="str">
        <f t="shared" si="0"/>
        <v>SG-22</v>
      </c>
      <c r="W20" s="316">
        <f t="shared" si="0"/>
        <v>1.1000000000000001</v>
      </c>
      <c r="X20" s="316">
        <f t="shared" si="0"/>
        <v>60</v>
      </c>
      <c r="Y20" s="316">
        <f t="shared" si="0"/>
        <v>28</v>
      </c>
      <c r="Z20" s="316" t="str">
        <f t="shared" si="0"/>
        <v>ESG 8 / 14 / ESG 8</v>
      </c>
      <c r="AA20" s="317"/>
      <c r="AB20" s="445"/>
      <c r="AC20" s="445"/>
      <c r="AD20" s="445"/>
      <c r="AE20" s="445"/>
      <c r="AF20" s="445"/>
    </row>
    <row r="21" spans="1:32" x14ac:dyDescent="0.2">
      <c r="A21" s="444" t="s">
        <v>231</v>
      </c>
      <c r="B21" s="465" t="s">
        <v>203</v>
      </c>
      <c r="C21" s="466">
        <f>IF(AND($I$20=TRUE,OR('Pos. 4'!$Z$10='Sprachen &amp; Rückgabewerte(4)'!$B$10,'Pos. 4'!$Z$10='Sprachen &amp; Rückgabewerte(4)'!$B$11)),1,0)</f>
        <v>0</v>
      </c>
      <c r="D21" s="281" t="s">
        <v>27</v>
      </c>
      <c r="E21" s="316" t="s">
        <v>770</v>
      </c>
      <c r="F21" s="316" t="s">
        <v>28</v>
      </c>
      <c r="G21" s="317" t="s">
        <v>128</v>
      </c>
      <c r="H21" s="444" t="str">
        <f t="shared" si="1"/>
        <v>Stk.</v>
      </c>
      <c r="I21" s="451"/>
      <c r="K21" s="281" t="s">
        <v>255</v>
      </c>
      <c r="L21" s="316">
        <v>1</v>
      </c>
      <c r="M21" s="316">
        <v>60</v>
      </c>
      <c r="N21" s="316">
        <v>28</v>
      </c>
      <c r="O21" s="316" t="s">
        <v>237</v>
      </c>
      <c r="P21" s="317"/>
      <c r="Q21" s="281" t="s">
        <v>257</v>
      </c>
      <c r="R21" s="316">
        <v>0.33</v>
      </c>
      <c r="S21" s="316">
        <v>0.26</v>
      </c>
      <c r="T21" s="316">
        <v>0.52</v>
      </c>
      <c r="U21" s="317" t="s">
        <v>673</v>
      </c>
      <c r="V21" s="281" t="str">
        <f t="shared" si="0"/>
        <v>SG-23</v>
      </c>
      <c r="W21" s="316">
        <f t="shared" si="0"/>
        <v>1</v>
      </c>
      <c r="X21" s="316">
        <f t="shared" si="0"/>
        <v>60</v>
      </c>
      <c r="Y21" s="316">
        <f t="shared" si="0"/>
        <v>28</v>
      </c>
      <c r="Z21" s="316" t="str">
        <f t="shared" si="0"/>
        <v>ESG 8 / 16 / ESG 6</v>
      </c>
      <c r="AA21" s="317"/>
      <c r="AB21" s="445"/>
      <c r="AC21" s="445"/>
      <c r="AD21" s="445"/>
      <c r="AE21" s="445"/>
      <c r="AF21" s="445"/>
    </row>
    <row r="22" spans="1:32" x14ac:dyDescent="0.2">
      <c r="A22" s="444"/>
      <c r="B22" s="465" t="s">
        <v>204</v>
      </c>
      <c r="C22" s="466">
        <f>IF(AND($I$20=TRUE,OR('Pos. 4'!$AD$10='Sprachen &amp; Rückgabewerte(4)'!$B$10,'Pos. 4'!$AD$10='Sprachen &amp; Rückgabewerte(4)'!$B$11)),1,0)</f>
        <v>0</v>
      </c>
      <c r="D22" s="281" t="s">
        <v>29</v>
      </c>
      <c r="E22" s="316" t="s">
        <v>345</v>
      </c>
      <c r="F22" s="316" t="s">
        <v>344</v>
      </c>
      <c r="G22" s="317" t="s">
        <v>508</v>
      </c>
      <c r="H22" s="444" t="str">
        <f t="shared" si="1"/>
        <v>geforderte Klassen:</v>
      </c>
      <c r="I22" s="451" t="b">
        <v>0</v>
      </c>
      <c r="K22" s="281" t="s">
        <v>256</v>
      </c>
      <c r="L22" s="316">
        <v>1.1000000000000001</v>
      </c>
      <c r="M22" s="316">
        <v>60</v>
      </c>
      <c r="N22" s="316">
        <v>28</v>
      </c>
      <c r="O22" s="316" t="s">
        <v>239</v>
      </c>
      <c r="P22" s="317"/>
      <c r="Q22" s="281" t="s">
        <v>258</v>
      </c>
      <c r="R22" s="316">
        <v>0.33</v>
      </c>
      <c r="S22" s="316">
        <v>0.26</v>
      </c>
      <c r="T22" s="316">
        <v>0.51</v>
      </c>
      <c r="U22" s="317" t="s">
        <v>674</v>
      </c>
      <c r="V22" s="281" t="str">
        <f t="shared" si="0"/>
        <v>SG-24</v>
      </c>
      <c r="W22" s="316">
        <f t="shared" si="0"/>
        <v>1.1000000000000001</v>
      </c>
      <c r="X22" s="316">
        <f t="shared" si="0"/>
        <v>60</v>
      </c>
      <c r="Y22" s="316">
        <f t="shared" si="0"/>
        <v>28</v>
      </c>
      <c r="Z22" s="316" t="str">
        <f t="shared" si="0"/>
        <v>ESG 10 / 14 / ESG 6</v>
      </c>
      <c r="AA22" s="317"/>
      <c r="AB22" s="445"/>
      <c r="AC22" s="445"/>
      <c r="AD22" s="445"/>
      <c r="AE22" s="445"/>
      <c r="AF22" s="445"/>
    </row>
    <row r="23" spans="1:32" x14ac:dyDescent="0.2">
      <c r="A23" s="363">
        <v>1</v>
      </c>
      <c r="B23" s="465" t="s">
        <v>205</v>
      </c>
      <c r="C23" s="466">
        <f>IF(AND($I$20=TRUE,OR('Pos. 4'!$AH$10='Sprachen &amp; Rückgabewerte(4)'!$B$10,'Pos. 4'!$AH$10='Sprachen &amp; Rückgabewerte(4)'!$B$11)),1,0)</f>
        <v>0</v>
      </c>
      <c r="D23" s="6" t="s">
        <v>119</v>
      </c>
      <c r="E23" s="7" t="s">
        <v>121</v>
      </c>
      <c r="F23" s="7" t="s">
        <v>122</v>
      </c>
      <c r="G23" s="8" t="s">
        <v>356</v>
      </c>
      <c r="H23" s="444" t="str">
        <f t="shared" si="1"/>
        <v>(Schlagregen, Luftdurchlässigkeit)</v>
      </c>
      <c r="I23" s="451"/>
      <c r="K23" s="281" t="s">
        <v>257</v>
      </c>
      <c r="L23" s="316">
        <v>1</v>
      </c>
      <c r="M23" s="316">
        <v>61</v>
      </c>
      <c r="N23" s="316">
        <v>28</v>
      </c>
      <c r="O23" s="316" t="s">
        <v>245</v>
      </c>
      <c r="P23" s="317"/>
      <c r="Q23" s="281">
        <v>0</v>
      </c>
      <c r="R23" s="316">
        <v>0</v>
      </c>
      <c r="S23" s="316">
        <v>0</v>
      </c>
      <c r="T23" s="316">
        <v>0</v>
      </c>
      <c r="U23" s="317" t="str">
        <f t="shared" si="2"/>
        <v>Glastyp wählen</v>
      </c>
      <c r="V23" s="281" t="str">
        <f t="shared" si="0"/>
        <v>SG-25</v>
      </c>
      <c r="W23" s="316">
        <f t="shared" si="0"/>
        <v>1</v>
      </c>
      <c r="X23" s="316">
        <f t="shared" si="0"/>
        <v>61</v>
      </c>
      <c r="Y23" s="316">
        <f t="shared" si="0"/>
        <v>28</v>
      </c>
      <c r="Z23" s="316" t="str">
        <f t="shared" si="0"/>
        <v>ESG 6 / 14 / V-WG 8-2</v>
      </c>
      <c r="AA23" s="317"/>
      <c r="AB23" s="445"/>
      <c r="AC23" s="445"/>
      <c r="AD23" s="445"/>
      <c r="AE23" s="445"/>
      <c r="AF23" s="445"/>
    </row>
    <row r="24" spans="1:32" ht="13.5" thickBot="1" x14ac:dyDescent="0.25">
      <c r="A24" s="471">
        <v>2</v>
      </c>
      <c r="B24" s="465" t="s">
        <v>206</v>
      </c>
      <c r="C24" s="466">
        <f>IF(AND($I$20=TRUE,OR('Pos. 4'!$AL$10='Sprachen &amp; Rückgabewerte(4)'!$B$10,'Pos. 4'!$AL$10='Sprachen &amp; Rückgabewerte(4)'!$B$11)),1,0)</f>
        <v>0</v>
      </c>
      <c r="D24" s="281" t="s">
        <v>111</v>
      </c>
      <c r="E24" s="316" t="s">
        <v>112</v>
      </c>
      <c r="F24" s="316" t="s">
        <v>113</v>
      </c>
      <c r="G24" s="317" t="s">
        <v>114</v>
      </c>
      <c r="H24" s="444" t="str">
        <f t="shared" si="1"/>
        <v>Speziell:</v>
      </c>
      <c r="I24" s="451"/>
      <c r="K24" s="281" t="s">
        <v>258</v>
      </c>
      <c r="L24" s="316">
        <v>1</v>
      </c>
      <c r="M24" s="316">
        <v>60</v>
      </c>
      <c r="N24" s="316">
        <v>28</v>
      </c>
      <c r="O24" s="316" t="s">
        <v>259</v>
      </c>
      <c r="P24" s="317"/>
      <c r="Q24" s="281" t="s">
        <v>675</v>
      </c>
      <c r="R24" s="316">
        <v>0.34</v>
      </c>
      <c r="S24" s="316">
        <v>0.22</v>
      </c>
      <c r="T24" s="316">
        <v>0.43</v>
      </c>
      <c r="U24" s="317" t="s">
        <v>676</v>
      </c>
      <c r="V24" s="281" t="str">
        <f t="shared" si="0"/>
        <v>SG-26</v>
      </c>
      <c r="W24" s="316">
        <f t="shared" si="0"/>
        <v>1</v>
      </c>
      <c r="X24" s="316">
        <f t="shared" si="0"/>
        <v>60</v>
      </c>
      <c r="Y24" s="316">
        <f t="shared" si="0"/>
        <v>28</v>
      </c>
      <c r="Z24" s="316" t="str">
        <f t="shared" si="0"/>
        <v>ESG 8 / 12 / V-WG 8-2</v>
      </c>
      <c r="AA24" s="317"/>
      <c r="AB24" s="445"/>
      <c r="AC24" s="445"/>
      <c r="AD24" s="445"/>
      <c r="AE24" s="445"/>
      <c r="AF24" s="445"/>
    </row>
    <row r="25" spans="1:32" ht="13.5" thickBot="1" x14ac:dyDescent="0.25">
      <c r="B25" s="472" t="s">
        <v>207</v>
      </c>
      <c r="C25" s="469">
        <f>IF(AND($I$20=TRUE,OR('Pos. 4'!$AP$10='Sprachen &amp; Rückgabewerte(4)'!$B$10,'Pos. 4'!$AP$10='Sprachen &amp; Rückgabewerte(4)'!$B$11)),1,0)</f>
        <v>0</v>
      </c>
      <c r="D25" s="281" t="s">
        <v>30</v>
      </c>
      <c r="E25" s="316" t="s">
        <v>30</v>
      </c>
      <c r="F25" s="316" t="s">
        <v>30</v>
      </c>
      <c r="G25" s="317" t="s">
        <v>30</v>
      </c>
      <c r="H25" s="444" t="str">
        <f t="shared" si="1"/>
        <v>Pool</v>
      </c>
      <c r="I25" s="451" t="b">
        <v>0</v>
      </c>
      <c r="K25" s="281" t="s">
        <v>260</v>
      </c>
      <c r="L25" s="316">
        <v>1</v>
      </c>
      <c r="M25" s="316">
        <v>59</v>
      </c>
      <c r="N25" s="316">
        <v>27</v>
      </c>
      <c r="O25" s="316" t="s">
        <v>261</v>
      </c>
      <c r="P25" s="317"/>
      <c r="Q25" s="281" t="s">
        <v>677</v>
      </c>
      <c r="R25" s="316">
        <v>0.33</v>
      </c>
      <c r="S25" s="316">
        <v>0.22</v>
      </c>
      <c r="T25" s="316">
        <v>0.42</v>
      </c>
      <c r="U25" s="317" t="s">
        <v>678</v>
      </c>
      <c r="V25" s="473" t="str">
        <f t="shared" si="0"/>
        <v>SG-27</v>
      </c>
      <c r="W25" s="474">
        <f t="shared" si="0"/>
        <v>1</v>
      </c>
      <c r="X25" s="474">
        <f t="shared" si="0"/>
        <v>59</v>
      </c>
      <c r="Y25" s="474">
        <f t="shared" si="0"/>
        <v>27</v>
      </c>
      <c r="Z25" s="474" t="str">
        <f t="shared" si="0"/>
        <v>V-F 10-2 / 12 / ESG 6</v>
      </c>
      <c r="AA25" s="475"/>
      <c r="AB25" s="445"/>
      <c r="AC25" s="445"/>
      <c r="AD25" s="445"/>
      <c r="AE25" s="445"/>
      <c r="AF25" s="445"/>
    </row>
    <row r="26" spans="1:32" ht="13.5" thickBot="1" x14ac:dyDescent="0.25">
      <c r="D26" s="281" t="s">
        <v>115</v>
      </c>
      <c r="E26" s="316" t="s">
        <v>120</v>
      </c>
      <c r="F26" s="316" t="s">
        <v>123</v>
      </c>
      <c r="G26" s="317" t="s">
        <v>357</v>
      </c>
      <c r="H26" s="444" t="str">
        <f t="shared" si="1"/>
        <v>Schallschutz</v>
      </c>
      <c r="I26" s="451"/>
      <c r="K26" s="281">
        <v>0</v>
      </c>
      <c r="L26" s="316">
        <v>0</v>
      </c>
      <c r="M26" s="316">
        <v>0</v>
      </c>
      <c r="N26" s="316">
        <v>0</v>
      </c>
      <c r="O26" s="316" t="str">
        <f t="shared" ref="O26:O35" si="3">$H$54</f>
        <v>Glastyp wählen</v>
      </c>
      <c r="P26" s="317"/>
      <c r="Q26" s="476" t="s">
        <v>679</v>
      </c>
      <c r="R26" s="477">
        <v>0.34</v>
      </c>
      <c r="S26" s="477">
        <v>0.22</v>
      </c>
      <c r="T26" s="477">
        <v>0.43</v>
      </c>
      <c r="U26" s="317" t="s">
        <v>680</v>
      </c>
      <c r="V26" s="281">
        <f t="shared" ref="V26:Z35" si="4">IF($I$125=TRUE,Q26,K26)</f>
        <v>0</v>
      </c>
      <c r="W26" s="316">
        <f t="shared" si="4"/>
        <v>0</v>
      </c>
      <c r="X26" s="316">
        <f t="shared" si="4"/>
        <v>0</v>
      </c>
      <c r="Y26" s="316">
        <f t="shared" si="4"/>
        <v>0</v>
      </c>
      <c r="Z26" s="316" t="str">
        <f t="shared" si="4"/>
        <v>Glastyp wählen</v>
      </c>
      <c r="AA26" s="317"/>
      <c r="AB26" s="445"/>
      <c r="AC26" s="445"/>
      <c r="AD26" s="445"/>
      <c r="AE26" s="445"/>
      <c r="AF26" s="445"/>
    </row>
    <row r="27" spans="1:32" x14ac:dyDescent="0.2">
      <c r="A27" s="57" t="s">
        <v>865</v>
      </c>
      <c r="B27" s="34" t="s">
        <v>208</v>
      </c>
      <c r="C27" s="366"/>
      <c r="D27" s="281" t="s">
        <v>116</v>
      </c>
      <c r="E27" s="316" t="s">
        <v>116</v>
      </c>
      <c r="F27" s="316" t="s">
        <v>116</v>
      </c>
      <c r="G27" s="317" t="s">
        <v>116</v>
      </c>
      <c r="H27" s="444" t="str">
        <f t="shared" si="1"/>
        <v>MINERGIE Modul</v>
      </c>
      <c r="I27" s="451"/>
      <c r="K27" s="281">
        <v>0</v>
      </c>
      <c r="L27" s="316">
        <v>0</v>
      </c>
      <c r="M27" s="316">
        <v>0</v>
      </c>
      <c r="N27" s="316">
        <v>0</v>
      </c>
      <c r="O27" s="316" t="str">
        <f t="shared" si="3"/>
        <v>Glastyp wählen</v>
      </c>
      <c r="P27" s="317"/>
      <c r="Q27" s="476" t="s">
        <v>681</v>
      </c>
      <c r="R27" s="477">
        <v>0.33</v>
      </c>
      <c r="S27" s="477">
        <v>0.22</v>
      </c>
      <c r="T27" s="477">
        <v>0.42</v>
      </c>
      <c r="U27" s="317" t="s">
        <v>682</v>
      </c>
      <c r="V27" s="281">
        <f t="shared" si="4"/>
        <v>0</v>
      </c>
      <c r="W27" s="316">
        <f t="shared" si="4"/>
        <v>0</v>
      </c>
      <c r="X27" s="316">
        <f t="shared" si="4"/>
        <v>0</v>
      </c>
      <c r="Y27" s="316">
        <f t="shared" si="4"/>
        <v>0</v>
      </c>
      <c r="Z27" s="316" t="str">
        <f t="shared" si="4"/>
        <v>Glastyp wählen</v>
      </c>
      <c r="AA27" s="317"/>
      <c r="AB27" s="445"/>
      <c r="AC27" s="445"/>
      <c r="AD27" s="445"/>
      <c r="AE27" s="445"/>
      <c r="AF27" s="445"/>
    </row>
    <row r="28" spans="1:32" x14ac:dyDescent="0.2">
      <c r="A28" s="362"/>
      <c r="B28" s="357" t="s">
        <v>209</v>
      </c>
      <c r="C28" s="358" t="str">
        <f>IF($I$17=TRUE,"P","")</f>
        <v/>
      </c>
      <c r="D28" s="281" t="s">
        <v>117</v>
      </c>
      <c r="E28" s="316" t="s">
        <v>117</v>
      </c>
      <c r="F28" s="316" t="s">
        <v>117</v>
      </c>
      <c r="G28" s="317" t="s">
        <v>117</v>
      </c>
      <c r="H28" s="444" t="str">
        <f t="shared" si="1"/>
        <v>MINERGIE-P Modul</v>
      </c>
      <c r="I28" s="451"/>
      <c r="K28" s="281">
        <v>0</v>
      </c>
      <c r="L28" s="316">
        <v>0</v>
      </c>
      <c r="M28" s="316">
        <v>0</v>
      </c>
      <c r="N28" s="316">
        <v>0</v>
      </c>
      <c r="O28" s="316" t="str">
        <f t="shared" si="3"/>
        <v>Glastyp wählen</v>
      </c>
      <c r="P28" s="317"/>
      <c r="Q28" s="476" t="s">
        <v>683</v>
      </c>
      <c r="R28" s="477">
        <v>0.33</v>
      </c>
      <c r="S28" s="477">
        <v>0.22</v>
      </c>
      <c r="T28" s="477">
        <v>0.42</v>
      </c>
      <c r="U28" s="317" t="s">
        <v>684</v>
      </c>
      <c r="V28" s="281">
        <f t="shared" si="4"/>
        <v>0</v>
      </c>
      <c r="W28" s="316">
        <f t="shared" si="4"/>
        <v>0</v>
      </c>
      <c r="X28" s="316">
        <f t="shared" si="4"/>
        <v>0</v>
      </c>
      <c r="Y28" s="316">
        <f t="shared" si="4"/>
        <v>0</v>
      </c>
      <c r="Z28" s="316" t="str">
        <f t="shared" si="4"/>
        <v>Glastyp wählen</v>
      </c>
      <c r="AA28" s="317"/>
      <c r="AB28" s="445"/>
      <c r="AC28" s="445"/>
      <c r="AD28" s="445"/>
      <c r="AE28" s="445"/>
      <c r="AF28" s="445"/>
    </row>
    <row r="29" spans="1:32" x14ac:dyDescent="0.2">
      <c r="A29" s="363" t="s">
        <v>866</v>
      </c>
      <c r="B29" s="281" t="s">
        <v>210</v>
      </c>
      <c r="C29" s="466" t="str">
        <f>IF($I$18=TRUE,"R","")</f>
        <v/>
      </c>
      <c r="D29" s="281" t="s">
        <v>118</v>
      </c>
      <c r="E29" s="316" t="s">
        <v>118</v>
      </c>
      <c r="F29" s="316" t="s">
        <v>118</v>
      </c>
      <c r="G29" s="317" t="s">
        <v>118</v>
      </c>
      <c r="H29" s="444" t="str">
        <f t="shared" si="1"/>
        <v>Gun</v>
      </c>
      <c r="I29" s="451"/>
      <c r="K29" s="281">
        <v>0</v>
      </c>
      <c r="L29" s="316">
        <v>0</v>
      </c>
      <c r="M29" s="316">
        <v>0</v>
      </c>
      <c r="N29" s="316">
        <v>0</v>
      </c>
      <c r="O29" s="316" t="str">
        <f t="shared" si="3"/>
        <v>Glastyp wählen</v>
      </c>
      <c r="P29" s="317"/>
      <c r="Q29" s="476" t="s">
        <v>685</v>
      </c>
      <c r="R29" s="477">
        <v>0.33</v>
      </c>
      <c r="S29" s="477">
        <v>0.22</v>
      </c>
      <c r="T29" s="477">
        <v>0.42</v>
      </c>
      <c r="U29" s="317" t="s">
        <v>686</v>
      </c>
      <c r="V29" s="281">
        <f t="shared" si="4"/>
        <v>0</v>
      </c>
      <c r="W29" s="316">
        <f t="shared" si="4"/>
        <v>0</v>
      </c>
      <c r="X29" s="316">
        <f t="shared" si="4"/>
        <v>0</v>
      </c>
      <c r="Y29" s="316">
        <f t="shared" si="4"/>
        <v>0</v>
      </c>
      <c r="Z29" s="316" t="str">
        <f t="shared" si="4"/>
        <v>Glastyp wählen</v>
      </c>
      <c r="AA29" s="317"/>
      <c r="AB29" s="445"/>
      <c r="AC29" s="445"/>
      <c r="AD29" s="445"/>
      <c r="AE29" s="445"/>
      <c r="AF29" s="445"/>
    </row>
    <row r="30" spans="1:32" ht="13.5" thickBot="1" x14ac:dyDescent="0.25">
      <c r="A30" s="364" t="s">
        <v>867</v>
      </c>
      <c r="B30" s="472" t="s">
        <v>211</v>
      </c>
      <c r="C30" s="469" t="str">
        <f>IF($I$19=TRUE,"G","")</f>
        <v/>
      </c>
      <c r="D30" s="281" t="s">
        <v>31</v>
      </c>
      <c r="E30" s="316" t="s">
        <v>32</v>
      </c>
      <c r="F30" s="316" t="s">
        <v>33</v>
      </c>
      <c r="G30" s="317" t="s">
        <v>701</v>
      </c>
      <c r="H30" s="444" t="str">
        <f t="shared" si="1"/>
        <v>nach rechts</v>
      </c>
      <c r="I30" s="451" t="b">
        <v>0</v>
      </c>
      <c r="K30" s="281">
        <v>0</v>
      </c>
      <c r="L30" s="316">
        <v>0</v>
      </c>
      <c r="M30" s="316">
        <v>0</v>
      </c>
      <c r="N30" s="316">
        <v>0</v>
      </c>
      <c r="O30" s="316" t="str">
        <f t="shared" si="3"/>
        <v>Glastyp wählen</v>
      </c>
      <c r="P30" s="317"/>
      <c r="Q30" s="281">
        <v>0</v>
      </c>
      <c r="R30" s="316">
        <v>0</v>
      </c>
      <c r="S30" s="316">
        <v>0</v>
      </c>
      <c r="T30" s="316">
        <v>0</v>
      </c>
      <c r="U30" s="317" t="str">
        <f t="shared" ref="U30" si="5">$H$54</f>
        <v>Glastyp wählen</v>
      </c>
      <c r="V30" s="281">
        <f t="shared" si="4"/>
        <v>0</v>
      </c>
      <c r="W30" s="316">
        <f t="shared" si="4"/>
        <v>0</v>
      </c>
      <c r="X30" s="316">
        <f t="shared" si="4"/>
        <v>0</v>
      </c>
      <c r="Y30" s="316">
        <f t="shared" si="4"/>
        <v>0</v>
      </c>
      <c r="Z30" s="316" t="str">
        <f t="shared" si="4"/>
        <v>Glastyp wählen</v>
      </c>
      <c r="AA30" s="317"/>
      <c r="AB30" s="445"/>
      <c r="AC30" s="445"/>
      <c r="AD30" s="445"/>
      <c r="AE30" s="445"/>
      <c r="AF30" s="445"/>
    </row>
    <row r="31" spans="1:32" ht="13.5" thickBot="1" x14ac:dyDescent="0.25">
      <c r="B31" s="445"/>
      <c r="C31" s="478"/>
      <c r="D31" s="465" t="s">
        <v>34</v>
      </c>
      <c r="E31" s="316" t="s">
        <v>35</v>
      </c>
      <c r="F31" s="316" t="s">
        <v>36</v>
      </c>
      <c r="G31" s="317" t="s">
        <v>702</v>
      </c>
      <c r="H31" s="444" t="str">
        <f t="shared" si="1"/>
        <v>nach links</v>
      </c>
      <c r="I31" s="451" t="b">
        <v>0</v>
      </c>
      <c r="K31" s="281">
        <v>0</v>
      </c>
      <c r="L31" s="316">
        <v>0</v>
      </c>
      <c r="M31" s="316">
        <v>0</v>
      </c>
      <c r="N31" s="316">
        <v>0</v>
      </c>
      <c r="O31" s="316" t="str">
        <f t="shared" si="3"/>
        <v>Glastyp wählen</v>
      </c>
      <c r="P31" s="317"/>
      <c r="Q31" s="476" t="s">
        <v>687</v>
      </c>
      <c r="R31" s="477">
        <v>0.33</v>
      </c>
      <c r="S31" s="477">
        <v>0.46</v>
      </c>
      <c r="T31" s="477">
        <v>0.66</v>
      </c>
      <c r="U31" s="317" t="s">
        <v>691</v>
      </c>
      <c r="V31" s="281">
        <f t="shared" si="4"/>
        <v>0</v>
      </c>
      <c r="W31" s="316">
        <f t="shared" si="4"/>
        <v>0</v>
      </c>
      <c r="X31" s="316">
        <f t="shared" si="4"/>
        <v>0</v>
      </c>
      <c r="Y31" s="316">
        <f t="shared" si="4"/>
        <v>0</v>
      </c>
      <c r="Z31" s="316" t="str">
        <f t="shared" si="4"/>
        <v>Glastyp wählen</v>
      </c>
      <c r="AA31" s="317"/>
      <c r="AB31" s="445"/>
      <c r="AC31" s="445"/>
      <c r="AD31" s="445"/>
      <c r="AE31" s="445"/>
      <c r="AF31" s="445"/>
    </row>
    <row r="32" spans="1:32" x14ac:dyDescent="0.2">
      <c r="B32" s="34" t="s">
        <v>217</v>
      </c>
      <c r="C32" s="34"/>
      <c r="D32" s="465" t="s">
        <v>37</v>
      </c>
      <c r="E32" s="316" t="s">
        <v>38</v>
      </c>
      <c r="F32" s="316" t="s">
        <v>39</v>
      </c>
      <c r="G32" s="317" t="s">
        <v>129</v>
      </c>
      <c r="H32" s="444" t="str">
        <f t="shared" si="1"/>
        <v>Breite =</v>
      </c>
      <c r="I32" s="451"/>
      <c r="K32" s="281">
        <v>0</v>
      </c>
      <c r="L32" s="316">
        <v>0</v>
      </c>
      <c r="M32" s="316">
        <v>0</v>
      </c>
      <c r="N32" s="316">
        <v>0</v>
      </c>
      <c r="O32" s="316" t="str">
        <f t="shared" si="3"/>
        <v>Glastyp wählen</v>
      </c>
      <c r="P32" s="317"/>
      <c r="Q32" s="476" t="s">
        <v>688</v>
      </c>
      <c r="R32" s="477">
        <v>0.32</v>
      </c>
      <c r="S32" s="477">
        <v>0.39</v>
      </c>
      <c r="T32" s="477">
        <v>0.57999999999999996</v>
      </c>
      <c r="U32" s="317" t="s">
        <v>692</v>
      </c>
      <c r="V32" s="281">
        <f t="shared" si="4"/>
        <v>0</v>
      </c>
      <c r="W32" s="316">
        <f t="shared" si="4"/>
        <v>0</v>
      </c>
      <c r="X32" s="316">
        <f t="shared" si="4"/>
        <v>0</v>
      </c>
      <c r="Y32" s="316">
        <f t="shared" si="4"/>
        <v>0</v>
      </c>
      <c r="Z32" s="316" t="str">
        <f t="shared" si="4"/>
        <v>Glastyp wählen</v>
      </c>
      <c r="AA32" s="317"/>
      <c r="AB32" s="445"/>
      <c r="AC32" s="445"/>
      <c r="AD32" s="445"/>
      <c r="AE32" s="445"/>
      <c r="AF32" s="445"/>
    </row>
    <row r="33" spans="1:32" x14ac:dyDescent="0.2">
      <c r="B33" s="357"/>
      <c r="C33" s="372"/>
      <c r="D33" s="281" t="s">
        <v>132</v>
      </c>
      <c r="E33" s="316" t="s">
        <v>131</v>
      </c>
      <c r="F33" s="316" t="s">
        <v>40</v>
      </c>
      <c r="G33" s="317" t="s">
        <v>130</v>
      </c>
      <c r="H33" s="444" t="str">
        <f t="shared" si="1"/>
        <v>Griffhöhe:</v>
      </c>
      <c r="I33" s="451"/>
      <c r="K33" s="281">
        <v>0</v>
      </c>
      <c r="L33" s="316">
        <v>0</v>
      </c>
      <c r="M33" s="316">
        <v>0</v>
      </c>
      <c r="N33" s="316">
        <v>0</v>
      </c>
      <c r="O33" s="316" t="str">
        <f t="shared" si="3"/>
        <v>Glastyp wählen</v>
      </c>
      <c r="P33" s="317"/>
      <c r="Q33" s="476" t="s">
        <v>689</v>
      </c>
      <c r="R33" s="477">
        <v>0.32</v>
      </c>
      <c r="S33" s="477">
        <v>0.26</v>
      </c>
      <c r="T33" s="477">
        <v>0.52</v>
      </c>
      <c r="U33" s="317" t="s">
        <v>690</v>
      </c>
      <c r="V33" s="281">
        <f t="shared" si="4"/>
        <v>0</v>
      </c>
      <c r="W33" s="316">
        <f t="shared" si="4"/>
        <v>0</v>
      </c>
      <c r="X33" s="316">
        <f t="shared" si="4"/>
        <v>0</v>
      </c>
      <c r="Y33" s="316">
        <f t="shared" si="4"/>
        <v>0</v>
      </c>
      <c r="Z33" s="316" t="str">
        <f t="shared" si="4"/>
        <v>Glastyp wählen</v>
      </c>
      <c r="AA33" s="317"/>
      <c r="AB33" s="445"/>
      <c r="AC33" s="445"/>
      <c r="AD33" s="445"/>
      <c r="AE33" s="445"/>
      <c r="AF33" s="445"/>
    </row>
    <row r="34" spans="1:32" ht="13.5" thickBot="1" x14ac:dyDescent="0.25">
      <c r="B34" s="479" t="s">
        <v>218</v>
      </c>
      <c r="C34" s="377"/>
      <c r="D34" s="281" t="s">
        <v>41</v>
      </c>
      <c r="E34" s="316" t="s">
        <v>42</v>
      </c>
      <c r="F34" s="316" t="s">
        <v>43</v>
      </c>
      <c r="G34" s="317" t="s">
        <v>133</v>
      </c>
      <c r="H34" s="444" t="str">
        <f t="shared" si="1"/>
        <v xml:space="preserve">Höhe = </v>
      </c>
      <c r="I34" s="451"/>
      <c r="K34" s="281">
        <v>0</v>
      </c>
      <c r="L34" s="316">
        <v>0</v>
      </c>
      <c r="M34" s="316">
        <v>0</v>
      </c>
      <c r="N34" s="316">
        <v>0</v>
      </c>
      <c r="O34" s="316" t="str">
        <f t="shared" si="3"/>
        <v>Glastyp wählen</v>
      </c>
      <c r="P34" s="229"/>
      <c r="Q34" s="281">
        <v>0</v>
      </c>
      <c r="R34" s="316">
        <v>0</v>
      </c>
      <c r="S34" s="316">
        <v>0</v>
      </c>
      <c r="T34" s="316">
        <v>0</v>
      </c>
      <c r="U34" s="317" t="str">
        <f t="shared" ref="U34" si="6">$H$54</f>
        <v>Glastyp wählen</v>
      </c>
      <c r="V34" s="281">
        <f t="shared" si="4"/>
        <v>0</v>
      </c>
      <c r="W34" s="316">
        <f t="shared" si="4"/>
        <v>0</v>
      </c>
      <c r="X34" s="316">
        <f t="shared" si="4"/>
        <v>0</v>
      </c>
      <c r="Y34" s="316">
        <f t="shared" si="4"/>
        <v>0</v>
      </c>
      <c r="Z34" s="316" t="str">
        <f t="shared" si="4"/>
        <v>Glastyp wählen</v>
      </c>
      <c r="AA34" s="317"/>
      <c r="AB34" s="445"/>
      <c r="AC34" s="445"/>
      <c r="AD34" s="445"/>
      <c r="AE34" s="445"/>
      <c r="AF34" s="445"/>
    </row>
    <row r="35" spans="1:32" ht="13.5" thickBot="1" x14ac:dyDescent="0.25">
      <c r="D35" s="281" t="s">
        <v>44</v>
      </c>
      <c r="E35" s="316" t="s">
        <v>45</v>
      </c>
      <c r="F35" s="316" t="s">
        <v>45</v>
      </c>
      <c r="G35" s="317" t="s">
        <v>134</v>
      </c>
      <c r="H35" s="444" t="str">
        <f t="shared" si="1"/>
        <v>Oberfläche:</v>
      </c>
      <c r="I35" s="451"/>
      <c r="K35" s="472">
        <v>0</v>
      </c>
      <c r="L35" s="480">
        <v>0</v>
      </c>
      <c r="M35" s="480">
        <v>0</v>
      </c>
      <c r="N35" s="480">
        <v>0</v>
      </c>
      <c r="O35" s="480" t="str">
        <f t="shared" si="3"/>
        <v>Glastyp wählen</v>
      </c>
      <c r="P35" s="377"/>
      <c r="Q35" s="481" t="s">
        <v>693</v>
      </c>
      <c r="R35" s="482">
        <v>0.32</v>
      </c>
      <c r="S35" s="482">
        <v>0.22</v>
      </c>
      <c r="T35" s="482">
        <v>0.42</v>
      </c>
      <c r="U35" s="377" t="s">
        <v>694</v>
      </c>
      <c r="V35" s="472">
        <f t="shared" si="4"/>
        <v>0</v>
      </c>
      <c r="W35" s="480">
        <f t="shared" si="4"/>
        <v>0</v>
      </c>
      <c r="X35" s="480">
        <f t="shared" si="4"/>
        <v>0</v>
      </c>
      <c r="Y35" s="480">
        <f t="shared" si="4"/>
        <v>0</v>
      </c>
      <c r="Z35" s="480" t="str">
        <f t="shared" si="4"/>
        <v>Glastyp wählen</v>
      </c>
      <c r="AA35" s="377"/>
      <c r="AB35" s="445"/>
      <c r="AC35" s="445"/>
      <c r="AD35" s="445"/>
      <c r="AE35" s="445"/>
      <c r="AF35" s="445"/>
    </row>
    <row r="36" spans="1:32" x14ac:dyDescent="0.2">
      <c r="B36" s="34" t="s">
        <v>219</v>
      </c>
      <c r="C36" s="34"/>
      <c r="D36" s="281" t="s">
        <v>46</v>
      </c>
      <c r="E36" s="316" t="s">
        <v>47</v>
      </c>
      <c r="F36" s="316" t="s">
        <v>136</v>
      </c>
      <c r="G36" s="317" t="s">
        <v>135</v>
      </c>
      <c r="H36" s="444" t="str">
        <f t="shared" si="1"/>
        <v>eloxiert (Qualanod):</v>
      </c>
      <c r="I36" s="451" t="b">
        <v>1</v>
      </c>
      <c r="AB36" s="445"/>
      <c r="AC36" s="445"/>
      <c r="AD36" s="445"/>
      <c r="AE36" s="445"/>
      <c r="AF36" s="445"/>
    </row>
    <row r="37" spans="1:32" x14ac:dyDescent="0.2">
      <c r="B37" s="357" t="s">
        <v>221</v>
      </c>
      <c r="C37" s="372" t="b">
        <v>1</v>
      </c>
      <c r="D37" s="281" t="s">
        <v>48</v>
      </c>
      <c r="E37" s="316" t="s">
        <v>137</v>
      </c>
      <c r="F37" s="316" t="s">
        <v>137</v>
      </c>
      <c r="G37" s="317" t="s">
        <v>137</v>
      </c>
      <c r="H37" s="444" t="str">
        <f t="shared" si="1"/>
        <v>20 my (Standard)</v>
      </c>
      <c r="I37" s="451"/>
    </row>
    <row r="38" spans="1:32" x14ac:dyDescent="0.2">
      <c r="B38" s="281" t="s">
        <v>220</v>
      </c>
      <c r="C38" s="317" t="b">
        <v>1</v>
      </c>
      <c r="D38" s="281" t="s">
        <v>49</v>
      </c>
      <c r="E38" s="316" t="s">
        <v>50</v>
      </c>
      <c r="F38" s="316" t="s">
        <v>51</v>
      </c>
      <c r="G38" s="317" t="s">
        <v>358</v>
      </c>
      <c r="H38" s="444" t="str">
        <f t="shared" si="1"/>
        <v>25 my (Pool/Meer)</v>
      </c>
      <c r="I38" s="451"/>
    </row>
    <row r="39" spans="1:32" ht="13.5" thickBot="1" x14ac:dyDescent="0.25">
      <c r="B39" s="281" t="s">
        <v>222</v>
      </c>
      <c r="C39" s="317" t="b">
        <v>0</v>
      </c>
      <c r="D39" s="281" t="s">
        <v>382</v>
      </c>
      <c r="E39" s="316" t="s">
        <v>383</v>
      </c>
      <c r="F39" s="316" t="s">
        <v>384</v>
      </c>
      <c r="G39" s="317" t="s">
        <v>385</v>
      </c>
      <c r="H39" s="444" t="str">
        <f t="shared" si="1"/>
        <v>pulverbeschichtet:</v>
      </c>
      <c r="I39" s="451" t="b">
        <v>0</v>
      </c>
    </row>
    <row r="40" spans="1:32" x14ac:dyDescent="0.2">
      <c r="A40" s="282" t="s">
        <v>762</v>
      </c>
      <c r="B40" s="281" t="s">
        <v>223</v>
      </c>
      <c r="C40" s="317" t="b">
        <v>0</v>
      </c>
      <c r="D40" s="281" t="s">
        <v>856</v>
      </c>
      <c r="E40" s="316" t="s">
        <v>857</v>
      </c>
      <c r="F40" s="316" t="s">
        <v>858</v>
      </c>
      <c r="G40" s="317" t="s">
        <v>859</v>
      </c>
      <c r="H40" s="444" t="str">
        <f t="shared" si="1"/>
        <v>Vorbehandlung:</v>
      </c>
      <c r="I40" s="451"/>
      <c r="K40" s="57" t="s">
        <v>468</v>
      </c>
      <c r="L40" s="365"/>
      <c r="M40" s="366"/>
      <c r="N40" s="536" t="s">
        <v>621</v>
      </c>
      <c r="O40" s="537"/>
      <c r="P40" s="538"/>
      <c r="Q40" s="57" t="s">
        <v>321</v>
      </c>
      <c r="R40" s="57" t="s">
        <v>528</v>
      </c>
      <c r="S40" s="57" t="s">
        <v>532</v>
      </c>
      <c r="U40" s="34" t="s">
        <v>760</v>
      </c>
      <c r="V40" s="35"/>
    </row>
    <row r="41" spans="1:32" x14ac:dyDescent="0.2">
      <c r="A41" s="464" t="b">
        <f>IF(C41=FALSE,TRUE,(IF(AND(C41=TRUE,'Pos. 4'!F72=""),FALSE,TRUE)))</f>
        <v>1</v>
      </c>
      <c r="B41" s="281" t="s">
        <v>389</v>
      </c>
      <c r="C41" s="317" t="b">
        <v>0</v>
      </c>
      <c r="D41" s="281" t="s">
        <v>52</v>
      </c>
      <c r="E41" s="316" t="s">
        <v>53</v>
      </c>
      <c r="F41" s="316" t="s">
        <v>54</v>
      </c>
      <c r="G41" s="483" t="s">
        <v>138</v>
      </c>
      <c r="H41" s="444" t="str">
        <f t="shared" si="1"/>
        <v>+Voranodisieren</v>
      </c>
      <c r="I41" s="451"/>
      <c r="K41" s="484" t="s">
        <v>469</v>
      </c>
      <c r="L41" s="284">
        <f>IF(OR($I$5=TRUE,$I$6=TRUE),1,0)</f>
        <v>0</v>
      </c>
      <c r="M41" s="485"/>
      <c r="N41" s="193" t="str">
        <f>CONCATENATE("Pos. ",'Pos. 4'!$B$2,".1")</f>
        <v>Pos. 4.1</v>
      </c>
      <c r="O41" s="194" t="b">
        <f>IF(AND('Pos. 4'!AW32&lt;&gt;"",'Pos. 4'!AX32&lt;&gt;""),TRUE,FALSE)</f>
        <v>0</v>
      </c>
      <c r="P41" s="195"/>
      <c r="Q41" s="362"/>
      <c r="R41" s="362"/>
      <c r="S41" s="280">
        <f>COUNTA('Pos. 4'!G20:AP20)</f>
        <v>0</v>
      </c>
      <c r="U41" s="486" t="b">
        <f>IF(L41=0,FALSE,TRUE)</f>
        <v>0</v>
      </c>
      <c r="V41" s="487">
        <f>IF(U41=FALSE,1,0)</f>
        <v>1</v>
      </c>
    </row>
    <row r="42" spans="1:32" x14ac:dyDescent="0.2">
      <c r="A42" s="444" t="b">
        <f>IF(C42=FALSE,TRUE,(IF(AND(C42=TRUE,'Pos. 4'!L72=""),FALSE,TRUE)))</f>
        <v>1</v>
      </c>
      <c r="B42" s="281" t="s">
        <v>390</v>
      </c>
      <c r="C42" s="317" t="b">
        <v>0</v>
      </c>
      <c r="D42" s="281" t="s">
        <v>55</v>
      </c>
      <c r="E42" s="316" t="s">
        <v>56</v>
      </c>
      <c r="F42" s="316" t="s">
        <v>57</v>
      </c>
      <c r="G42" s="317" t="s">
        <v>139</v>
      </c>
      <c r="H42" s="444" t="str">
        <f t="shared" si="1"/>
        <v>Glas-Typ: SG = "Sky-Glass"</v>
      </c>
      <c r="I42" s="451"/>
      <c r="K42" s="311" t="s">
        <v>470</v>
      </c>
      <c r="L42" s="287">
        <f>IF(AND('Pos. 4'!$Y$5&lt;&gt;"",'Pos. 4'!$Y$7&lt;&gt;"",'Pos. 4'!$Y$6&lt;&gt;""),1,0)</f>
        <v>0</v>
      </c>
      <c r="M42" s="488"/>
      <c r="N42" s="193" t="str">
        <f>CONCATENATE("Pos. ",'Pos. 4'!$B$2,".2")</f>
        <v>Pos. 4.2</v>
      </c>
      <c r="O42" s="194" t="b">
        <f>IF(AND('Pos. 4'!AW33&lt;&gt;"",'Pos. 4'!AX33&lt;&gt;""),TRUE,FALSE)</f>
        <v>0</v>
      </c>
      <c r="P42" s="197"/>
      <c r="Q42" s="489">
        <v>1</v>
      </c>
      <c r="R42" s="490" t="s">
        <v>526</v>
      </c>
      <c r="U42" s="311" t="b">
        <f t="shared" ref="U42:U47" si="7">IF(L42=0,FALSE,TRUE)</f>
        <v>0</v>
      </c>
      <c r="V42" s="491">
        <f t="shared" ref="V42:V79" si="8">IF(U42=FALSE,1,0)</f>
        <v>1</v>
      </c>
    </row>
    <row r="43" spans="1:32" x14ac:dyDescent="0.2">
      <c r="A43" s="444" t="b">
        <f>IF(C43=FALSE,TRUE,(IF(AND(C43=TRUE,'Pos. 4'!R72=""),FALSE,TRUE)))</f>
        <v>1</v>
      </c>
      <c r="B43" s="281" t="s">
        <v>391</v>
      </c>
      <c r="C43" s="317" t="b">
        <v>0</v>
      </c>
      <c r="D43" s="281" t="s">
        <v>58</v>
      </c>
      <c r="E43" s="316" t="s">
        <v>59</v>
      </c>
      <c r="F43" s="316" t="s">
        <v>60</v>
      </c>
      <c r="G43" s="317" t="s">
        <v>140</v>
      </c>
      <c r="H43" s="444" t="str">
        <f t="shared" si="1"/>
        <v>Swisspacer-U schwarz</v>
      </c>
      <c r="I43" s="451" t="b">
        <v>0</v>
      </c>
      <c r="K43" s="311" t="s">
        <v>471</v>
      </c>
      <c r="L43" s="287">
        <f>IF(AND('Pos. 4'!$AJ$5&lt;&gt;"",'Pos. 4'!$AJ$6&lt;&gt;"",'Pos. 4'!$AJ$7&lt;&gt;""),1,0)</f>
        <v>0</v>
      </c>
      <c r="M43" s="488"/>
      <c r="N43" s="193" t="str">
        <f>CONCATENATE("Pos. ",'Pos. 4'!$B$2,".3")</f>
        <v>Pos. 4.3</v>
      </c>
      <c r="O43" s="194" t="b">
        <f>IF(AND('Pos. 4'!AW34&lt;&gt;"",'Pos. 4'!AX34&lt;&gt;""),TRUE,FALSE)</f>
        <v>0</v>
      </c>
      <c r="P43" s="197"/>
      <c r="Q43" s="363">
        <v>2</v>
      </c>
      <c r="R43" s="490" t="s">
        <v>527</v>
      </c>
      <c r="U43" s="311" t="b">
        <f t="shared" si="7"/>
        <v>0</v>
      </c>
      <c r="V43" s="491">
        <f t="shared" si="8"/>
        <v>1</v>
      </c>
    </row>
    <row r="44" spans="1:32" x14ac:dyDescent="0.2">
      <c r="A44" s="444" t="b">
        <f>IF(C44=FALSE,TRUE,(IF(AND(C44=TRUE,'Pos. 4'!X72=""),FALSE,TRUE)))</f>
        <v>1</v>
      </c>
      <c r="B44" s="281" t="str">
        <f>IF('Pos. 4'!AB62="","121101/121101","121401/121401")</f>
        <v>121101/121101</v>
      </c>
      <c r="C44" s="317" t="b">
        <v>0</v>
      </c>
      <c r="D44" s="281" t="s">
        <v>61</v>
      </c>
      <c r="E44" s="316" t="s">
        <v>62</v>
      </c>
      <c r="F44" s="316" t="s">
        <v>63</v>
      </c>
      <c r="G44" s="317" t="s">
        <v>141</v>
      </c>
      <c r="H44" s="444" t="str">
        <f t="shared" si="1"/>
        <v>Swisspacer-U grau</v>
      </c>
      <c r="I44" s="451" t="b">
        <v>0</v>
      </c>
      <c r="K44" s="311" t="s">
        <v>472</v>
      </c>
      <c r="L44" s="287">
        <f>IF(OR($I$10=TRUE,$I$11=TRUE,$I$12=TRUE),1,0)</f>
        <v>0</v>
      </c>
      <c r="M44" s="488"/>
      <c r="N44" s="193" t="str">
        <f>CONCATENATE("Pos. ",'Pos. 4'!$B$2,".4")</f>
        <v>Pos. 4.4</v>
      </c>
      <c r="O44" s="194" t="b">
        <f>IF(AND('Pos. 4'!AW35&lt;&gt;"",'Pos. 4'!AX35&lt;&gt;""),TRUE,FALSE)</f>
        <v>0</v>
      </c>
      <c r="P44" s="197"/>
      <c r="Q44" s="363">
        <v>3</v>
      </c>
      <c r="U44" s="311" t="b">
        <f t="shared" si="7"/>
        <v>0</v>
      </c>
      <c r="V44" s="491">
        <f t="shared" si="8"/>
        <v>1</v>
      </c>
    </row>
    <row r="45" spans="1:32" x14ac:dyDescent="0.2">
      <c r="A45" s="444" t="b">
        <f>IF(C45=FALSE,TRUE,(IF(AND(C45=TRUE,'Pos. 4'!H85=""),FALSE,TRUE)))</f>
        <v>1</v>
      </c>
      <c r="B45" s="281" t="s">
        <v>406</v>
      </c>
      <c r="C45" s="317" t="b">
        <v>0</v>
      </c>
      <c r="D45" s="281" t="s">
        <v>111</v>
      </c>
      <c r="E45" s="316" t="s">
        <v>112</v>
      </c>
      <c r="F45" s="316" t="s">
        <v>113</v>
      </c>
      <c r="G45" s="317" t="s">
        <v>114</v>
      </c>
      <c r="H45" s="444" t="str">
        <f t="shared" si="1"/>
        <v>Speziell:</v>
      </c>
      <c r="I45" s="451" t="b">
        <v>0</v>
      </c>
      <c r="K45" s="311" t="s">
        <v>473</v>
      </c>
      <c r="L45" s="287">
        <f>IF(AND('Pos. 4'!$F$10&lt;&gt;"",OR('Pos. 4'!$E$23&lt;&gt;"",'Pos. 4'!$E$24&lt;&gt;"",'Pos. 4'!$E$25&lt;&gt;"",'Pos. 4'!$E$26&lt;&gt;"")),1,0)</f>
        <v>0</v>
      </c>
      <c r="M45" s="488"/>
      <c r="N45" s="193" t="str">
        <f>CONCATENATE("Pos. ",'Pos. 4'!$B$2,".5")</f>
        <v>Pos. 4.5</v>
      </c>
      <c r="O45" s="194" t="b">
        <f>IF(AND('Pos. 4'!AW36&lt;&gt;"",'Pos. 4'!AX36&lt;&gt;""),TRUE,FALSE)</f>
        <v>0</v>
      </c>
      <c r="P45" s="197"/>
      <c r="Q45" s="363">
        <v>4</v>
      </c>
      <c r="U45" s="311" t="b">
        <f t="shared" si="7"/>
        <v>0</v>
      </c>
      <c r="V45" s="491">
        <f t="shared" si="8"/>
        <v>1</v>
      </c>
    </row>
    <row r="46" spans="1:32" x14ac:dyDescent="0.2">
      <c r="A46" s="444" t="b">
        <f>IF(C46=FALSE,TRUE,(IF(AND(C46=TRUE,'Pos. 4'!O85=""),FALSE,TRUE)))</f>
        <v>1</v>
      </c>
      <c r="B46" s="281" t="s">
        <v>407</v>
      </c>
      <c r="C46" s="317" t="b">
        <v>0</v>
      </c>
      <c r="D46" s="281" t="s">
        <v>64</v>
      </c>
      <c r="E46" s="316" t="s">
        <v>65</v>
      </c>
      <c r="F46" s="316" t="s">
        <v>66</v>
      </c>
      <c r="G46" s="317" t="s">
        <v>142</v>
      </c>
      <c r="H46" s="444" t="str">
        <f t="shared" si="1"/>
        <v>Statik:</v>
      </c>
      <c r="I46" s="451"/>
      <c r="K46" s="311" t="s">
        <v>474</v>
      </c>
      <c r="L46" s="287">
        <f>IF(AND($I$13=TRUE,'Pos. 4'!$E$28=""),0,1)</f>
        <v>1</v>
      </c>
      <c r="M46" s="488"/>
      <c r="N46" s="193" t="str">
        <f>CONCATENATE("Pos. ",'Pos. 4'!$B$2,".6")</f>
        <v>Pos. 4.6</v>
      </c>
      <c r="O46" s="194" t="b">
        <f>IF(AND('Pos. 4'!AW37&lt;&gt;"",'Pos. 4'!AX37&lt;&gt;""),TRUE,FALSE)</f>
        <v>0</v>
      </c>
      <c r="P46" s="197"/>
      <c r="Q46" s="363">
        <v>5</v>
      </c>
      <c r="U46" s="311" t="b">
        <f t="shared" si="7"/>
        <v>1</v>
      </c>
      <c r="V46" s="491">
        <f t="shared" si="8"/>
        <v>0</v>
      </c>
    </row>
    <row r="47" spans="1:32" x14ac:dyDescent="0.2">
      <c r="A47" s="444" t="b">
        <f>IF(C47=FALSE,TRUE,(IF(AND(C47=TRUE,'Pos. 4'!V85=""),FALSE,TRUE)))</f>
        <v>1</v>
      </c>
      <c r="B47" s="281" t="str">
        <f>IF('Pos. 4'!AB73="","322301/322301","400419/400419")</f>
        <v>322301/322301</v>
      </c>
      <c r="C47" s="317" t="b">
        <v>0</v>
      </c>
      <c r="D47" s="281" t="s">
        <v>67</v>
      </c>
      <c r="E47" s="316" t="s">
        <v>68</v>
      </c>
      <c r="F47" s="316" t="s">
        <v>69</v>
      </c>
      <c r="G47" s="317" t="s">
        <v>359</v>
      </c>
      <c r="H47" s="444" t="str">
        <f t="shared" si="1"/>
        <v>Windlast:</v>
      </c>
      <c r="I47" s="451"/>
      <c r="K47" s="311" t="s">
        <v>475</v>
      </c>
      <c r="L47" s="289">
        <f>IF(AND($I$13=FALSE,$I$14=FALSE),0,1)</f>
        <v>0</v>
      </c>
      <c r="M47" s="488"/>
      <c r="N47" s="193" t="str">
        <f>CONCATENATE("Pos. ",'Pos. 4'!$B$2,".7")</f>
        <v>Pos. 4.7</v>
      </c>
      <c r="O47" s="194" t="b">
        <f>IF(AND('Pos. 4'!AW38&lt;&gt;"",'Pos. 4'!AX38&lt;&gt;""),TRUE,FALSE)</f>
        <v>0</v>
      </c>
      <c r="P47" s="197"/>
      <c r="Q47" s="363">
        <v>6</v>
      </c>
      <c r="U47" s="311" t="b">
        <f t="shared" si="7"/>
        <v>0</v>
      </c>
      <c r="V47" s="491">
        <f t="shared" si="8"/>
        <v>1</v>
      </c>
    </row>
    <row r="48" spans="1:32" x14ac:dyDescent="0.2">
      <c r="A48" s="444" t="b">
        <f>IF(C48=FALSE,TRUE,(IF(AND(C48=TRUE,'Pos. 4'!H96=""),FALSE,TRUE)))</f>
        <v>1</v>
      </c>
      <c r="B48" s="281" t="s">
        <v>419</v>
      </c>
      <c r="C48" s="317" t="b">
        <v>0</v>
      </c>
      <c r="D48" s="281" t="s">
        <v>70</v>
      </c>
      <c r="E48" s="316" t="s">
        <v>71</v>
      </c>
      <c r="F48" s="316" t="s">
        <v>72</v>
      </c>
      <c r="G48" s="317" t="s">
        <v>360</v>
      </c>
      <c r="H48" s="444" t="str">
        <f t="shared" si="1"/>
        <v>Bemerkung:</v>
      </c>
      <c r="I48" s="451"/>
      <c r="K48" s="311" t="s">
        <v>477</v>
      </c>
      <c r="L48" s="492">
        <f>IF(OR(AND($C$37=FALSE,$C$39=FALSE),(AND($C$38=FALSE,$C$40=FALSE))),0,1)</f>
        <v>1</v>
      </c>
      <c r="M48" s="493">
        <f>IF($L$49=0,0,L48)</f>
        <v>0</v>
      </c>
      <c r="N48" s="193" t="str">
        <f>CONCATENATE("Pos. ",'Pos. 4'!$B$2,".8")</f>
        <v>Pos. 4.8</v>
      </c>
      <c r="O48" s="194" t="b">
        <f>IF(AND('Pos. 4'!AW39&lt;&gt;"",'Pos. 4'!AX39&lt;&gt;""),TRUE,FALSE)</f>
        <v>0</v>
      </c>
      <c r="P48" s="197"/>
      <c r="Q48" s="363">
        <v>7</v>
      </c>
      <c r="U48" s="311" t="b">
        <f>IF(M49=0,FALSE,TRUE)</f>
        <v>0</v>
      </c>
      <c r="V48" s="491">
        <f t="shared" si="8"/>
        <v>1</v>
      </c>
    </row>
    <row r="49" spans="1:22" ht="13.5" thickBot="1" x14ac:dyDescent="0.25">
      <c r="A49" s="494" t="b">
        <f>IF(C49=FALSE,TRUE,(IF(AND(C49=TRUE,'Pos. 4'!O96=""),FALSE,TRUE)))</f>
        <v>1</v>
      </c>
      <c r="B49" s="281" t="s">
        <v>420</v>
      </c>
      <c r="C49" s="317" t="b">
        <v>0</v>
      </c>
      <c r="D49" s="281" t="s">
        <v>73</v>
      </c>
      <c r="E49" s="316" t="s">
        <v>74</v>
      </c>
      <c r="F49" s="316" t="s">
        <v>343</v>
      </c>
      <c r="G49" s="317" t="s">
        <v>361</v>
      </c>
      <c r="H49" s="444" t="str">
        <f t="shared" si="1"/>
        <v>Zubehör:</v>
      </c>
      <c r="I49" s="451"/>
      <c r="K49" s="311" t="s">
        <v>476</v>
      </c>
      <c r="L49" s="495">
        <f>IF(L48=0,0,IF('Pos. 4'!$I$49&gt;0,1,0))</f>
        <v>0</v>
      </c>
      <c r="M49" s="293">
        <f>SUM(L49,M48)</f>
        <v>0</v>
      </c>
      <c r="N49" s="193" t="str">
        <f>CONCATENATE("Pos. ",'Pos. 4'!$B$2,".9")</f>
        <v>Pos. 4.9</v>
      </c>
      <c r="O49" s="194" t="b">
        <f>IF(AND('Pos. 4'!AW40&lt;&gt;"",'Pos. 4'!AX40&lt;&gt;""),TRUE,FALSE)</f>
        <v>0</v>
      </c>
      <c r="P49" s="197"/>
      <c r="Q49" s="363">
        <v>8</v>
      </c>
      <c r="T49" s="315" t="s">
        <v>851</v>
      </c>
      <c r="U49" s="311" t="b">
        <f>IF(AND(L44=1,AND('Pos. 4'!E22="",'Pos. 4'!E23="",'Pos. 4'!E24="",'Pos. 4'!E25="",'Pos. 4'!E26="")),FALSE,TRUE)</f>
        <v>1</v>
      </c>
      <c r="V49" s="491">
        <f t="shared" si="8"/>
        <v>0</v>
      </c>
    </row>
    <row r="50" spans="1:22" x14ac:dyDescent="0.2">
      <c r="A50" s="280">
        <f>COUNTIF(A41:A49,FALSE)</f>
        <v>0</v>
      </c>
      <c r="B50" s="281" t="s">
        <v>408</v>
      </c>
      <c r="C50" s="317" t="b">
        <v>0</v>
      </c>
      <c r="D50" s="281" t="s">
        <v>748</v>
      </c>
      <c r="E50" s="316" t="s">
        <v>749</v>
      </c>
      <c r="F50" s="316" t="s">
        <v>751</v>
      </c>
      <c r="G50" s="317" t="s">
        <v>750</v>
      </c>
      <c r="H50" s="444" t="str">
        <f t="shared" si="1"/>
        <v>Rinne (siehe unten)</v>
      </c>
      <c r="I50" s="451" t="b">
        <v>0</v>
      </c>
      <c r="K50" s="311" t="s">
        <v>478</v>
      </c>
      <c r="L50" s="294">
        <f>IF(AND(OR($C$53=TRUE,$C$54=TRUE),'Pos. 4'!$Z$42&lt;&gt;"",'Pos. 4'!$T$45&lt;&gt;""),1,0)</f>
        <v>0</v>
      </c>
      <c r="M50" s="488"/>
      <c r="N50" s="193" t="str">
        <f>CONCATENATE("Pos. ",'Pos. 4'!$B$2,".10")</f>
        <v>Pos. 4.10</v>
      </c>
      <c r="O50" s="194" t="b">
        <f>IF(AND('Pos. 4'!AW41&lt;&gt;"",'Pos. 4'!AX41&lt;&gt;""),TRUE,FALSE)</f>
        <v>0</v>
      </c>
      <c r="P50" s="197"/>
      <c r="Q50" s="363">
        <v>9</v>
      </c>
      <c r="U50" s="311" t="b">
        <f>IF(L50=0,FALSE,TRUE)</f>
        <v>0</v>
      </c>
      <c r="V50" s="491">
        <f t="shared" si="8"/>
        <v>1</v>
      </c>
    </row>
    <row r="51" spans="1:22" ht="13.5" thickBot="1" x14ac:dyDescent="0.25">
      <c r="B51" s="281" t="s">
        <v>429</v>
      </c>
      <c r="C51" s="317" t="b">
        <v>0</v>
      </c>
      <c r="D51" s="281" t="s">
        <v>339</v>
      </c>
      <c r="E51" s="316" t="s">
        <v>340</v>
      </c>
      <c r="F51" s="316" t="s">
        <v>341</v>
      </c>
      <c r="G51" s="317" t="s">
        <v>362</v>
      </c>
      <c r="H51" s="444" t="str">
        <f t="shared" si="1"/>
        <v>Wetterschenkel</v>
      </c>
      <c r="I51" s="451" t="b">
        <v>0</v>
      </c>
      <c r="K51" s="311" t="s">
        <v>479</v>
      </c>
      <c r="L51" s="287">
        <f>IF(OR($I$15=TRUE,$I$16=TRUE,$I$17=TRUE,$I$18=TRUE,$I$19=TRUE,$I$20=TRUE,$I$22=TRUE,$I$25=TRUE,$I$125=TRUE),1,0)</f>
        <v>0</v>
      </c>
      <c r="M51" s="488"/>
      <c r="N51" s="196" t="s">
        <v>622</v>
      </c>
      <c r="O51" s="198">
        <f>IF(P51=O52,1,0)</f>
        <v>0</v>
      </c>
      <c r="P51" s="199" t="str">
        <f>CONCATENATE("(",COUNTBLANK('Pos. 4'!AW32:AW41),")")</f>
        <v>(10)</v>
      </c>
      <c r="Q51" s="471">
        <v>10</v>
      </c>
      <c r="U51" s="311" t="b">
        <f t="shared" ref="U51:U55" si="9">IF(L51=0,FALSE,TRUE)</f>
        <v>0</v>
      </c>
      <c r="V51" s="491">
        <f t="shared" si="8"/>
        <v>1</v>
      </c>
    </row>
    <row r="52" spans="1:22" ht="13.5" thickBot="1" x14ac:dyDescent="0.25">
      <c r="B52" s="281"/>
      <c r="C52" s="317"/>
      <c r="D52" s="281" t="s">
        <v>331</v>
      </c>
      <c r="E52" s="316" t="s">
        <v>332</v>
      </c>
      <c r="F52" s="316" t="s">
        <v>333</v>
      </c>
      <c r="G52" s="317" t="s">
        <v>363</v>
      </c>
      <c r="H52" s="444" t="str">
        <f t="shared" si="1"/>
        <v>Standardgrundplatten:</v>
      </c>
      <c r="I52" s="451" t="b">
        <v>0</v>
      </c>
      <c r="K52" s="311" t="s">
        <v>480</v>
      </c>
      <c r="L52" s="287">
        <f>IF(OR(AND($I$36=TRUE,'Pos. 4'!$AM$43&lt;&gt;0,'Pos. 4'!$AR$43&lt;&gt;0,'Pos. 4'!$AM$49&lt;&gt;""),AND($I$39=TRUE,'Pos. 4'!$AM$45&lt;&gt;"",'Pos. 4'!$AM$49&lt;&gt;"",'Pos. 4'!$AM$46&lt;&gt;"",'Pos. 4'!$AM$47&lt;&gt;"")),1,0)</f>
        <v>0</v>
      </c>
      <c r="M52" s="488"/>
      <c r="N52" s="200"/>
      <c r="O52" s="201" t="str">
        <f>CONCATENATE("(",IF(I19=TRUE,COUNTIF(O41:O50,FALSE),""),")")</f>
        <v>()</v>
      </c>
      <c r="P52" s="202"/>
      <c r="U52" s="311" t="b">
        <f t="shared" si="9"/>
        <v>0</v>
      </c>
      <c r="V52" s="491">
        <f t="shared" si="8"/>
        <v>1</v>
      </c>
    </row>
    <row r="53" spans="1:22" x14ac:dyDescent="0.2">
      <c r="B53" s="281" t="s">
        <v>440</v>
      </c>
      <c r="C53" s="317" t="b">
        <v>1</v>
      </c>
      <c r="D53" s="281" t="s">
        <v>75</v>
      </c>
      <c r="E53" s="316" t="s">
        <v>75</v>
      </c>
      <c r="F53" s="316" t="s">
        <v>75</v>
      </c>
      <c r="G53" s="317" t="s">
        <v>75</v>
      </c>
      <c r="H53" s="444" t="str">
        <f t="shared" si="1"/>
        <v>Sun-Box</v>
      </c>
      <c r="I53" s="451"/>
      <c r="K53" s="311" t="s">
        <v>484</v>
      </c>
      <c r="L53" s="287">
        <f>IF('Pos. 4'!AT52=1,1,IF(AND(OR($I$43=TRUE,$I$44=TRUE),'Pos. 4'!$AE$53&lt;&gt;0,'Pos. 4'!$AO$55&lt;&gt;""),1,0))</f>
        <v>0</v>
      </c>
      <c r="M53" s="488"/>
      <c r="U53" s="311" t="b">
        <f t="shared" si="9"/>
        <v>0</v>
      </c>
      <c r="V53" s="491">
        <f t="shared" si="8"/>
        <v>1</v>
      </c>
    </row>
    <row r="54" spans="1:22" x14ac:dyDescent="0.2">
      <c r="B54" s="281" t="s">
        <v>441</v>
      </c>
      <c r="C54" s="317" t="b">
        <v>0</v>
      </c>
      <c r="D54" s="281" t="s">
        <v>76</v>
      </c>
      <c r="E54" s="316" t="s">
        <v>77</v>
      </c>
      <c r="F54" s="316" t="s">
        <v>78</v>
      </c>
      <c r="G54" s="317" t="s">
        <v>364</v>
      </c>
      <c r="H54" s="444" t="str">
        <f t="shared" si="1"/>
        <v>Glastyp wählen</v>
      </c>
      <c r="I54" s="451"/>
      <c r="K54" s="311" t="s">
        <v>485</v>
      </c>
      <c r="L54" s="287">
        <f>SUM(IF(AND('Pos. 4'!$AE$70&lt;&gt;"",'Pos. 4'!$AN$70&lt;&gt;"",OR($C$60=TRUE,$C$61=TRUE,$C$62=TRUE,$C$63=TRUE)),1,0),M54)</f>
        <v>1</v>
      </c>
      <c r="M54" s="488">
        <f>IF(AND(OR('Pos. 4'!F10="F",'Pos. 4'!F10=""),OR('Pos. 4'!N10="F",'Pos. 4'!N10=""),OR('Pos. 4'!R10="F",'Pos. 4'!R10=""),OR('Pos. 4'!V10="F",'Pos. 4'!V10=""),OR('Pos. 4'!Z10="F",'Pos. 4'!Z10=""),OR('Pos. 4'!AD10="F",'Pos. 4'!AD10=""),OR('Pos. 4'!AH10="F",'Pos. 4'!AH10=""),OR('Pos. 4'!AL10="F",'Pos. 4'!AL10=""),OR('Pos. 4'!AP10="F",'Pos. 4'!AP10="")),1,0)</f>
        <v>1</v>
      </c>
      <c r="U54" s="311" t="b">
        <f t="shared" si="9"/>
        <v>1</v>
      </c>
      <c r="V54" s="491">
        <f t="shared" si="8"/>
        <v>0</v>
      </c>
    </row>
    <row r="55" spans="1:22" x14ac:dyDescent="0.2">
      <c r="B55" s="281" t="s">
        <v>493</v>
      </c>
      <c r="C55" s="317" t="b">
        <v>0</v>
      </c>
      <c r="D55" s="281" t="s">
        <v>79</v>
      </c>
      <c r="E55" s="316" t="s">
        <v>80</v>
      </c>
      <c r="F55" s="316" t="s">
        <v>79</v>
      </c>
      <c r="G55" s="317" t="s">
        <v>79</v>
      </c>
      <c r="H55" s="444" t="str">
        <f t="shared" si="1"/>
        <v>Pos:</v>
      </c>
      <c r="I55" s="451"/>
      <c r="K55" s="311" t="s">
        <v>486</v>
      </c>
      <c r="L55" s="289">
        <f>IF(AND('Pos. 4'!$AM$88&lt;&gt;"",'Pos. 4'!$AE$84&lt;&gt;"",'Pos. 4'!$AM$87&lt;&gt;""),1,0)</f>
        <v>0</v>
      </c>
      <c r="M55" s="488"/>
      <c r="U55" s="311" t="b">
        <f t="shared" si="9"/>
        <v>0</v>
      </c>
      <c r="V55" s="491">
        <f t="shared" si="8"/>
        <v>1</v>
      </c>
    </row>
    <row r="56" spans="1:22" ht="15" customHeight="1" thickBot="1" x14ac:dyDescent="0.25">
      <c r="B56" s="281" t="s">
        <v>494</v>
      </c>
      <c r="C56" s="317" t="b">
        <v>0</v>
      </c>
      <c r="D56" s="281" t="s">
        <v>81</v>
      </c>
      <c r="E56" s="316" t="s">
        <v>82</v>
      </c>
      <c r="F56" s="316" t="s">
        <v>83</v>
      </c>
      <c r="G56" s="317" t="s">
        <v>150</v>
      </c>
      <c r="H56" s="444" t="str">
        <f t="shared" si="1"/>
        <v>Stück:</v>
      </c>
      <c r="I56" s="451"/>
      <c r="K56" s="311" t="s">
        <v>491</v>
      </c>
      <c r="L56" s="492">
        <f>IF(OR($C$41=TRUE,$C$43=TRUE,$C$44=TRUE,AND('Pos. 4'!F10="F",'Pos. 4'!J10="")),1,0)</f>
        <v>0</v>
      </c>
      <c r="M56" s="295">
        <f>SUM(L56:L57)</f>
        <v>0</v>
      </c>
      <c r="U56" s="311" t="b">
        <f>IF(M56=0,FALSE,TRUE)</f>
        <v>0</v>
      </c>
      <c r="V56" s="491">
        <f t="shared" si="8"/>
        <v>1</v>
      </c>
    </row>
    <row r="57" spans="1:22" x14ac:dyDescent="0.2">
      <c r="B57" s="281" t="s">
        <v>495</v>
      </c>
      <c r="C57" s="317" t="b">
        <v>0</v>
      </c>
      <c r="D57" s="281" t="s">
        <v>84</v>
      </c>
      <c r="E57" s="316" t="s">
        <v>85</v>
      </c>
      <c r="F57" s="316" t="s">
        <v>85</v>
      </c>
      <c r="G57" s="317" t="s">
        <v>196</v>
      </c>
      <c r="H57" s="444" t="str">
        <f t="shared" si="1"/>
        <v>Seite:</v>
      </c>
      <c r="I57" s="451"/>
      <c r="K57" s="311" t="s">
        <v>492</v>
      </c>
      <c r="L57" s="495">
        <f>IF(AND($C$42=TRUE,OR($C$55=TRUE,$C$56=TRUE)),1,0)</f>
        <v>0</v>
      </c>
      <c r="M57" s="296"/>
      <c r="O57" s="34" t="s">
        <v>868</v>
      </c>
      <c r="P57" s="365"/>
      <c r="Q57" s="365"/>
      <c r="R57" s="366"/>
      <c r="T57" s="315"/>
      <c r="U57" s="311"/>
      <c r="V57" s="491"/>
    </row>
    <row r="58" spans="1:22" x14ac:dyDescent="0.2">
      <c r="B58" s="281" t="s">
        <v>496</v>
      </c>
      <c r="C58" s="317" t="b">
        <v>0</v>
      </c>
      <c r="D58" s="281" t="s">
        <v>463</v>
      </c>
      <c r="E58" s="316" t="s">
        <v>464</v>
      </c>
      <c r="F58" s="316" t="s">
        <v>465</v>
      </c>
      <c r="G58" s="317" t="s">
        <v>466</v>
      </c>
      <c r="H58" s="444" t="str">
        <f t="shared" si="1"/>
        <v>Achsmass →</v>
      </c>
      <c r="I58" s="451"/>
      <c r="K58" s="311" t="s">
        <v>497</v>
      </c>
      <c r="L58" s="294">
        <f>IF(AND('Pos. 4'!$G$20=0,'Pos. 4'!$K$20=0,'Pos. 4'!$O$20=0,'Pos. 4'!$S$20=0,'Pos. 4'!$W$20=0,'Pos. 4'!$AA$20=0,'Pos. 4'!$AE$20=0,'Pos. 4'!$AI$20=0,'Pos. 4'!$AM$20=0),1,0)</f>
        <v>1</v>
      </c>
      <c r="M58" s="488"/>
      <c r="O58" s="367" t="s">
        <v>869</v>
      </c>
      <c r="P58" s="368" t="s">
        <v>870</v>
      </c>
      <c r="Q58" s="368" t="s">
        <v>871</v>
      </c>
      <c r="R58" s="369" t="s">
        <v>872</v>
      </c>
      <c r="T58" s="315" t="s">
        <v>768</v>
      </c>
      <c r="U58" s="311" t="b">
        <f>IF(AND(L62=1,'Pos. 4'!C11&gt;35),FALSE,TRUE)</f>
        <v>1</v>
      </c>
      <c r="V58" s="491">
        <f t="shared" si="8"/>
        <v>0</v>
      </c>
    </row>
    <row r="59" spans="1:22" x14ac:dyDescent="0.2">
      <c r="B59" s="281"/>
      <c r="C59" s="317"/>
      <c r="D59" s="281" t="s">
        <v>86</v>
      </c>
      <c r="E59" s="316" t="s">
        <v>87</v>
      </c>
      <c r="F59" s="316" t="s">
        <v>88</v>
      </c>
      <c r="G59" s="317" t="s">
        <v>149</v>
      </c>
      <c r="H59" s="444" t="str">
        <f t="shared" si="1"/>
        <v>VSG mit P4A</v>
      </c>
      <c r="I59" s="451"/>
      <c r="K59" s="311" t="s">
        <v>498</v>
      </c>
      <c r="L59" s="496">
        <f>IF(AND($C$49=FALSE,$C$50=FALSE,$C$51=FALSE),0,1)</f>
        <v>0</v>
      </c>
      <c r="M59" s="298">
        <f>SUM(L58:L59)</f>
        <v>1</v>
      </c>
      <c r="O59" s="357" t="s">
        <v>198</v>
      </c>
      <c r="P59" s="370">
        <f>IF(OR('Pos. 4'!$F$10='Sprachen &amp; Rückgabewerte(4)'!$B$10,'Pos. 4'!$F$10='Sprachen &amp; Rückgabewerte(4)'!$B$11),1,0)</f>
        <v>0</v>
      </c>
      <c r="Q59" s="371">
        <f>IF(P59=1,0,1)</f>
        <v>1</v>
      </c>
      <c r="R59" s="372">
        <f>IF(AND(P59=1,'Pos. 4'!$F$16=""),1,0)</f>
        <v>0</v>
      </c>
      <c r="U59" s="311" t="b">
        <f>IF(M59=0,FALSE,TRUE)</f>
        <v>1</v>
      </c>
      <c r="V59" s="491">
        <f t="shared" si="8"/>
        <v>0</v>
      </c>
    </row>
    <row r="60" spans="1:22" ht="15" customHeight="1" x14ac:dyDescent="0.2">
      <c r="B60" s="281" t="s">
        <v>262</v>
      </c>
      <c r="C60" s="317" t="b">
        <v>0</v>
      </c>
      <c r="D60" s="281" t="s">
        <v>89</v>
      </c>
      <c r="E60" s="316" t="s">
        <v>90</v>
      </c>
      <c r="F60" s="316" t="s">
        <v>322</v>
      </c>
      <c r="G60" s="317" t="s">
        <v>365</v>
      </c>
      <c r="H60" s="444" t="str">
        <f t="shared" si="1"/>
        <v>Insektenschutz</v>
      </c>
      <c r="I60" s="451"/>
      <c r="K60" s="311" t="s">
        <v>499</v>
      </c>
      <c r="L60" s="492">
        <f>IF(AND($C$46=TRUE,OR($C$57=TRUE,$C$58=TRUE)),1,0)</f>
        <v>0</v>
      </c>
      <c r="M60" s="540">
        <f>SUM(L60:L61)</f>
        <v>1</v>
      </c>
      <c r="O60" s="281" t="s">
        <v>199</v>
      </c>
      <c r="P60" s="373">
        <f>IF(OR('Pos. 4'!$J$10='Sprachen &amp; Rückgabewerte(4)'!$B$10,'Pos. 4'!$J$10='Sprachen &amp; Rückgabewerte(4)'!$B$11),1,0)</f>
        <v>0</v>
      </c>
      <c r="Q60" s="316">
        <f t="shared" ref="Q60:Q68" si="10">IF(P60=1,0,1)</f>
        <v>1</v>
      </c>
      <c r="R60" s="317">
        <f>IF(AND(P60=1,'Pos. 4'!$J$16=""),1,0)</f>
        <v>0</v>
      </c>
      <c r="U60" s="311" t="b">
        <f>IF(M60=0,FALSE,TRUE)</f>
        <v>1</v>
      </c>
      <c r="V60" s="491">
        <f t="shared" si="8"/>
        <v>0</v>
      </c>
    </row>
    <row r="61" spans="1:22" ht="12.75" customHeight="1" x14ac:dyDescent="0.2">
      <c r="B61" s="281" t="s">
        <v>263</v>
      </c>
      <c r="C61" s="317" t="b">
        <v>0</v>
      </c>
      <c r="D61" s="330" t="s">
        <v>148</v>
      </c>
      <c r="E61" s="424" t="s">
        <v>148</v>
      </c>
      <c r="F61" s="424" t="s">
        <v>148</v>
      </c>
      <c r="G61" s="423" t="s">
        <v>148</v>
      </c>
      <c r="H61" s="444" t="str">
        <f t="shared" si="1"/>
        <v>Standard = 1050mm</v>
      </c>
      <c r="I61" s="451"/>
      <c r="K61" s="311"/>
      <c r="L61" s="495">
        <f>IF(C46=FALSE,1,0)</f>
        <v>1</v>
      </c>
      <c r="M61" s="541"/>
      <c r="O61" s="281" t="s">
        <v>200</v>
      </c>
      <c r="P61" s="373">
        <f>IF(OR('Pos. 4'!$N$10='Sprachen &amp; Rückgabewerte(4)'!$B$10,'Pos. 4'!$N$10='Sprachen &amp; Rückgabewerte(4)'!$B$11),1,0)</f>
        <v>0</v>
      </c>
      <c r="Q61" s="316">
        <f t="shared" si="10"/>
        <v>1</v>
      </c>
      <c r="R61" s="317">
        <f>IF(AND(P61=1,'Pos. 4'!$N$16=""),1,0)</f>
        <v>0</v>
      </c>
      <c r="U61" s="311"/>
      <c r="V61" s="491"/>
    </row>
    <row r="62" spans="1:22" x14ac:dyDescent="0.2">
      <c r="B62" s="281" t="s">
        <v>264</v>
      </c>
      <c r="C62" s="317" t="b">
        <v>0</v>
      </c>
      <c r="D62" s="281" t="s">
        <v>143</v>
      </c>
      <c r="E62" s="316" t="s">
        <v>144</v>
      </c>
      <c r="F62" s="316" t="s">
        <v>145</v>
      </c>
      <c r="G62" s="317" t="s">
        <v>146</v>
      </c>
      <c r="H62" s="444" t="str">
        <f t="shared" si="1"/>
        <v>RC2: zwingend 1050mm</v>
      </c>
      <c r="I62" s="451"/>
      <c r="K62" s="311" t="s">
        <v>524</v>
      </c>
      <c r="L62" s="492">
        <f>IF(OR(AND('Pos. 4'!$F$10="L",'Pos. 4'!$J$10="R"),AND('Pos. 4'!$J$10="L",'Pos. 4'!$N$10="R"),AND('Pos. 4'!$N$10="L",'Pos. 4'!$R$10="R"),AND('Pos. 4'!$R$10="L",'Pos. 4'!$V$10="R"),AND('Pos. 4'!$V$10="L",'Pos. 4'!$Z$10="R"),AND('Pos. 4'!$Z$10="L",'Pos. 4'!$AD$10="R"),AND('Pos. 4'!$AD$10="L",'Pos. 4'!$AH$10="R"),AND('Pos. 4'!$AH$10="L",'Pos. 4'!$AL$10="R"),AND('Pos. 4'!$AL$10="L",'Pos. 4'!$AP$10="R"),AND('Pos. 4'!F10="F",'Pos. 4'!J10="R"),AND('Pos. 4'!J10="F",'Pos. 4'!N10="R"),AND('Pos. 4'!N10="F",'Pos. 4'!R10="R"),AND('Pos. 4'!R10="F",'Pos. 4'!V10="R"),AND('Pos. 4'!V10="F",'Pos. 4'!Z10="R"),AND('Pos. 4'!Z10="F",'Pos. 4'!AD10="R"),AND('Pos. 4'!AD10="F",'Pos. 4'!AH10="R"),AND('Pos. 4'!AH10="F",'Pos. 4'!AL10="R"),AND('Pos. 4'!AL10="F",'Pos. 4'!AP10="R"),AND('Pos. 4'!F10="L",'Pos. 4'!J10="F"),AND('Pos. 4'!J10="L",'Pos. 4'!N10="F"),AND('Pos. 4'!N10="L",'Pos. 4'!R10="F"),AND('Pos. 4'!R10="L",'Pos. 4'!V10="F"),AND('Pos. 4'!V10="L",'Pos. 4'!Z10="F"),AND('Pos. 4'!Z10="L",'Pos. 4'!AD10="F"),AND('Pos. 4'!AD10="L",'Pos. 4'!AH10="F"),AND('Pos. 4'!AH10="L",'Pos. 4'!AL10="F"),AND('Pos. 4'!AL10="L",'Pos. 4'!AP10="F")),1,0)</f>
        <v>0</v>
      </c>
      <c r="M62" s="295">
        <f>IF(AND(L58=0,SUM(L62:L65)=2),0,SUM(L62:L65))</f>
        <v>1</v>
      </c>
      <c r="O62" s="281" t="s">
        <v>201</v>
      </c>
      <c r="P62" s="373">
        <f>IF(OR('Pos. 4'!$R$10='Sprachen &amp; Rückgabewerte(4)'!$B$10,'Pos. 4'!$R$10='Sprachen &amp; Rückgabewerte(4)'!$B$11),1,0)</f>
        <v>0</v>
      </c>
      <c r="Q62" s="316">
        <f t="shared" si="10"/>
        <v>1</v>
      </c>
      <c r="R62" s="317">
        <f>IF(AND(P62=1,'Pos. 4'!$R$16=""),1,0)</f>
        <v>0</v>
      </c>
      <c r="U62" s="311" t="b">
        <f>IF(OR(M62=2,M62=3),FALSE,TRUE)</f>
        <v>1</v>
      </c>
      <c r="V62" s="491">
        <f t="shared" si="8"/>
        <v>0</v>
      </c>
    </row>
    <row r="63" spans="1:22" ht="15.75" customHeight="1" thickBot="1" x14ac:dyDescent="0.25">
      <c r="B63" s="472" t="s">
        <v>265</v>
      </c>
      <c r="C63" s="377" t="b">
        <v>0</v>
      </c>
      <c r="D63" s="281" t="s">
        <v>147</v>
      </c>
      <c r="E63" s="316" t="s">
        <v>147</v>
      </c>
      <c r="F63" s="316" t="s">
        <v>147</v>
      </c>
      <c r="G63" s="317" t="s">
        <v>147</v>
      </c>
      <c r="H63" s="444" t="str">
        <f t="shared" si="1"/>
        <v>min: RV=200 MVv=750</v>
      </c>
      <c r="I63" s="451"/>
      <c r="K63" s="311"/>
      <c r="L63" s="497">
        <f>IF(AND('Pos. 4'!G20="",'Pos. 4'!K20="",'Pos. 4'!O20="",'Pos. 4'!S20="",'Pos. 4'!W20="",'Pos. 4'!AA20="",'Pos. 4'!AE20="",'Pos. 4'!AI20="",'Pos. 4'!AM20=""),1,2)</f>
        <v>1</v>
      </c>
      <c r="M63" s="300"/>
      <c r="O63" s="281" t="s">
        <v>202</v>
      </c>
      <c r="P63" s="373">
        <f>IF(OR('Pos. 4'!$V$10='Sprachen &amp; Rückgabewerte(4)'!$B$10,'Pos. 4'!$V$10='Sprachen &amp; Rückgabewerte(4)'!$B$11),1,0)</f>
        <v>0</v>
      </c>
      <c r="Q63" s="316">
        <f t="shared" si="10"/>
        <v>1</v>
      </c>
      <c r="R63" s="317">
        <f>IF(AND(P63=1,'Pos. 4'!$V$16=""),1,0)</f>
        <v>0</v>
      </c>
      <c r="T63" s="315" t="s">
        <v>776</v>
      </c>
      <c r="U63" s="311" t="b">
        <f>IF('Pos. 4'!AX25="",FALSE,TRUE)</f>
        <v>0</v>
      </c>
      <c r="V63" s="491">
        <f>IF(U63=FALSE,1,0)</f>
        <v>1</v>
      </c>
    </row>
    <row r="64" spans="1:22" ht="15" customHeight="1" x14ac:dyDescent="0.2">
      <c r="B64" s="498" t="s">
        <v>589</v>
      </c>
      <c r="C64" s="499">
        <f>IF(OR($C$60=TRUE,$C$61=TRUE,$C$62=TRUE,$C$63=TRUE),1,0)</f>
        <v>0</v>
      </c>
      <c r="D64" s="281" t="s">
        <v>151</v>
      </c>
      <c r="E64" s="316" t="s">
        <v>267</v>
      </c>
      <c r="F64" s="316" t="s">
        <v>291</v>
      </c>
      <c r="G64" s="317" t="s">
        <v>305</v>
      </c>
      <c r="H64" s="444" t="str">
        <f t="shared" si="1"/>
        <v>Verschlussgriffe:</v>
      </c>
      <c r="I64" s="451"/>
      <c r="K64" s="311"/>
      <c r="L64" s="497">
        <f>IF(AND($C$45=FALSE,$C$46=FALSE,$C$47=FALSE,$C$48=FALSE),0,1)</f>
        <v>0</v>
      </c>
      <c r="M64" s="300"/>
      <c r="O64" s="281" t="s">
        <v>203</v>
      </c>
      <c r="P64" s="373">
        <f>IF(OR('Pos. 4'!$Z$10='Sprachen &amp; Rückgabewerte(4)'!$B$10,'Pos. 4'!$Z$10='Sprachen &amp; Rückgabewerte(4)'!$B$11),1,0)</f>
        <v>0</v>
      </c>
      <c r="Q64" s="316">
        <f t="shared" si="10"/>
        <v>1</v>
      </c>
      <c r="R64" s="317">
        <f>IF(AND(P64=1,'Pos. 4'!$Z$16=""),1,0)</f>
        <v>0</v>
      </c>
      <c r="T64" s="315" t="s">
        <v>783</v>
      </c>
      <c r="U64" s="311" t="b">
        <f>IF('Pos. 4'!AM87="",FALSE,TRUE)</f>
        <v>0</v>
      </c>
      <c r="V64" s="491">
        <f>IF(U64=FALSE,1,0)</f>
        <v>1</v>
      </c>
    </row>
    <row r="65" spans="2:23" ht="15.75" customHeight="1" thickBot="1" x14ac:dyDescent="0.25">
      <c r="B65" s="90"/>
      <c r="C65" s="500"/>
      <c r="D65" s="281" t="s">
        <v>155</v>
      </c>
      <c r="E65" s="316" t="s">
        <v>268</v>
      </c>
      <c r="F65" s="316" t="s">
        <v>323</v>
      </c>
      <c r="G65" s="317" t="s">
        <v>794</v>
      </c>
      <c r="H65" s="444" t="str">
        <f t="shared" si="1"/>
        <v>mit Verschlussraster (Druckknopf)</v>
      </c>
      <c r="I65" s="451"/>
      <c r="K65" s="311"/>
      <c r="L65" s="495">
        <f>IF(AND('Pos. 4'!H11="",'Pos. 4'!I11="",'Pos. 4'!L11="",'Pos. 4'!M11="",'Pos. 4'!P11="",'Pos. 4'!Q11="",'Pos. 4'!T11="",'Pos. 4'!U11="",'Pos. 4'!X11="",'Pos. 4'!Y11="",'Pos. 4'!AB11="",'Pos. 4'!AC11="",'Pos. 4'!AF11="",'Pos. 4'!AG11="",'Pos. 4'!AJ11="",'Pos. 4'!AK11="",'Pos. 4'!AN11="",'Pos. 4'!AO11=""),0,1)</f>
        <v>0</v>
      </c>
      <c r="M65" s="296"/>
      <c r="O65" s="281" t="s">
        <v>204</v>
      </c>
      <c r="P65" s="373">
        <f>IF(OR('Pos. 4'!$AD$10='Sprachen &amp; Rückgabewerte(4)'!$B$10,'Pos. 4'!$AD$10='Sprachen &amp; Rückgabewerte(4)'!$B$11),1,0)</f>
        <v>0</v>
      </c>
      <c r="Q65" s="316">
        <f t="shared" si="10"/>
        <v>1</v>
      </c>
      <c r="R65" s="317">
        <f>IF(AND(P65=1,'Pos. 4'!$AD$16=""),1,0)</f>
        <v>0</v>
      </c>
      <c r="T65" s="280" t="s">
        <v>912</v>
      </c>
      <c r="U65" s="311" t="b">
        <f>IF(AND(C51=TRUE,'Pos. 4'!V96=""),FALSE,TRUE)</f>
        <v>1</v>
      </c>
      <c r="V65" s="491">
        <f>IF(U65=FALSE,1,0)</f>
        <v>0</v>
      </c>
    </row>
    <row r="66" spans="2:23" ht="25.5" x14ac:dyDescent="0.2">
      <c r="B66" s="187" t="s">
        <v>590</v>
      </c>
      <c r="C66" s="500"/>
      <c r="D66" s="281" t="s">
        <v>443</v>
      </c>
      <c r="E66" s="316" t="s">
        <v>444</v>
      </c>
      <c r="F66" s="316" t="s">
        <v>446</v>
      </c>
      <c r="G66" s="317" t="s">
        <v>445</v>
      </c>
      <c r="H66" s="444" t="str">
        <f t="shared" si="1"/>
        <v>mit Verschlussraster (Zylinder)</v>
      </c>
      <c r="I66" s="451"/>
      <c r="K66" s="305" t="s">
        <v>593</v>
      </c>
      <c r="L66" s="492" t="b">
        <f>IF(AND($I$71=TRUE,'Pos. 4'!$AP$74="",'Pos. 4'!$AP$75="",'Pos. 4'!$AP$76=""),FALSE,TRUE)</f>
        <v>1</v>
      </c>
      <c r="M66" s="295" t="b">
        <f>IF(OR($L$66=FALSE,$L$67=FALSE,$L$68=FALSE,L69=FALSE),FALSE,TRUE)</f>
        <v>0</v>
      </c>
      <c r="O66" s="281" t="s">
        <v>205</v>
      </c>
      <c r="P66" s="373">
        <f>IF(OR('Pos. 4'!$AH$10='Sprachen &amp; Rückgabewerte(4)'!$B$10,'Pos. 4'!$AH$10='Sprachen &amp; Rückgabewerte(4)'!$B$11),1,0)</f>
        <v>0</v>
      </c>
      <c r="Q66" s="316">
        <f t="shared" si="10"/>
        <v>1</v>
      </c>
      <c r="R66" s="317">
        <f>IF(AND(P66=1,'Pos. 4'!$AH$16=""),1,0)</f>
        <v>0</v>
      </c>
      <c r="U66" s="311" t="b">
        <f>M66</f>
        <v>0</v>
      </c>
      <c r="V66" s="491">
        <f t="shared" si="8"/>
        <v>1</v>
      </c>
    </row>
    <row r="67" spans="2:23" ht="15" customHeight="1" x14ac:dyDescent="0.2">
      <c r="B67" s="501"/>
      <c r="C67" s="500"/>
      <c r="D67" s="281" t="s">
        <v>152</v>
      </c>
      <c r="E67" s="316" t="s">
        <v>269</v>
      </c>
      <c r="F67" s="316" t="s">
        <v>324</v>
      </c>
      <c r="G67" s="317" t="s">
        <v>366</v>
      </c>
      <c r="H67" s="444" t="str">
        <f t="shared" si="1"/>
        <v>ohne Verschlussraster</v>
      </c>
      <c r="I67" s="451"/>
      <c r="K67" s="305" t="s">
        <v>594</v>
      </c>
      <c r="L67" s="502" t="b">
        <f>IF('Pos. 4'!AN78="",FALSE,TRUE)</f>
        <v>0</v>
      </c>
      <c r="M67" s="300"/>
      <c r="O67" s="281" t="s">
        <v>206</v>
      </c>
      <c r="P67" s="373">
        <f>IF(OR('Pos. 4'!$AL$10='Sprachen &amp; Rückgabewerte(4)'!$B$10,'Pos. 4'!$AL$10='Sprachen &amp; Rückgabewerte(4)'!$B$11),1,0)</f>
        <v>0</v>
      </c>
      <c r="Q67" s="316">
        <f t="shared" si="10"/>
        <v>1</v>
      </c>
      <c r="R67" s="317">
        <f>IF(AND(P67=1,'Pos. 4'!$AL$16=""),1,0)</f>
        <v>0</v>
      </c>
      <c r="T67" s="315" t="s">
        <v>874</v>
      </c>
      <c r="U67" s="311" t="b">
        <f>IF(R69&gt;0,FALSE,TRUE)</f>
        <v>1</v>
      </c>
      <c r="V67" s="491">
        <f>IF(U67=FALSE,1,0)</f>
        <v>0</v>
      </c>
    </row>
    <row r="68" spans="2:23" ht="15" customHeight="1" x14ac:dyDescent="0.2">
      <c r="B68" s="444" t="str">
        <f>$H$112</f>
        <v>mit CFK</v>
      </c>
      <c r="C68" s="500"/>
      <c r="D68" s="281" t="s">
        <v>153</v>
      </c>
      <c r="E68" s="316" t="s">
        <v>270</v>
      </c>
      <c r="F68" s="316" t="s">
        <v>293</v>
      </c>
      <c r="G68" s="317" t="s">
        <v>367</v>
      </c>
      <c r="H68" s="444" t="str">
        <f t="shared" si="1"/>
        <v>2-Punkt Verriegelung</v>
      </c>
      <c r="I68" s="451"/>
      <c r="J68" s="280" t="str">
        <f>H68</f>
        <v>2-Punkt Verriegelung</v>
      </c>
      <c r="K68" s="305" t="s">
        <v>595</v>
      </c>
      <c r="L68" s="502" t="b">
        <f>IF('Pos. 4'!AN79="",FALSE,TRUE)</f>
        <v>0</v>
      </c>
      <c r="M68" s="300"/>
      <c r="O68" s="281" t="s">
        <v>207</v>
      </c>
      <c r="P68" s="373">
        <f>IF(OR('Pos. 4'!$AP$10='Sprachen &amp; Rückgabewerte(4)'!$B$10,'Pos. 4'!$AP$10='Sprachen &amp; Rückgabewerte(4)'!$B$11),1,0)</f>
        <v>0</v>
      </c>
      <c r="Q68" s="316">
        <f t="shared" si="10"/>
        <v>1</v>
      </c>
      <c r="R68" s="317">
        <f>IF(AND(P68=1,'Pos. 4'!$AP$16=""),1,0)</f>
        <v>0</v>
      </c>
      <c r="T68" s="315" t="s">
        <v>892</v>
      </c>
      <c r="U68" s="311" t="b">
        <f>IF('Pos. 4'!AQ96="",FALSE,TRUE)</f>
        <v>0</v>
      </c>
      <c r="V68" s="491">
        <f>IF(U68=FALSE,1,0)</f>
        <v>1</v>
      </c>
      <c r="W68" s="503">
        <f>SUM(V68:V69)</f>
        <v>1</v>
      </c>
    </row>
    <row r="69" spans="2:23" ht="15" customHeight="1" thickBot="1" x14ac:dyDescent="0.25">
      <c r="B69" s="444" t="str">
        <f>$H$113</f>
        <v>ohne CFK</v>
      </c>
      <c r="C69" s="500"/>
      <c r="D69" s="281" t="s">
        <v>154</v>
      </c>
      <c r="E69" s="316" t="s">
        <v>271</v>
      </c>
      <c r="F69" s="316" t="s">
        <v>292</v>
      </c>
      <c r="G69" s="317" t="s">
        <v>368</v>
      </c>
      <c r="H69" s="444" t="str">
        <f t="shared" si="1"/>
        <v>3-Punkt Verriegelung</v>
      </c>
      <c r="I69" s="451"/>
      <c r="J69" s="280" t="str">
        <f>H69</f>
        <v>3-Punkt Verriegelung</v>
      </c>
      <c r="K69" s="305" t="s">
        <v>596</v>
      </c>
      <c r="L69" s="504" t="b">
        <f>IF('Pos. 4'!$AN$80&lt;&gt;"",TRUE,FALSE)</f>
        <v>0</v>
      </c>
      <c r="M69" s="296"/>
      <c r="O69" s="374"/>
      <c r="P69" s="375"/>
      <c r="Q69" s="376" t="s">
        <v>873</v>
      </c>
      <c r="R69" s="377">
        <f>IF(I20=TRUE,SUM(R59:R68),0)</f>
        <v>0</v>
      </c>
      <c r="T69" s="315" t="s">
        <v>894</v>
      </c>
      <c r="U69" s="311" t="b">
        <f>IF(AND('Pos. 4'!AQ96='Sprachen &amp; Rückgabewerte(4)'!H95,'Pos. 4'!AW96=""),FALSE,TRUE)</f>
        <v>1</v>
      </c>
      <c r="V69" s="491">
        <f>IF(U69=FALSE,1,0)</f>
        <v>0</v>
      </c>
    </row>
    <row r="70" spans="2:23" x14ac:dyDescent="0.2">
      <c r="B70" s="444"/>
      <c r="C70" s="500"/>
      <c r="D70" s="281" t="s">
        <v>266</v>
      </c>
      <c r="E70" s="316" t="s">
        <v>272</v>
      </c>
      <c r="F70" s="316" t="s">
        <v>294</v>
      </c>
      <c r="G70" s="317" t="s">
        <v>306</v>
      </c>
      <c r="H70" s="444" t="str">
        <f t="shared" si="1"/>
        <v>Befestigung:</v>
      </c>
      <c r="I70" s="451"/>
      <c r="K70" s="311" t="s">
        <v>620</v>
      </c>
      <c r="L70" s="505">
        <f>IF(AND(I19=TRUE,O51=1),1,0)</f>
        <v>0</v>
      </c>
      <c r="M70" s="298"/>
      <c r="U70" s="311" t="b">
        <f>IF(AND(I19=TRUE,O51&lt;&gt;1),FALSE,TRUE)</f>
        <v>1</v>
      </c>
      <c r="V70" s="491">
        <f t="shared" si="8"/>
        <v>0</v>
      </c>
    </row>
    <row r="71" spans="2:23" x14ac:dyDescent="0.2">
      <c r="B71" s="444" t="str">
        <f>$H$114</f>
        <v>mit Stahl</v>
      </c>
      <c r="C71" s="500"/>
      <c r="D71" s="281" t="s">
        <v>318</v>
      </c>
      <c r="E71" s="316" t="s">
        <v>319</v>
      </c>
      <c r="F71" s="316" t="s">
        <v>320</v>
      </c>
      <c r="G71" s="317" t="s">
        <v>307</v>
      </c>
      <c r="H71" s="444" t="str">
        <f t="shared" si="1"/>
        <v>Universalschrauben (A2):</v>
      </c>
      <c r="I71" s="451" t="b">
        <v>0</v>
      </c>
      <c r="K71" s="311" t="s">
        <v>698</v>
      </c>
      <c r="L71" s="505">
        <f>IF(OR('Pos. 4'!$F$10='Sprachen &amp; Rückgabewerte(4)'!$B$14,'Pos. 4'!$J$10='Sprachen &amp; Rückgabewerte(4)'!$B$14,'Pos. 4'!$N$10='Sprachen &amp; Rückgabewerte(4)'!B14,'Pos. 4'!$R$10='Sprachen &amp; Rückgabewerte(4)'!$B$14,'Pos. 4'!$V$10='Sprachen &amp; Rückgabewerte(4)'!$B$14,'Pos. 4'!$Z$10='Sprachen &amp; Rückgabewerte(4)'!$B$14,'Pos. 4'!$AD$10='Sprachen &amp; Rückgabewerte(4)'!$B$14,'Pos. 4'!$AH$10='Sprachen &amp; Rückgabewerte(4)'!$B$14,'Pos. 4'!$AL$10='Sprachen &amp; Rückgabewerte(4)'!$B$14,'Pos. 4'!$AP$10='Sprachen &amp; Rückgabewerte(4)'!$B$14),0,1)</f>
        <v>1</v>
      </c>
      <c r="M71" s="298">
        <f>IF(AND(L71=0,'Pos. 4'!AW48=""),0,1)</f>
        <v>1</v>
      </c>
      <c r="U71" s="311" t="b">
        <f>IF(M71=1,TRUE,FALSE)</f>
        <v>1</v>
      </c>
      <c r="V71" s="491">
        <f t="shared" si="8"/>
        <v>0</v>
      </c>
    </row>
    <row r="72" spans="2:23" x14ac:dyDescent="0.2">
      <c r="B72" s="444" t="str">
        <f>$H$115</f>
        <v>ohne Stahl</v>
      </c>
      <c r="C72" s="500"/>
      <c r="D72" s="281" t="s">
        <v>156</v>
      </c>
      <c r="E72" s="316" t="s">
        <v>156</v>
      </c>
      <c r="F72" s="316" t="s">
        <v>156</v>
      </c>
      <c r="G72" s="316" t="s">
        <v>156</v>
      </c>
      <c r="H72" s="444" t="str">
        <f t="shared" ref="H72:H88" si="11">IF($B$3=$A$3,D72,IF($B$3=$A$4,E72,IF($B$3=$A$5,F72,IF($B$3=$A$6,G72,""))))</f>
        <v>L=52mm</v>
      </c>
      <c r="I72" s="451"/>
      <c r="J72" s="280" t="str">
        <f>H72</f>
        <v>L=52mm</v>
      </c>
      <c r="K72" s="305" t="s">
        <v>761</v>
      </c>
      <c r="L72" s="306">
        <f>C95</f>
        <v>6</v>
      </c>
      <c r="M72" s="491"/>
      <c r="U72" s="311" t="b">
        <f>IF(AND(L72&gt;0,I50=TRUE),FALSE,TRUE)</f>
        <v>1</v>
      </c>
      <c r="V72" s="491">
        <f t="shared" si="8"/>
        <v>0</v>
      </c>
    </row>
    <row r="73" spans="2:23" x14ac:dyDescent="0.2">
      <c r="B73" s="444"/>
      <c r="C73" s="500"/>
      <c r="D73" s="281" t="s">
        <v>157</v>
      </c>
      <c r="E73" s="316" t="s">
        <v>157</v>
      </c>
      <c r="F73" s="316" t="s">
        <v>157</v>
      </c>
      <c r="G73" s="316" t="s">
        <v>157</v>
      </c>
      <c r="H73" s="444" t="str">
        <f t="shared" si="11"/>
        <v>L=82mm</v>
      </c>
      <c r="I73" s="451"/>
      <c r="J73" s="280" t="str">
        <f>H73</f>
        <v>L=82mm</v>
      </c>
      <c r="K73" s="305" t="s">
        <v>763</v>
      </c>
      <c r="L73" s="306">
        <f>A50</f>
        <v>0</v>
      </c>
      <c r="M73" s="491"/>
      <c r="U73" s="311" t="b">
        <f>IF(L73=0,TRUE,FALSE)</f>
        <v>1</v>
      </c>
      <c r="V73" s="491">
        <f t="shared" si="8"/>
        <v>0</v>
      </c>
    </row>
    <row r="74" spans="2:23" x14ac:dyDescent="0.2">
      <c r="B74" s="444" t="str">
        <f>$H$120</f>
        <v>mit AL.</v>
      </c>
      <c r="C74" s="500"/>
      <c r="D74" s="281" t="s">
        <v>158</v>
      </c>
      <c r="E74" s="316" t="s">
        <v>158</v>
      </c>
      <c r="F74" s="316" t="s">
        <v>158</v>
      </c>
      <c r="G74" s="316" t="s">
        <v>158</v>
      </c>
      <c r="H74" s="444" t="str">
        <f t="shared" si="11"/>
        <v>L=112mm</v>
      </c>
      <c r="I74" s="451"/>
      <c r="J74" s="280" t="str">
        <f>H74</f>
        <v>L=112mm</v>
      </c>
      <c r="K74" s="305" t="s">
        <v>339</v>
      </c>
      <c r="L74" s="306" t="b">
        <f>IF(AND(I51=TRUE,'Pos. 4'!AP86=""),FALSE,TRUE)</f>
        <v>1</v>
      </c>
      <c r="M74" s="491"/>
      <c r="U74" s="311" t="b">
        <f>L74</f>
        <v>1</v>
      </c>
      <c r="V74" s="491">
        <f t="shared" si="8"/>
        <v>0</v>
      </c>
    </row>
    <row r="75" spans="2:23" x14ac:dyDescent="0.2">
      <c r="B75" s="444" t="str">
        <f>$H$121</f>
        <v>ohne AL.</v>
      </c>
      <c r="C75" s="500"/>
      <c r="D75" s="281" t="s">
        <v>879</v>
      </c>
      <c r="E75" s="316" t="s">
        <v>880</v>
      </c>
      <c r="F75" s="316" t="s">
        <v>881</v>
      </c>
      <c r="G75" s="317" t="s">
        <v>882</v>
      </c>
      <c r="H75" s="444" t="str">
        <f t="shared" si="11"/>
        <v>(VE à 100 Stk.)</v>
      </c>
      <c r="I75" s="451"/>
      <c r="K75" s="305" t="s">
        <v>764</v>
      </c>
      <c r="L75" s="306" t="b">
        <f>IF(AND(I22=TRUE,'Pos. 4'!AL39=""),FALSE,TRUE)</f>
        <v>1</v>
      </c>
      <c r="M75" s="491"/>
      <c r="U75" s="311" t="b">
        <f>L75</f>
        <v>1</v>
      </c>
      <c r="V75" s="491">
        <f t="shared" si="8"/>
        <v>0</v>
      </c>
    </row>
    <row r="76" spans="2:23" x14ac:dyDescent="0.2">
      <c r="B76" s="444"/>
      <c r="D76" s="281" t="s">
        <v>159</v>
      </c>
      <c r="E76" s="316" t="s">
        <v>273</v>
      </c>
      <c r="F76" s="316" t="s">
        <v>295</v>
      </c>
      <c r="G76" s="317" t="s">
        <v>308</v>
      </c>
      <c r="H76" s="444" t="str">
        <f t="shared" si="11"/>
        <v>Sockelbefestigung:</v>
      </c>
      <c r="I76" s="451"/>
      <c r="K76" s="305" t="s">
        <v>765</v>
      </c>
      <c r="L76" s="306" t="b">
        <f>IF(AND(I45=TRUE,'Pos. 4'!AI57=""),FALSE,TRUE)</f>
        <v>1</v>
      </c>
      <c r="M76" s="491"/>
      <c r="U76" s="311" t="b">
        <f t="shared" ref="U76:U77" si="12">L76</f>
        <v>1</v>
      </c>
      <c r="V76" s="491">
        <f t="shared" si="8"/>
        <v>0</v>
      </c>
    </row>
    <row r="77" spans="2:23" ht="13.5" thickBot="1" x14ac:dyDescent="0.25">
      <c r="B77" s="444" t="str">
        <f>$H$122</f>
        <v>mit Stahl (&gt;2.5m)</v>
      </c>
      <c r="D77" s="281" t="s">
        <v>160</v>
      </c>
      <c r="E77" s="316" t="s">
        <v>274</v>
      </c>
      <c r="F77" s="316" t="s">
        <v>296</v>
      </c>
      <c r="G77" s="317" t="s">
        <v>309</v>
      </c>
      <c r="H77" s="444" t="str">
        <f t="shared" si="11"/>
        <v>Verstellschrauben M10 x</v>
      </c>
      <c r="I77" s="451"/>
      <c r="J77" s="280" t="str">
        <f>H80</f>
        <v>ohne</v>
      </c>
      <c r="K77" s="308" t="s">
        <v>766</v>
      </c>
      <c r="L77" s="309" t="b">
        <f>IF(OR('Pos. 4'!AE84='Sprachen &amp; Rückgabewerte(4)'!H88,AND('Pos. 4'!AE84='Sprachen &amp; Rückgabewerte(4)'!H89,'Pos. 4'!AE85&lt;&gt;"")),TRUE,FALSE)</f>
        <v>0</v>
      </c>
      <c r="M77" s="506"/>
      <c r="U77" s="311" t="b">
        <f t="shared" si="12"/>
        <v>0</v>
      </c>
      <c r="V77" s="491">
        <f t="shared" si="8"/>
        <v>1</v>
      </c>
    </row>
    <row r="78" spans="2:23" ht="13.5" thickBot="1" x14ac:dyDescent="0.25">
      <c r="B78" s="494" t="str">
        <f>$H$123</f>
        <v>ohne Stahl (&lt;2.5m)</v>
      </c>
      <c r="D78" s="281" t="s">
        <v>161</v>
      </c>
      <c r="E78" s="316" t="s">
        <v>161</v>
      </c>
      <c r="F78" s="316" t="s">
        <v>161</v>
      </c>
      <c r="G78" s="316" t="s">
        <v>161</v>
      </c>
      <c r="H78" s="444" t="str">
        <f t="shared" si="11"/>
        <v>L=70mm</v>
      </c>
      <c r="I78" s="451"/>
      <c r="J78" s="280" t="str">
        <f>H78</f>
        <v>L=70mm</v>
      </c>
      <c r="K78" s="34" t="s">
        <v>442</v>
      </c>
      <c r="L78" s="365"/>
      <c r="M78" s="365"/>
      <c r="N78" s="365"/>
      <c r="O78" s="366"/>
      <c r="T78" s="315" t="s">
        <v>943</v>
      </c>
      <c r="U78" s="311" t="b">
        <f>IF('Pos. 4'!AZ9="",FALSE,TRUE)</f>
        <v>0</v>
      </c>
      <c r="V78" s="491">
        <f t="shared" si="8"/>
        <v>1</v>
      </c>
      <c r="W78" s="280">
        <f>SUM(V78:V79)</f>
        <v>2</v>
      </c>
    </row>
    <row r="79" spans="2:23" ht="13.5" thickBot="1" x14ac:dyDescent="0.25">
      <c r="D79" s="281" t="s">
        <v>162</v>
      </c>
      <c r="E79" s="316" t="s">
        <v>162</v>
      </c>
      <c r="F79" s="316" t="s">
        <v>162</v>
      </c>
      <c r="G79" s="316" t="s">
        <v>162</v>
      </c>
      <c r="H79" s="444" t="str">
        <f t="shared" si="11"/>
        <v>L=100mm</v>
      </c>
      <c r="I79" s="451"/>
      <c r="J79" s="280" t="str">
        <f>H79</f>
        <v>L=100mm</v>
      </c>
      <c r="K79" s="507" t="str">
        <f>H65</f>
        <v>mit Verschlussraster (Druckknopf)</v>
      </c>
      <c r="L79" s="508"/>
      <c r="M79" s="509"/>
      <c r="N79" s="510" t="str">
        <f>IF(OR(C62=TRUE,C63=TRUE),K81,K79)</f>
        <v>mit Verschlussraster (Druckknopf)</v>
      </c>
      <c r="O79" s="511"/>
      <c r="T79" s="315" t="s">
        <v>944</v>
      </c>
      <c r="U79" s="311" t="b">
        <f>IF('Pos. 4'!AZ10="",FALSE,TRUE)</f>
        <v>0</v>
      </c>
      <c r="V79" s="491">
        <f t="shared" si="8"/>
        <v>1</v>
      </c>
    </row>
    <row r="80" spans="2:23" ht="13.5" thickBot="1" x14ac:dyDescent="0.25">
      <c r="B80" s="57" t="s">
        <v>619</v>
      </c>
      <c r="D80" s="281" t="s">
        <v>163</v>
      </c>
      <c r="E80" s="316" t="s">
        <v>275</v>
      </c>
      <c r="F80" s="316" t="s">
        <v>297</v>
      </c>
      <c r="G80" s="317" t="s">
        <v>310</v>
      </c>
      <c r="H80" s="444" t="str">
        <f t="shared" si="11"/>
        <v>ohne</v>
      </c>
      <c r="I80" s="451"/>
      <c r="J80" s="280" t="str">
        <f>H80</f>
        <v>ohne</v>
      </c>
      <c r="K80" s="512" t="str">
        <f>H67</f>
        <v>ohne Verschlussraster</v>
      </c>
      <c r="L80" s="513"/>
      <c r="M80" s="465"/>
      <c r="N80" s="514" t="str">
        <f>IF(OR(C62=TRUE,C63=TRUE),K82,K80)</f>
        <v>ohne Verschlussraster</v>
      </c>
      <c r="O80" s="455"/>
      <c r="U80" s="311"/>
      <c r="V80" s="491"/>
    </row>
    <row r="81" spans="1:22" x14ac:dyDescent="0.2">
      <c r="A81" s="515">
        <v>280</v>
      </c>
      <c r="B81" s="516" t="str">
        <f>""</f>
        <v/>
      </c>
      <c r="C81" s="517">
        <v>214</v>
      </c>
      <c r="D81" s="281" t="s">
        <v>164</v>
      </c>
      <c r="E81" s="316" t="s">
        <v>276</v>
      </c>
      <c r="F81" s="316" t="s">
        <v>298</v>
      </c>
      <c r="G81" s="317" t="s">
        <v>311</v>
      </c>
      <c r="H81" s="444" t="str">
        <f t="shared" si="11"/>
        <v>inklusive</v>
      </c>
      <c r="I81" s="451"/>
      <c r="J81" s="280" t="str">
        <f>H81</f>
        <v>inklusive</v>
      </c>
      <c r="K81" s="512" t="str">
        <f>H66</f>
        <v>mit Verschlussraster (Zylinder)</v>
      </c>
      <c r="L81" s="513"/>
      <c r="M81" s="465"/>
      <c r="N81" s="518"/>
      <c r="O81" s="455"/>
      <c r="U81" s="311"/>
      <c r="V81" s="491"/>
    </row>
    <row r="82" spans="1:22" ht="13.5" thickBot="1" x14ac:dyDescent="0.25">
      <c r="A82" s="519">
        <v>254</v>
      </c>
      <c r="B82" s="520">
        <v>85</v>
      </c>
      <c r="C82" s="521">
        <f>IF('Pos. 4'!$T$114='Sprachen &amp; Rückgabewerte(4)'!$J$146,130,144)</f>
        <v>144</v>
      </c>
      <c r="D82" s="281" t="s">
        <v>277</v>
      </c>
      <c r="E82" s="316" t="s">
        <v>278</v>
      </c>
      <c r="F82" s="316" t="s">
        <v>299</v>
      </c>
      <c r="G82" s="317" t="s">
        <v>278</v>
      </c>
      <c r="H82" s="444" t="str">
        <f t="shared" si="11"/>
        <v>Sockel 75</v>
      </c>
      <c r="I82" s="451"/>
      <c r="J82" s="280" t="str">
        <f>H82</f>
        <v>Sockel 75</v>
      </c>
      <c r="K82" s="374" t="str">
        <f>H160</f>
        <v>ohne Verschlussraster (Zylinder)</v>
      </c>
      <c r="L82" s="375"/>
      <c r="M82" s="376"/>
      <c r="N82" s="375"/>
      <c r="O82" s="460"/>
      <c r="U82" s="522"/>
      <c r="V82" s="523"/>
    </row>
    <row r="83" spans="1:22" ht="13.5" thickBot="1" x14ac:dyDescent="0.25">
      <c r="A83" s="519">
        <v>254</v>
      </c>
      <c r="B83" s="520">
        <v>105</v>
      </c>
      <c r="C83" s="521">
        <f>IF('Pos. 4'!$T$114='Sprachen &amp; Rückgabewerte(4)'!$J$146,158,172)</f>
        <v>172</v>
      </c>
      <c r="D83" s="281" t="s">
        <v>163</v>
      </c>
      <c r="E83" s="316" t="s">
        <v>275</v>
      </c>
      <c r="F83" s="316" t="s">
        <v>297</v>
      </c>
      <c r="G83" s="317" t="s">
        <v>310</v>
      </c>
      <c r="H83" s="444" t="str">
        <f t="shared" si="11"/>
        <v>ohne</v>
      </c>
      <c r="I83" s="451"/>
      <c r="T83" s="314" t="s">
        <v>767</v>
      </c>
      <c r="U83" s="438" t="b">
        <f>IF(V83&gt;0,FALSE,TRUE)</f>
        <v>0</v>
      </c>
      <c r="V83" s="524">
        <f>SUM(V41:V82)</f>
        <v>20</v>
      </c>
    </row>
    <row r="84" spans="1:22" ht="13.5" thickBot="1" x14ac:dyDescent="0.25">
      <c r="A84" s="525">
        <v>228</v>
      </c>
      <c r="B84" s="526">
        <v>110</v>
      </c>
      <c r="C84" s="527">
        <f>IF('Pos. 4'!$T$114='Sprachen &amp; Rückgabewerte(4)'!$J$146,186,200)</f>
        <v>200</v>
      </c>
      <c r="D84" s="281" t="s">
        <v>165</v>
      </c>
      <c r="E84" s="316" t="s">
        <v>279</v>
      </c>
      <c r="F84" s="316" t="s">
        <v>300</v>
      </c>
      <c r="G84" s="317" t="s">
        <v>312</v>
      </c>
      <c r="H84" s="444" t="str">
        <f t="shared" si="11"/>
        <v>Rahmenzusammenbau:</v>
      </c>
      <c r="I84" s="451"/>
    </row>
    <row r="85" spans="1:22" x14ac:dyDescent="0.2">
      <c r="D85" s="281" t="s">
        <v>166</v>
      </c>
      <c r="E85" s="316" t="s">
        <v>280</v>
      </c>
      <c r="F85" s="316" t="s">
        <v>301</v>
      </c>
      <c r="G85" s="317" t="s">
        <v>313</v>
      </c>
      <c r="H85" s="444" t="str">
        <f t="shared" si="11"/>
        <v>Gehrungsstoss (A)</v>
      </c>
      <c r="I85" s="451"/>
      <c r="J85" s="280" t="str">
        <f>H85</f>
        <v>Gehrungsstoss (A)</v>
      </c>
      <c r="L85" s="544" t="s">
        <v>711</v>
      </c>
      <c r="M85" s="545"/>
    </row>
    <row r="86" spans="1:22" ht="13.5" thickBot="1" x14ac:dyDescent="0.25">
      <c r="D86" s="281" t="s">
        <v>334</v>
      </c>
      <c r="E86" s="316" t="s">
        <v>281</v>
      </c>
      <c r="F86" s="316" t="s">
        <v>302</v>
      </c>
      <c r="G86" s="317" t="s">
        <v>507</v>
      </c>
      <c r="H86" s="444" t="str">
        <f t="shared" si="11"/>
        <v>Montagestoss (B)</v>
      </c>
      <c r="I86" s="451"/>
      <c r="J86" s="280" t="str">
        <f>H86</f>
        <v>Montagestoss (B)</v>
      </c>
      <c r="L86" s="528"/>
      <c r="M86" s="372"/>
    </row>
    <row r="87" spans="1:22" x14ac:dyDescent="0.2">
      <c r="B87" s="542" t="s">
        <v>649</v>
      </c>
      <c r="C87" s="543"/>
      <c r="D87" s="281" t="s">
        <v>167</v>
      </c>
      <c r="E87" s="316" t="s">
        <v>282</v>
      </c>
      <c r="F87" s="316" t="s">
        <v>342</v>
      </c>
      <c r="G87" s="317" t="s">
        <v>314</v>
      </c>
      <c r="H87" s="444" t="str">
        <f t="shared" si="11"/>
        <v>Logistik:</v>
      </c>
      <c r="I87" s="451"/>
      <c r="L87" s="529">
        <v>1</v>
      </c>
      <c r="M87" s="317" t="str">
        <f>CONCATENATE($H$154," ",L87)</f>
        <v>Kalenderwoche 1</v>
      </c>
    </row>
    <row r="88" spans="1:22" x14ac:dyDescent="0.2">
      <c r="B88" s="357" t="s">
        <v>650</v>
      </c>
      <c r="C88" s="358">
        <f>IF(AND(I50=TRUE,'Pos. 4'!T104&lt;&gt;""),0,1)</f>
        <v>1</v>
      </c>
      <c r="D88" s="281" t="s">
        <v>335</v>
      </c>
      <c r="E88" s="316" t="s">
        <v>771</v>
      </c>
      <c r="F88" s="316" t="s">
        <v>336</v>
      </c>
      <c r="G88" s="317" t="s">
        <v>522</v>
      </c>
      <c r="H88" s="444" t="str">
        <f t="shared" si="11"/>
        <v>ohne Glas-Sortierung</v>
      </c>
      <c r="I88" s="451"/>
      <c r="J88" s="280" t="str">
        <f>H88</f>
        <v>ohne Glas-Sortierung</v>
      </c>
      <c r="L88" s="529">
        <v>2</v>
      </c>
      <c r="M88" s="317" t="str">
        <f t="shared" ref="M88:M138" si="13">CONCATENATE($H$154," ",L88)</f>
        <v>Kalenderwoche 2</v>
      </c>
    </row>
    <row r="89" spans="1:22" x14ac:dyDescent="0.2">
      <c r="B89" s="281" t="s">
        <v>651</v>
      </c>
      <c r="C89" s="466">
        <f>IF(AND(I50=TRUE,'Pos. 4'!T106&lt;&gt;""),0,1)</f>
        <v>1</v>
      </c>
      <c r="D89" s="281" t="s">
        <v>168</v>
      </c>
      <c r="E89" s="316" t="s">
        <v>337</v>
      </c>
      <c r="F89" s="316" t="s">
        <v>338</v>
      </c>
      <c r="G89" s="317" t="s">
        <v>523</v>
      </c>
      <c r="H89" s="444" t="str">
        <f>IF($B$3=$A$3,D89,IF($B$3=$A$4,E89,IF($B$3=$A$5,F89,IF($B$3=$A$6,$G$89,""))))</f>
        <v>nach Stockwerk:</v>
      </c>
      <c r="I89" s="451"/>
      <c r="J89" s="280" t="str">
        <f>H89</f>
        <v>nach Stockwerk:</v>
      </c>
      <c r="L89" s="529">
        <v>3</v>
      </c>
      <c r="M89" s="317" t="str">
        <f t="shared" si="13"/>
        <v>Kalenderwoche 3</v>
      </c>
    </row>
    <row r="90" spans="1:22" x14ac:dyDescent="0.2">
      <c r="B90" s="281" t="s">
        <v>652</v>
      </c>
      <c r="C90" s="466">
        <f>IF(AND(I50=TRUE,'Pos. 4'!T108&lt;&gt;""),0,1)</f>
        <v>1</v>
      </c>
      <c r="D90" s="281" t="s">
        <v>284</v>
      </c>
      <c r="E90" s="316" t="s">
        <v>283</v>
      </c>
      <c r="F90" s="316" t="s">
        <v>303</v>
      </c>
      <c r="G90" s="317" t="s">
        <v>369</v>
      </c>
      <c r="H90" s="444" t="str">
        <f>IF($B$3=$A$3,D90,IF($B$3=$A$4,E90,IF($B$3=$A$5,F90,IF($B$3=$A$6,G90,""))))</f>
        <v>Wunschtermin:</v>
      </c>
      <c r="I90" s="451"/>
      <c r="L90" s="529">
        <v>4</v>
      </c>
      <c r="M90" s="317" t="str">
        <f t="shared" si="13"/>
        <v>Kalenderwoche 4</v>
      </c>
    </row>
    <row r="91" spans="1:22" x14ac:dyDescent="0.2">
      <c r="B91" s="281" t="s">
        <v>653</v>
      </c>
      <c r="C91" s="466">
        <f>IF(AND(I50=TRUE,'Pos. 4'!T110&lt;&gt;""),0,1)</f>
        <v>1</v>
      </c>
      <c r="D91" s="281" t="s">
        <v>386</v>
      </c>
      <c r="E91" s="316" t="s">
        <v>285</v>
      </c>
      <c r="F91" s="316" t="s">
        <v>387</v>
      </c>
      <c r="G91" s="317" t="s">
        <v>388</v>
      </c>
      <c r="H91" s="444" t="str">
        <f t="shared" ref="H91:H111" si="14">IF($B$3=$A$3,D91,IF($B$3=$A$4,E91,IF($B$3=$A$5,F91,IF($B$3=$A$6,G91,""))))</f>
        <v>Farbe Laufschiene + Schraubenarretierungen:</v>
      </c>
      <c r="I91" s="451"/>
      <c r="L91" s="529">
        <v>5</v>
      </c>
      <c r="M91" s="317" t="str">
        <f t="shared" si="13"/>
        <v>Kalenderwoche 5</v>
      </c>
    </row>
    <row r="92" spans="1:22" x14ac:dyDescent="0.2">
      <c r="B92" s="281" t="s">
        <v>654</v>
      </c>
      <c r="C92" s="466">
        <f>IF(AND(I50=TRUE,'Pos. 4'!T112&lt;&gt;""),0,1)</f>
        <v>1</v>
      </c>
      <c r="D92" s="281" t="s">
        <v>434</v>
      </c>
      <c r="E92" s="316" t="s">
        <v>435</v>
      </c>
      <c r="F92" s="316" t="s">
        <v>436</v>
      </c>
      <c r="G92" s="317" t="s">
        <v>437</v>
      </c>
      <c r="H92" s="444" t="str">
        <f t="shared" si="14"/>
        <v>Silber</v>
      </c>
      <c r="I92" s="451"/>
      <c r="J92" s="280" t="str">
        <f>H92</f>
        <v>Silber</v>
      </c>
      <c r="L92" s="529">
        <v>6</v>
      </c>
      <c r="M92" s="317" t="str">
        <f t="shared" si="13"/>
        <v>Kalenderwoche 6</v>
      </c>
    </row>
    <row r="93" spans="1:22" x14ac:dyDescent="0.2">
      <c r="B93" s="281" t="s">
        <v>655</v>
      </c>
      <c r="C93" s="466">
        <f>IF(AND(I50=TRUE,'Pos. 4'!T114&lt;&gt;""),0,1)</f>
        <v>1</v>
      </c>
      <c r="D93" s="281" t="s">
        <v>169</v>
      </c>
      <c r="E93" s="316" t="s">
        <v>286</v>
      </c>
      <c r="F93" s="316" t="s">
        <v>304</v>
      </c>
      <c r="G93" s="317" t="s">
        <v>315</v>
      </c>
      <c r="H93" s="444" t="str">
        <f t="shared" si="14"/>
        <v>Schwarz</v>
      </c>
      <c r="I93" s="451"/>
      <c r="J93" s="280" t="str">
        <f>H93</f>
        <v>Schwarz</v>
      </c>
      <c r="L93" s="529">
        <v>7</v>
      </c>
      <c r="M93" s="317" t="str">
        <f t="shared" si="13"/>
        <v>Kalenderwoche 7</v>
      </c>
      <c r="N93" s="530"/>
    </row>
    <row r="94" spans="1:22" x14ac:dyDescent="0.2">
      <c r="B94" s="281"/>
      <c r="C94" s="317"/>
      <c r="D94" s="281" t="s">
        <v>380</v>
      </c>
      <c r="E94" s="316" t="s">
        <v>592</v>
      </c>
      <c r="F94" s="316" t="s">
        <v>378</v>
      </c>
      <c r="G94" s="317" t="s">
        <v>381</v>
      </c>
      <c r="H94" s="444" t="str">
        <f t="shared" si="14"/>
        <v>Druckausgleichsventile :</v>
      </c>
      <c r="I94" s="451"/>
      <c r="L94" s="529">
        <v>8</v>
      </c>
      <c r="M94" s="317" t="str">
        <f t="shared" si="13"/>
        <v>Kalenderwoche 8</v>
      </c>
    </row>
    <row r="95" spans="1:22" ht="13.5" thickBot="1" x14ac:dyDescent="0.25">
      <c r="B95" s="226" t="s">
        <v>656</v>
      </c>
      <c r="C95" s="227">
        <f>SUM(C88:C93)</f>
        <v>6</v>
      </c>
      <c r="D95" s="281" t="s">
        <v>170</v>
      </c>
      <c r="E95" s="316" t="s">
        <v>175</v>
      </c>
      <c r="F95" s="316" t="s">
        <v>325</v>
      </c>
      <c r="G95" s="317" t="s">
        <v>316</v>
      </c>
      <c r="H95" s="444" t="str">
        <f t="shared" si="14"/>
        <v>Ja</v>
      </c>
      <c r="I95" s="451"/>
      <c r="J95" s="280" t="str">
        <f>H95</f>
        <v>Ja</v>
      </c>
      <c r="L95" s="529">
        <v>9</v>
      </c>
      <c r="M95" s="317" t="str">
        <f t="shared" si="13"/>
        <v>Kalenderwoche 9</v>
      </c>
    </row>
    <row r="96" spans="1:22" x14ac:dyDescent="0.2">
      <c r="D96" s="281" t="s">
        <v>171</v>
      </c>
      <c r="E96" s="316" t="s">
        <v>176</v>
      </c>
      <c r="F96" s="316" t="s">
        <v>799</v>
      </c>
      <c r="G96" s="317" t="s">
        <v>176</v>
      </c>
      <c r="H96" s="444" t="str">
        <f t="shared" si="14"/>
        <v>Nein</v>
      </c>
      <c r="I96" s="451"/>
      <c r="J96" s="280" t="str">
        <f>H96</f>
        <v>Nein</v>
      </c>
      <c r="L96" s="529">
        <v>10</v>
      </c>
      <c r="M96" s="317" t="str">
        <f t="shared" si="13"/>
        <v>Kalenderwoche 10</v>
      </c>
    </row>
    <row r="97" spans="4:14" x14ac:dyDescent="0.2">
      <c r="D97" s="281" t="s">
        <v>172</v>
      </c>
      <c r="E97" s="316" t="s">
        <v>177</v>
      </c>
      <c r="F97" s="316" t="s">
        <v>326</v>
      </c>
      <c r="G97" s="317" t="s">
        <v>317</v>
      </c>
      <c r="H97" s="444" t="str">
        <f t="shared" si="14"/>
        <v>Digitale Unterschrift:</v>
      </c>
      <c r="I97" s="451"/>
      <c r="L97" s="529">
        <v>11</v>
      </c>
      <c r="M97" s="317" t="str">
        <f t="shared" si="13"/>
        <v>Kalenderwoche 11</v>
      </c>
    </row>
    <row r="98" spans="4:14" x14ac:dyDescent="0.2">
      <c r="D98" s="281" t="s">
        <v>174</v>
      </c>
      <c r="E98" s="316" t="s">
        <v>287</v>
      </c>
      <c r="F98" s="316" t="s">
        <v>327</v>
      </c>
      <c r="G98" s="317" t="s">
        <v>370</v>
      </c>
      <c r="H98" s="444" t="str">
        <f t="shared" si="14"/>
        <v>Bestellung an:</v>
      </c>
      <c r="I98" s="451"/>
      <c r="L98" s="529">
        <v>12</v>
      </c>
      <c r="M98" s="317" t="str">
        <f t="shared" si="13"/>
        <v>Kalenderwoche 12</v>
      </c>
    </row>
    <row r="99" spans="4:14" x14ac:dyDescent="0.2">
      <c r="D99" s="281" t="s">
        <v>173</v>
      </c>
      <c r="E99" s="316" t="s">
        <v>173</v>
      </c>
      <c r="F99" s="316" t="s">
        <v>173</v>
      </c>
      <c r="G99" s="317" t="s">
        <v>173</v>
      </c>
      <c r="H99" s="444" t="str">
        <f t="shared" si="14"/>
        <v>orders@sky-frame.ch</v>
      </c>
      <c r="I99" s="451"/>
      <c r="L99" s="529">
        <v>13</v>
      </c>
      <c r="M99" s="317" t="str">
        <f t="shared" si="13"/>
        <v>Kalenderwoche 13</v>
      </c>
    </row>
    <row r="100" spans="4:14" x14ac:dyDescent="0.2">
      <c r="D100" s="281"/>
      <c r="E100" s="316"/>
      <c r="F100" s="316"/>
      <c r="G100" s="317"/>
      <c r="H100" s="444">
        <f t="shared" si="14"/>
        <v>0</v>
      </c>
      <c r="I100" s="451"/>
      <c r="L100" s="529">
        <v>14</v>
      </c>
      <c r="M100" s="317" t="str">
        <f t="shared" si="13"/>
        <v>Kalenderwoche 14</v>
      </c>
    </row>
    <row r="101" spans="4:14" x14ac:dyDescent="0.2">
      <c r="D101" s="281"/>
      <c r="E101" s="316"/>
      <c r="F101" s="316"/>
      <c r="G101" s="317"/>
      <c r="H101" s="444">
        <f t="shared" si="14"/>
        <v>0</v>
      </c>
      <c r="I101" s="451"/>
      <c r="L101" s="529">
        <v>15</v>
      </c>
      <c r="M101" s="317" t="str">
        <f t="shared" si="13"/>
        <v>Kalenderwoche 15</v>
      </c>
    </row>
    <row r="102" spans="4:14" ht="51" x14ac:dyDescent="0.2">
      <c r="D102" s="330" t="s">
        <v>510</v>
      </c>
      <c r="E102" s="424" t="s">
        <v>288</v>
      </c>
      <c r="F102" s="424" t="s">
        <v>752</v>
      </c>
      <c r="G102" s="423" t="s">
        <v>430</v>
      </c>
      <c r="H102" s="531" t="str">
        <f t="shared" si="14"/>
        <v>Diese Bestellung ist verbindlich und muss komplett ausgefüllt werden. Änderungen werden als Mehraufwand verrechnet.</v>
      </c>
      <c r="I102" s="451"/>
      <c r="L102" s="529">
        <v>16</v>
      </c>
      <c r="M102" s="317" t="str">
        <f t="shared" si="13"/>
        <v>Kalenderwoche 16</v>
      </c>
    </row>
    <row r="103" spans="4:14" ht="12.75" customHeight="1" x14ac:dyDescent="0.2">
      <c r="D103" s="330"/>
      <c r="E103" s="316"/>
      <c r="F103" s="316"/>
      <c r="G103" s="317"/>
      <c r="H103" s="444"/>
      <c r="I103" s="451"/>
      <c r="L103" s="529">
        <v>17</v>
      </c>
      <c r="M103" s="317" t="str">
        <f t="shared" si="13"/>
        <v>Kalenderwoche 17</v>
      </c>
      <c r="N103" s="530"/>
    </row>
    <row r="104" spans="4:14" ht="12.75" customHeight="1" x14ac:dyDescent="0.2">
      <c r="D104" s="281" t="s">
        <v>212</v>
      </c>
      <c r="E104" s="316" t="s">
        <v>759</v>
      </c>
      <c r="F104" s="316" t="s">
        <v>328</v>
      </c>
      <c r="G104" s="317" t="s">
        <v>371</v>
      </c>
      <c r="H104" s="444" t="str">
        <f t="shared" si="14"/>
        <v>A-Ecke 90°</v>
      </c>
      <c r="I104" s="451"/>
      <c r="L104" s="529">
        <v>18</v>
      </c>
      <c r="M104" s="317" t="str">
        <f t="shared" si="13"/>
        <v>Kalenderwoche 18</v>
      </c>
    </row>
    <row r="105" spans="4:14" ht="12.75" customHeight="1" x14ac:dyDescent="0.2">
      <c r="D105" s="281" t="s">
        <v>213</v>
      </c>
      <c r="E105" s="316" t="s">
        <v>758</v>
      </c>
      <c r="F105" s="316" t="s">
        <v>461</v>
      </c>
      <c r="G105" s="317" t="s">
        <v>372</v>
      </c>
      <c r="H105" s="444" t="str">
        <f t="shared" si="14"/>
        <v>I-Ecke 90°</v>
      </c>
      <c r="I105" s="451"/>
      <c r="L105" s="529">
        <v>19</v>
      </c>
      <c r="M105" s="317" t="str">
        <f t="shared" si="13"/>
        <v>Kalenderwoche 19</v>
      </c>
    </row>
    <row r="106" spans="4:14" ht="12.75" customHeight="1" x14ac:dyDescent="0.2">
      <c r="D106" s="281" t="s">
        <v>215</v>
      </c>
      <c r="E106" s="316" t="s">
        <v>757</v>
      </c>
      <c r="F106" s="316" t="s">
        <v>329</v>
      </c>
      <c r="G106" s="317" t="s">
        <v>373</v>
      </c>
      <c r="H106" s="444" t="str">
        <f t="shared" si="14"/>
        <v>A-Ecke≠90°</v>
      </c>
      <c r="I106" s="451"/>
      <c r="L106" s="529">
        <v>20</v>
      </c>
      <c r="M106" s="317" t="str">
        <f t="shared" si="13"/>
        <v>Kalenderwoche 20</v>
      </c>
    </row>
    <row r="107" spans="4:14" ht="12.75" customHeight="1" x14ac:dyDescent="0.2">
      <c r="D107" s="281" t="s">
        <v>216</v>
      </c>
      <c r="E107" s="316" t="s">
        <v>756</v>
      </c>
      <c r="F107" s="316" t="s">
        <v>462</v>
      </c>
      <c r="G107" s="317" t="s">
        <v>374</v>
      </c>
      <c r="H107" s="444" t="str">
        <f t="shared" si="14"/>
        <v>I-Ecke≠90°</v>
      </c>
      <c r="I107" s="451"/>
      <c r="L107" s="529">
        <v>21</v>
      </c>
      <c r="M107" s="317" t="str">
        <f t="shared" si="13"/>
        <v>Kalenderwoche 21</v>
      </c>
    </row>
    <row r="108" spans="4:14" ht="12.75" customHeight="1" x14ac:dyDescent="0.2">
      <c r="D108" s="281" t="s">
        <v>447</v>
      </c>
      <c r="E108" s="316" t="s">
        <v>448</v>
      </c>
      <c r="F108" s="316" t="s">
        <v>449</v>
      </c>
      <c r="G108" s="317" t="s">
        <v>450</v>
      </c>
      <c r="H108" s="444" t="str">
        <f t="shared" si="14"/>
        <v>Wert:</v>
      </c>
      <c r="I108" s="451"/>
      <c r="L108" s="529">
        <v>22</v>
      </c>
      <c r="M108" s="317" t="str">
        <f t="shared" si="13"/>
        <v>Kalenderwoche 22</v>
      </c>
    </row>
    <row r="109" spans="4:14" ht="12.75" customHeight="1" x14ac:dyDescent="0.2">
      <c r="D109" s="281" t="s">
        <v>290</v>
      </c>
      <c r="E109" s="316" t="s">
        <v>289</v>
      </c>
      <c r="F109" s="316" t="s">
        <v>330</v>
      </c>
      <c r="G109" s="316" t="s">
        <v>375</v>
      </c>
      <c r="H109" s="444" t="str">
        <f t="shared" si="14"/>
        <v>Bitte auswählen:</v>
      </c>
      <c r="I109" s="451"/>
      <c r="L109" s="529">
        <v>23</v>
      </c>
      <c r="M109" s="317" t="str">
        <f t="shared" si="13"/>
        <v>Kalenderwoche 23</v>
      </c>
    </row>
    <row r="110" spans="4:14" ht="12.75" customHeight="1" x14ac:dyDescent="0.2">
      <c r="D110" s="281" t="s">
        <v>350</v>
      </c>
      <c r="E110" s="316" t="s">
        <v>350</v>
      </c>
      <c r="F110" s="316" t="s">
        <v>350</v>
      </c>
      <c r="G110" s="316" t="s">
        <v>350</v>
      </c>
      <c r="H110" s="444" t="str">
        <f t="shared" si="14"/>
        <v>KABA (22)</v>
      </c>
      <c r="I110" s="451" t="b">
        <v>0</v>
      </c>
      <c r="L110" s="529">
        <v>24</v>
      </c>
      <c r="M110" s="317" t="str">
        <f t="shared" si="13"/>
        <v>Kalenderwoche 24</v>
      </c>
    </row>
    <row r="111" spans="4:14" ht="12.75" customHeight="1" x14ac:dyDescent="0.2">
      <c r="D111" s="281" t="s">
        <v>351</v>
      </c>
      <c r="E111" s="316" t="s">
        <v>351</v>
      </c>
      <c r="F111" s="316" t="s">
        <v>351</v>
      </c>
      <c r="G111" s="317" t="s">
        <v>351</v>
      </c>
      <c r="H111" s="444" t="str">
        <f t="shared" si="14"/>
        <v>PZ / Euro (17)</v>
      </c>
      <c r="I111" s="451" t="b">
        <v>0</v>
      </c>
      <c r="L111" s="529">
        <v>25</v>
      </c>
      <c r="M111" s="317" t="str">
        <f t="shared" si="13"/>
        <v>Kalenderwoche 25</v>
      </c>
    </row>
    <row r="112" spans="4:14" x14ac:dyDescent="0.2">
      <c r="D112" s="281" t="s">
        <v>392</v>
      </c>
      <c r="E112" s="316" t="s">
        <v>393</v>
      </c>
      <c r="F112" s="316" t="s">
        <v>394</v>
      </c>
      <c r="G112" s="317" t="s">
        <v>395</v>
      </c>
      <c r="H112" s="444" t="str">
        <f>IF($B$3=$A$3,D112,IF($B$3=$A$4,E112,IF($B$3=$A$5,F112,IF($B$3=$A$6,G112,""))))</f>
        <v>mit CFK</v>
      </c>
      <c r="I112" s="451"/>
      <c r="L112" s="529">
        <v>26</v>
      </c>
      <c r="M112" s="317" t="str">
        <f t="shared" si="13"/>
        <v>Kalenderwoche 26</v>
      </c>
    </row>
    <row r="113" spans="4:14" x14ac:dyDescent="0.2">
      <c r="D113" s="281" t="s">
        <v>396</v>
      </c>
      <c r="E113" s="316" t="s">
        <v>397</v>
      </c>
      <c r="F113" s="316" t="s">
        <v>398</v>
      </c>
      <c r="G113" s="317" t="s">
        <v>399</v>
      </c>
      <c r="H113" s="444" t="str">
        <f>IF($B$3=$A$3,D113,IF($B$3=$A$4,E113,IF($B$3=$A$5,F113,IF($B$3=$A$6,G113,""))))</f>
        <v>ohne CFK</v>
      </c>
      <c r="I113" s="451"/>
      <c r="L113" s="529">
        <v>27</v>
      </c>
      <c r="M113" s="317" t="str">
        <f t="shared" si="13"/>
        <v>Kalenderwoche 27</v>
      </c>
      <c r="N113" s="530"/>
    </row>
    <row r="114" spans="4:14" x14ac:dyDescent="0.2">
      <c r="D114" s="281" t="s">
        <v>400</v>
      </c>
      <c r="E114" s="316" t="s">
        <v>402</v>
      </c>
      <c r="F114" s="316" t="s">
        <v>404</v>
      </c>
      <c r="G114" s="317" t="s">
        <v>438</v>
      </c>
      <c r="H114" s="444" t="str">
        <f>IF($B$3=$A$3,D114,IF($B$3=$A$4,E114,IF($B$3=$A$5,F114,IF($B$3=$A$6,G114,""))))</f>
        <v>mit Stahl</v>
      </c>
      <c r="I114" s="451"/>
      <c r="L114" s="529">
        <v>28</v>
      </c>
      <c r="M114" s="317" t="str">
        <f t="shared" si="13"/>
        <v>Kalenderwoche 28</v>
      </c>
    </row>
    <row r="115" spans="4:14" x14ac:dyDescent="0.2">
      <c r="D115" s="281" t="s">
        <v>401</v>
      </c>
      <c r="E115" s="316" t="s">
        <v>403</v>
      </c>
      <c r="F115" s="316" t="s">
        <v>405</v>
      </c>
      <c r="G115" s="317" t="s">
        <v>439</v>
      </c>
      <c r="H115" s="444" t="str">
        <f>IF($B$3=$A$3,D115,IF($B$3=$A$4,E115,IF($B$3=$A$5,F115,IF($B$3=$A$6,G115,""))))</f>
        <v>ohne Stahl</v>
      </c>
      <c r="I115" s="451"/>
      <c r="L115" s="529">
        <v>29</v>
      </c>
      <c r="M115" s="317" t="str">
        <f t="shared" si="13"/>
        <v>Kalenderwoche 29</v>
      </c>
    </row>
    <row r="116" spans="4:14" x14ac:dyDescent="0.2">
      <c r="D116" s="281" t="s">
        <v>408</v>
      </c>
      <c r="E116" s="316" t="s">
        <v>411</v>
      </c>
      <c r="F116" s="316" t="s">
        <v>413</v>
      </c>
      <c r="G116" s="317" t="s">
        <v>416</v>
      </c>
      <c r="H116" s="444" t="str">
        <f>IF($B$3=$A$3,D116,IF($B$3=$A$4,E116,IF($B$3=$A$5,F116,IF($B$3=$A$6,G116,""))))</f>
        <v>Ganzglas-Ecke</v>
      </c>
      <c r="I116" s="451"/>
      <c r="L116" s="529">
        <v>30</v>
      </c>
      <c r="M116" s="317" t="str">
        <f t="shared" si="13"/>
        <v>Kalenderwoche 30</v>
      </c>
    </row>
    <row r="117" spans="4:14" x14ac:dyDescent="0.2">
      <c r="D117" s="281" t="s">
        <v>409</v>
      </c>
      <c r="E117" s="316" t="s">
        <v>755</v>
      </c>
      <c r="F117" s="316" t="s">
        <v>414</v>
      </c>
      <c r="G117" s="317" t="s">
        <v>417</v>
      </c>
      <c r="H117" s="444" t="str">
        <f t="shared" ref="H117:H180" si="15">IF($B$3=$A$3,D117,IF($B$3=$A$4,E117,IF($B$3=$A$5,F117,IF($B$3=$A$6,G117,""))))</f>
        <v>Ecke RC2 (WK2)</v>
      </c>
      <c r="I117" s="451"/>
      <c r="L117" s="529">
        <v>31</v>
      </c>
      <c r="M117" s="317" t="str">
        <f t="shared" si="13"/>
        <v>Kalenderwoche 31</v>
      </c>
    </row>
    <row r="118" spans="4:14" x14ac:dyDescent="0.2">
      <c r="D118" s="281" t="s">
        <v>410</v>
      </c>
      <c r="E118" s="316" t="s">
        <v>412</v>
      </c>
      <c r="F118" s="316" t="s">
        <v>415</v>
      </c>
      <c r="G118" s="317" t="s">
        <v>418</v>
      </c>
      <c r="H118" s="444" t="str">
        <f t="shared" si="15"/>
        <v>Standard (RC2 in Anlehnung)</v>
      </c>
      <c r="I118" s="451"/>
      <c r="L118" s="529">
        <v>32</v>
      </c>
      <c r="M118" s="317" t="str">
        <f t="shared" si="13"/>
        <v>Kalenderwoche 32</v>
      </c>
    </row>
    <row r="119" spans="4:14" x14ac:dyDescent="0.2">
      <c r="D119" s="281" t="s">
        <v>923</v>
      </c>
      <c r="E119" s="316" t="s">
        <v>924</v>
      </c>
      <c r="F119" s="316" t="s">
        <v>925</v>
      </c>
      <c r="G119" s="317" t="s">
        <v>926</v>
      </c>
      <c r="H119" s="444" t="str">
        <f t="shared" si="15"/>
        <v>RC2 mit Blech</v>
      </c>
      <c r="I119" s="451"/>
      <c r="L119" s="529">
        <v>33</v>
      </c>
      <c r="M119" s="317" t="str">
        <f t="shared" si="13"/>
        <v>Kalenderwoche 33</v>
      </c>
    </row>
    <row r="120" spans="4:14" x14ac:dyDescent="0.2">
      <c r="D120" s="281" t="s">
        <v>421</v>
      </c>
      <c r="E120" s="316" t="s">
        <v>424</v>
      </c>
      <c r="F120" s="316" t="s">
        <v>425</v>
      </c>
      <c r="G120" s="317" t="s">
        <v>427</v>
      </c>
      <c r="H120" s="444" t="str">
        <f t="shared" si="15"/>
        <v>mit AL.</v>
      </c>
      <c r="I120" s="451"/>
      <c r="L120" s="529">
        <v>34</v>
      </c>
      <c r="M120" s="317" t="str">
        <f t="shared" si="13"/>
        <v>Kalenderwoche 34</v>
      </c>
    </row>
    <row r="121" spans="4:14" x14ac:dyDescent="0.2">
      <c r="D121" s="281" t="s">
        <v>422</v>
      </c>
      <c r="E121" s="316" t="s">
        <v>423</v>
      </c>
      <c r="F121" s="316" t="s">
        <v>426</v>
      </c>
      <c r="G121" s="317" t="s">
        <v>428</v>
      </c>
      <c r="H121" s="444" t="str">
        <f t="shared" si="15"/>
        <v>ohne AL.</v>
      </c>
      <c r="I121" s="451"/>
      <c r="L121" s="529">
        <v>35</v>
      </c>
      <c r="M121" s="317" t="str">
        <f t="shared" si="13"/>
        <v>Kalenderwoche 35</v>
      </c>
    </row>
    <row r="122" spans="4:14" x14ac:dyDescent="0.2">
      <c r="D122" s="281" t="s">
        <v>843</v>
      </c>
      <c r="E122" s="316" t="s">
        <v>845</v>
      </c>
      <c r="F122" s="316" t="s">
        <v>847</v>
      </c>
      <c r="G122" s="317" t="s">
        <v>849</v>
      </c>
      <c r="H122" s="444" t="str">
        <f t="shared" si="15"/>
        <v>mit Stahl (&gt;2.5m)</v>
      </c>
      <c r="I122" s="451"/>
      <c r="L122" s="529">
        <v>36</v>
      </c>
      <c r="M122" s="317" t="str">
        <f t="shared" si="13"/>
        <v>Kalenderwoche 36</v>
      </c>
    </row>
    <row r="123" spans="4:14" x14ac:dyDescent="0.2">
      <c r="D123" s="281" t="s">
        <v>844</v>
      </c>
      <c r="E123" s="316" t="s">
        <v>846</v>
      </c>
      <c r="F123" s="316" t="s">
        <v>848</v>
      </c>
      <c r="G123" s="317" t="s">
        <v>850</v>
      </c>
      <c r="H123" s="444" t="str">
        <f t="shared" si="15"/>
        <v>ohne Stahl (&lt;2.5m)</v>
      </c>
      <c r="I123" s="451"/>
      <c r="L123" s="529">
        <v>37</v>
      </c>
      <c r="M123" s="317" t="str">
        <f t="shared" si="13"/>
        <v>Kalenderwoche 37</v>
      </c>
    </row>
    <row r="124" spans="4:14" x14ac:dyDescent="0.2">
      <c r="D124" s="281" t="s">
        <v>431</v>
      </c>
      <c r="E124" s="316" t="s">
        <v>754</v>
      </c>
      <c r="F124" s="316" t="s">
        <v>432</v>
      </c>
      <c r="G124" s="317" t="s">
        <v>433</v>
      </c>
      <c r="H124" s="444" t="str">
        <f t="shared" si="15"/>
        <v>Ecke:</v>
      </c>
      <c r="I124" s="451"/>
      <c r="L124" s="529">
        <v>38</v>
      </c>
      <c r="M124" s="317" t="str">
        <f t="shared" si="13"/>
        <v>Kalenderwoche 38</v>
      </c>
    </row>
    <row r="125" spans="4:14" x14ac:dyDescent="0.2">
      <c r="D125" s="281" t="s">
        <v>455</v>
      </c>
      <c r="E125" s="316" t="s">
        <v>455</v>
      </c>
      <c r="F125" s="316" t="s">
        <v>455</v>
      </c>
      <c r="G125" s="317" t="s">
        <v>455</v>
      </c>
      <c r="H125" s="444" t="str">
        <f t="shared" si="15"/>
        <v>NFRC (USA)</v>
      </c>
      <c r="I125" s="451" t="b">
        <v>0</v>
      </c>
      <c r="L125" s="529">
        <v>39</v>
      </c>
      <c r="M125" s="317" t="str">
        <f t="shared" si="13"/>
        <v>Kalenderwoche 39</v>
      </c>
    </row>
    <row r="126" spans="4:14" x14ac:dyDescent="0.2">
      <c r="D126" s="281" t="s">
        <v>467</v>
      </c>
      <c r="E126" s="316" t="s">
        <v>501</v>
      </c>
      <c r="F126" s="316" t="s">
        <v>504</v>
      </c>
      <c r="G126" s="317" t="s">
        <v>488</v>
      </c>
      <c r="H126" s="444" t="str">
        <f t="shared" si="15"/>
        <v>Bestellung vollständig ausfüllen.</v>
      </c>
      <c r="I126" s="451"/>
      <c r="L126" s="529">
        <v>40</v>
      </c>
      <c r="M126" s="317" t="str">
        <f t="shared" si="13"/>
        <v>Kalenderwoche 40</v>
      </c>
    </row>
    <row r="127" spans="4:14" x14ac:dyDescent="0.2">
      <c r="D127" s="281" t="s">
        <v>482</v>
      </c>
      <c r="E127" s="316" t="s">
        <v>502</v>
      </c>
      <c r="F127" s="316" t="s">
        <v>506</v>
      </c>
      <c r="G127" s="317" t="s">
        <v>489</v>
      </c>
      <c r="H127" s="444" t="str">
        <f t="shared" si="15"/>
        <v>Überprüfen ob keine roten Rahmen aufleuchten.</v>
      </c>
      <c r="I127" s="451"/>
      <c r="L127" s="529">
        <v>41</v>
      </c>
      <c r="M127" s="317" t="str">
        <f t="shared" si="13"/>
        <v>Kalenderwoche 41</v>
      </c>
    </row>
    <row r="128" spans="4:14" x14ac:dyDescent="0.2">
      <c r="D128" s="281" t="s">
        <v>483</v>
      </c>
      <c r="E128" s="316" t="s">
        <v>503</v>
      </c>
      <c r="F128" s="316" t="s">
        <v>505</v>
      </c>
      <c r="G128" s="317" t="s">
        <v>490</v>
      </c>
      <c r="H128" s="444" t="str">
        <f t="shared" si="15"/>
        <v>Bestellung senden an:</v>
      </c>
      <c r="I128" s="451"/>
      <c r="L128" s="529">
        <v>42</v>
      </c>
      <c r="M128" s="317" t="str">
        <f t="shared" si="13"/>
        <v>Kalenderwoche 42</v>
      </c>
    </row>
    <row r="129" spans="4:13" x14ac:dyDescent="0.2">
      <c r="D129" s="281" t="s">
        <v>481</v>
      </c>
      <c r="E129" s="316" t="s">
        <v>500</v>
      </c>
      <c r="F129" s="316" t="s">
        <v>500</v>
      </c>
      <c r="G129" s="317" t="s">
        <v>487</v>
      </c>
      <c r="H129" s="444" t="str">
        <f t="shared" si="15"/>
        <v>Anleitung:</v>
      </c>
      <c r="I129" s="451"/>
      <c r="L129" s="529">
        <v>43</v>
      </c>
      <c r="M129" s="317" t="str">
        <f t="shared" si="13"/>
        <v>Kalenderwoche 43</v>
      </c>
    </row>
    <row r="130" spans="4:13" x14ac:dyDescent="0.2">
      <c r="D130" s="281" t="s">
        <v>512</v>
      </c>
      <c r="E130" s="316" t="s">
        <v>511</v>
      </c>
      <c r="F130" s="316" t="s">
        <v>517</v>
      </c>
      <c r="G130" s="317" t="s">
        <v>700</v>
      </c>
      <c r="H130" s="444" t="str">
        <f t="shared" si="15"/>
        <v>Vertriebspartner:</v>
      </c>
      <c r="I130" s="451"/>
      <c r="L130" s="529">
        <v>44</v>
      </c>
      <c r="M130" s="317" t="str">
        <f t="shared" si="13"/>
        <v>Kalenderwoche 44</v>
      </c>
    </row>
    <row r="131" spans="4:13" x14ac:dyDescent="0.2">
      <c r="D131" s="281" t="s">
        <v>509</v>
      </c>
      <c r="E131" s="316" t="s">
        <v>519</v>
      </c>
      <c r="F131" s="316" t="s">
        <v>518</v>
      </c>
      <c r="G131" s="317" t="s">
        <v>521</v>
      </c>
      <c r="H131" s="444" t="str">
        <f t="shared" si="15"/>
        <v>Bemerkungen:</v>
      </c>
      <c r="I131" s="451"/>
      <c r="L131" s="529">
        <v>45</v>
      </c>
      <c r="M131" s="317" t="str">
        <f t="shared" si="13"/>
        <v>Kalenderwoche 45</v>
      </c>
    </row>
    <row r="132" spans="4:13" x14ac:dyDescent="0.2">
      <c r="D132" s="281" t="s">
        <v>525</v>
      </c>
      <c r="E132" s="316" t="s">
        <v>529</v>
      </c>
      <c r="F132" s="316" t="s">
        <v>530</v>
      </c>
      <c r="G132" s="317" t="s">
        <v>531</v>
      </c>
      <c r="H132" s="444" t="str">
        <f>IF($B$3=$A$3,D132,IF($B$3=$A$4,E132,IF($B$3=$A$5,F132,IF($B$3=$A$6,G132,""))))</f>
        <v>Öffnung angeben →</v>
      </c>
      <c r="I132" s="451"/>
      <c r="L132" s="529">
        <v>46</v>
      </c>
      <c r="M132" s="317" t="str">
        <f t="shared" si="13"/>
        <v>Kalenderwoche 46</v>
      </c>
    </row>
    <row r="133" spans="4:13" x14ac:dyDescent="0.2">
      <c r="D133" s="281" t="s">
        <v>581</v>
      </c>
      <c r="E133" s="316" t="s">
        <v>582</v>
      </c>
      <c r="F133" s="316" t="s">
        <v>584</v>
      </c>
      <c r="G133" s="317" t="s">
        <v>583</v>
      </c>
      <c r="H133" s="444" t="str">
        <f t="shared" si="15"/>
        <v>5-gleisig</v>
      </c>
      <c r="I133" s="451" t="b">
        <f>IF(AND(I12=TRUE,'Pos. 4'!AT5=1),TRUE,FALSE)</f>
        <v>0</v>
      </c>
      <c r="L133" s="529">
        <v>47</v>
      </c>
      <c r="M133" s="317" t="str">
        <f t="shared" si="13"/>
        <v>Kalenderwoche 47</v>
      </c>
    </row>
    <row r="134" spans="4:13" x14ac:dyDescent="0.2">
      <c r="D134" s="512" t="s">
        <v>586</v>
      </c>
      <c r="E134" s="316" t="s">
        <v>586</v>
      </c>
      <c r="F134" s="316" t="s">
        <v>586</v>
      </c>
      <c r="G134" s="317" t="s">
        <v>586</v>
      </c>
      <c r="H134" s="444" t="str">
        <f t="shared" si="15"/>
        <v>Features</v>
      </c>
      <c r="I134" s="451"/>
      <c r="J134" s="280" t="str">
        <f>H159</f>
        <v>Keine</v>
      </c>
      <c r="L134" s="529">
        <v>48</v>
      </c>
      <c r="M134" s="317" t="str">
        <f t="shared" si="13"/>
        <v>Kalenderwoche 48</v>
      </c>
    </row>
    <row r="135" spans="4:13" x14ac:dyDescent="0.2">
      <c r="D135" s="281" t="s">
        <v>600</v>
      </c>
      <c r="E135" s="316" t="s">
        <v>602</v>
      </c>
      <c r="F135" s="316" t="s">
        <v>603</v>
      </c>
      <c r="G135" s="317" t="s">
        <v>604</v>
      </c>
      <c r="H135" s="444" t="str">
        <f t="shared" si="15"/>
        <v>Oben Links</v>
      </c>
      <c r="I135" s="451"/>
      <c r="J135" s="280" t="str">
        <f>H135</f>
        <v>Oben Links</v>
      </c>
      <c r="L135" s="529">
        <v>49</v>
      </c>
      <c r="M135" s="317" t="str">
        <f t="shared" si="13"/>
        <v>Kalenderwoche 49</v>
      </c>
    </row>
    <row r="136" spans="4:13" x14ac:dyDescent="0.2">
      <c r="D136" s="281" t="s">
        <v>601</v>
      </c>
      <c r="E136" s="316" t="s">
        <v>605</v>
      </c>
      <c r="F136" s="316" t="s">
        <v>606</v>
      </c>
      <c r="G136" s="317" t="s">
        <v>607</v>
      </c>
      <c r="H136" s="444" t="str">
        <f t="shared" si="15"/>
        <v>Oben Rechts</v>
      </c>
      <c r="I136" s="451"/>
      <c r="J136" s="280" t="str">
        <f>H136</f>
        <v>Oben Rechts</v>
      </c>
      <c r="L136" s="529">
        <v>50</v>
      </c>
      <c r="M136" s="317" t="str">
        <f t="shared" si="13"/>
        <v>Kalenderwoche 50</v>
      </c>
    </row>
    <row r="137" spans="4:13" x14ac:dyDescent="0.2">
      <c r="D137" s="281" t="s">
        <v>608</v>
      </c>
      <c r="E137" s="316" t="s">
        <v>609</v>
      </c>
      <c r="F137" s="316" t="s">
        <v>610</v>
      </c>
      <c r="G137" s="317" t="s">
        <v>611</v>
      </c>
      <c r="H137" s="444" t="str">
        <f t="shared" si="15"/>
        <v>Lage Glasspinne (Ansicht von Aussen)</v>
      </c>
      <c r="I137" s="451"/>
      <c r="L137" s="529">
        <v>51</v>
      </c>
      <c r="M137" s="317" t="str">
        <f t="shared" si="13"/>
        <v>Kalenderwoche 51</v>
      </c>
    </row>
    <row r="138" spans="4:13" ht="13.5" thickBot="1" x14ac:dyDescent="0.25">
      <c r="D138" s="281" t="s">
        <v>612</v>
      </c>
      <c r="E138" s="316" t="s">
        <v>732</v>
      </c>
      <c r="F138" s="316" t="s">
        <v>703</v>
      </c>
      <c r="G138" s="317" t="s">
        <v>712</v>
      </c>
      <c r="H138" s="444" t="str">
        <f t="shared" si="15"/>
        <v>Rinnenbestellung</v>
      </c>
      <c r="I138" s="451"/>
      <c r="L138" s="532">
        <v>52</v>
      </c>
      <c r="M138" s="377" t="str">
        <f t="shared" si="13"/>
        <v>Kalenderwoche 52</v>
      </c>
    </row>
    <row r="139" spans="4:13" x14ac:dyDescent="0.2">
      <c r="D139" s="281" t="s">
        <v>647</v>
      </c>
      <c r="E139" s="316" t="s">
        <v>733</v>
      </c>
      <c r="F139" s="316" t="s">
        <v>725</v>
      </c>
      <c r="G139" s="317" t="s">
        <v>713</v>
      </c>
      <c r="H139" s="444" t="str">
        <f t="shared" si="15"/>
        <v>Wahl des Rinnensystems:</v>
      </c>
      <c r="I139" s="451"/>
    </row>
    <row r="140" spans="4:13" x14ac:dyDescent="0.2">
      <c r="D140" s="281" t="s">
        <v>646</v>
      </c>
      <c r="E140" s="316" t="s">
        <v>734</v>
      </c>
      <c r="F140" s="316" t="s">
        <v>726</v>
      </c>
      <c r="G140" s="317" t="s">
        <v>838</v>
      </c>
      <c r="H140" s="444" t="str">
        <f t="shared" si="15"/>
        <v>Einzug an der linken Anlagenseite:</v>
      </c>
      <c r="I140" s="451"/>
    </row>
    <row r="141" spans="4:13" x14ac:dyDescent="0.2">
      <c r="D141" s="281" t="s">
        <v>645</v>
      </c>
      <c r="E141" s="316" t="s">
        <v>735</v>
      </c>
      <c r="F141" s="316" t="s">
        <v>727</v>
      </c>
      <c r="G141" s="317" t="s">
        <v>839</v>
      </c>
      <c r="H141" s="444" t="str">
        <f t="shared" si="15"/>
        <v>Einzug an der rechten Anlagenseite:</v>
      </c>
      <c r="I141" s="451"/>
    </row>
    <row r="142" spans="4:13" x14ac:dyDescent="0.2">
      <c r="D142" s="281" t="s">
        <v>644</v>
      </c>
      <c r="E142" s="316" t="s">
        <v>736</v>
      </c>
      <c r="F142" s="316" t="s">
        <v>728</v>
      </c>
      <c r="G142" s="317" t="s">
        <v>714</v>
      </c>
      <c r="H142" s="444" t="str">
        <f t="shared" si="15"/>
        <v>Anschlussstutzen:</v>
      </c>
      <c r="I142" s="451"/>
    </row>
    <row r="143" spans="4:13" x14ac:dyDescent="0.2">
      <c r="D143" s="281" t="s">
        <v>613</v>
      </c>
      <c r="E143" s="316" t="s">
        <v>737</v>
      </c>
      <c r="F143" s="316" t="s">
        <v>704</v>
      </c>
      <c r="G143" s="317" t="s">
        <v>715</v>
      </c>
      <c r="H143" s="444" t="str">
        <f t="shared" si="15"/>
        <v>lose mitliefern</v>
      </c>
      <c r="I143" s="451"/>
      <c r="J143" s="280" t="str">
        <f>H143</f>
        <v>lose mitliefern</v>
      </c>
    </row>
    <row r="144" spans="4:13" x14ac:dyDescent="0.2">
      <c r="D144" s="281" t="s">
        <v>614</v>
      </c>
      <c r="E144" s="316" t="s">
        <v>738</v>
      </c>
      <c r="F144" s="316" t="s">
        <v>705</v>
      </c>
      <c r="G144" s="317" t="s">
        <v>716</v>
      </c>
      <c r="H144" s="444" t="str">
        <f t="shared" si="15"/>
        <v>vordefiniert</v>
      </c>
      <c r="I144" s="451"/>
      <c r="J144" s="280" t="str">
        <f>H144</f>
        <v>vordefiniert</v>
      </c>
    </row>
    <row r="145" spans="4:10" x14ac:dyDescent="0.2">
      <c r="D145" s="281" t="s">
        <v>648</v>
      </c>
      <c r="E145" s="316" t="s">
        <v>739</v>
      </c>
      <c r="F145" s="316" t="s">
        <v>729</v>
      </c>
      <c r="G145" s="317" t="s">
        <v>717</v>
      </c>
      <c r="H145" s="444" t="str">
        <f t="shared" si="15"/>
        <v>Anzahl Anschlussstutzen:</v>
      </c>
      <c r="I145" s="451"/>
    </row>
    <row r="146" spans="4:10" x14ac:dyDescent="0.2">
      <c r="D146" s="281" t="s">
        <v>615</v>
      </c>
      <c r="E146" s="316" t="s">
        <v>706</v>
      </c>
      <c r="F146" s="316" t="s">
        <v>706</v>
      </c>
      <c r="G146" s="317" t="s">
        <v>718</v>
      </c>
      <c r="H146" s="444" t="str">
        <f t="shared" si="15"/>
        <v>Typ A</v>
      </c>
      <c r="I146" s="451"/>
      <c r="J146" s="280" t="str">
        <f>H146</f>
        <v>Typ A</v>
      </c>
    </row>
    <row r="147" spans="4:10" x14ac:dyDescent="0.2">
      <c r="D147" s="281" t="s">
        <v>616</v>
      </c>
      <c r="E147" s="316" t="s">
        <v>707</v>
      </c>
      <c r="F147" s="316" t="s">
        <v>707</v>
      </c>
      <c r="G147" s="317" t="s">
        <v>719</v>
      </c>
      <c r="H147" s="444" t="str">
        <f t="shared" si="15"/>
        <v>Typ B</v>
      </c>
      <c r="I147" s="451"/>
      <c r="J147" s="280" t="str">
        <f>H147</f>
        <v>Typ B</v>
      </c>
    </row>
    <row r="148" spans="4:10" x14ac:dyDescent="0.2">
      <c r="D148" s="281" t="s">
        <v>617</v>
      </c>
      <c r="E148" s="316" t="s">
        <v>740</v>
      </c>
      <c r="F148" s="316" t="s">
        <v>730</v>
      </c>
      <c r="G148" s="317" t="s">
        <v>720</v>
      </c>
      <c r="H148" s="444" t="str">
        <f t="shared" si="15"/>
        <v>Abstände Ablaufstutzen:</v>
      </c>
      <c r="I148" s="451"/>
    </row>
    <row r="149" spans="4:10" x14ac:dyDescent="0.2">
      <c r="D149" s="281" t="s">
        <v>618</v>
      </c>
      <c r="E149" s="316" t="s">
        <v>741</v>
      </c>
      <c r="F149" s="316" t="s">
        <v>753</v>
      </c>
      <c r="G149" s="317" t="s">
        <v>721</v>
      </c>
      <c r="H149" s="444" t="str">
        <f t="shared" si="15"/>
        <v>Rinnenanschluss:</v>
      </c>
      <c r="I149" s="451"/>
    </row>
    <row r="150" spans="4:10" x14ac:dyDescent="0.2">
      <c r="D150" s="281" t="s">
        <v>695</v>
      </c>
      <c r="E150" s="316" t="s">
        <v>742</v>
      </c>
      <c r="F150" s="316" t="s">
        <v>731</v>
      </c>
      <c r="G150" s="317" t="s">
        <v>722</v>
      </c>
      <c r="H150" s="444" t="str">
        <f t="shared" si="15"/>
        <v>Farbe Panele:</v>
      </c>
      <c r="I150" s="451"/>
    </row>
    <row r="151" spans="4:10" x14ac:dyDescent="0.2">
      <c r="D151" s="281" t="s">
        <v>16</v>
      </c>
      <c r="E151" s="316" t="s">
        <v>16</v>
      </c>
      <c r="F151" s="316" t="s">
        <v>16</v>
      </c>
      <c r="G151" s="317" t="s">
        <v>16</v>
      </c>
      <c r="H151" s="444" t="str">
        <f t="shared" si="15"/>
        <v>Standard</v>
      </c>
      <c r="I151" s="451"/>
      <c r="J151" s="280" t="str">
        <f>H151</f>
        <v>Standard</v>
      </c>
    </row>
    <row r="152" spans="4:10" x14ac:dyDescent="0.2">
      <c r="D152" s="281" t="s">
        <v>696</v>
      </c>
      <c r="E152" s="316" t="s">
        <v>743</v>
      </c>
      <c r="F152" s="316" t="s">
        <v>708</v>
      </c>
      <c r="G152" s="317" t="s">
        <v>723</v>
      </c>
      <c r="H152" s="444" t="str">
        <f t="shared" si="15"/>
        <v>Rahmenfarbe</v>
      </c>
      <c r="I152" s="451"/>
      <c r="J152" s="280" t="str">
        <f>H152</f>
        <v>Rahmenfarbe</v>
      </c>
    </row>
    <row r="153" spans="4:10" x14ac:dyDescent="0.2">
      <c r="D153" s="281" t="s">
        <v>697</v>
      </c>
      <c r="E153" s="316" t="s">
        <v>744</v>
      </c>
      <c r="F153" s="316" t="s">
        <v>709</v>
      </c>
      <c r="G153" s="317" t="s">
        <v>724</v>
      </c>
      <c r="H153" s="444" t="str">
        <f t="shared" si="15"/>
        <v>Glas Satinato</v>
      </c>
      <c r="I153" s="451"/>
      <c r="J153" s="280" t="str">
        <f>H153</f>
        <v>Glas Satinato</v>
      </c>
    </row>
    <row r="154" spans="4:10" x14ac:dyDescent="0.2">
      <c r="D154" s="281" t="s">
        <v>710</v>
      </c>
      <c r="E154" s="316" t="s">
        <v>745</v>
      </c>
      <c r="F154" s="316" t="s">
        <v>746</v>
      </c>
      <c r="G154" s="317" t="s">
        <v>747</v>
      </c>
      <c r="H154" s="444" t="str">
        <f t="shared" si="15"/>
        <v>Kalenderwoche</v>
      </c>
      <c r="I154" s="451"/>
    </row>
    <row r="155" spans="4:10" x14ac:dyDescent="0.2">
      <c r="D155" s="281" t="s">
        <v>769</v>
      </c>
      <c r="E155" s="316" t="s">
        <v>777</v>
      </c>
      <c r="F155" s="316" t="s">
        <v>780</v>
      </c>
      <c r="G155" s="317" t="s">
        <v>792</v>
      </c>
      <c r="H155" s="444" t="str">
        <f>IF($B$3=$A$3,D155,IF($B$3=$A$4,E155,IF($B$3=$A$5,F155,IF($B$3=$A$6,G155,""))))</f>
        <v>Bestellformular unvollständig!</v>
      </c>
      <c r="I155" s="451"/>
    </row>
    <row r="156" spans="4:10" x14ac:dyDescent="0.2">
      <c r="D156" s="281" t="s">
        <v>779</v>
      </c>
      <c r="E156" s="316" t="s">
        <v>778</v>
      </c>
      <c r="F156" s="316" t="s">
        <v>781</v>
      </c>
      <c r="G156" s="317" t="s">
        <v>793</v>
      </c>
      <c r="H156" s="444" t="str">
        <f t="shared" si="15"/>
        <v>Bestellformular vollständig.</v>
      </c>
      <c r="I156" s="451"/>
    </row>
    <row r="157" spans="4:10" x14ac:dyDescent="0.2">
      <c r="D157" s="281" t="s">
        <v>774</v>
      </c>
      <c r="E157" s="316" t="s">
        <v>773</v>
      </c>
      <c r="F157" s="316" t="s">
        <v>772</v>
      </c>
      <c r="G157" s="317" t="s">
        <v>775</v>
      </c>
      <c r="H157" s="444" t="str">
        <f t="shared" si="15"/>
        <v>B2B-Login Projektnr:</v>
      </c>
      <c r="I157" s="451"/>
    </row>
    <row r="158" spans="4:10" ht="12.75" customHeight="1" x14ac:dyDescent="0.2">
      <c r="D158" s="323" t="s">
        <v>784</v>
      </c>
      <c r="E158" s="316" t="s">
        <v>785</v>
      </c>
      <c r="F158" s="316" t="s">
        <v>786</v>
      </c>
      <c r="G158" s="317" t="s">
        <v>787</v>
      </c>
      <c r="H158" s="444" t="str">
        <f t="shared" si="15"/>
        <v>OHNE Glas</v>
      </c>
      <c r="I158" s="451"/>
    </row>
    <row r="159" spans="4:10" ht="12.75" customHeight="1" x14ac:dyDescent="0.2">
      <c r="D159" s="281" t="s">
        <v>788</v>
      </c>
      <c r="E159" s="316" t="s">
        <v>789</v>
      </c>
      <c r="F159" s="316" t="s">
        <v>297</v>
      </c>
      <c r="G159" s="317" t="s">
        <v>310</v>
      </c>
      <c r="H159" s="444" t="str">
        <f t="shared" si="15"/>
        <v>Keine</v>
      </c>
      <c r="I159" s="451"/>
    </row>
    <row r="160" spans="4:10" ht="12.75" customHeight="1" x14ac:dyDescent="0.2">
      <c r="D160" s="281" t="s">
        <v>795</v>
      </c>
      <c r="E160" s="316" t="s">
        <v>796</v>
      </c>
      <c r="F160" s="316" t="s">
        <v>797</v>
      </c>
      <c r="G160" s="317" t="s">
        <v>798</v>
      </c>
      <c r="H160" s="444" t="str">
        <f t="shared" si="15"/>
        <v>ohne Verschlussraster (Zylinder)</v>
      </c>
      <c r="I160" s="451"/>
    </row>
    <row r="161" spans="4:10" x14ac:dyDescent="0.2">
      <c r="D161" s="281"/>
      <c r="E161" s="316"/>
      <c r="F161" s="316"/>
      <c r="G161" s="317"/>
      <c r="H161" s="444">
        <f t="shared" si="15"/>
        <v>0</v>
      </c>
      <c r="I161" s="451"/>
    </row>
    <row r="162" spans="4:10" x14ac:dyDescent="0.2">
      <c r="D162" s="281"/>
      <c r="E162" s="316"/>
      <c r="F162" s="316"/>
      <c r="G162" s="317"/>
      <c r="H162" s="444">
        <f t="shared" si="15"/>
        <v>0</v>
      </c>
      <c r="I162" s="451"/>
    </row>
    <row r="163" spans="4:10" x14ac:dyDescent="0.2">
      <c r="D163" s="281"/>
      <c r="E163" s="316"/>
      <c r="F163" s="316"/>
      <c r="G163" s="317"/>
      <c r="H163" s="444">
        <f t="shared" si="15"/>
        <v>0</v>
      </c>
      <c r="I163" s="451"/>
    </row>
    <row r="164" spans="4:10" x14ac:dyDescent="0.2">
      <c r="D164" s="281"/>
      <c r="E164" s="316"/>
      <c r="F164" s="316"/>
      <c r="G164" s="317"/>
      <c r="H164" s="444">
        <f t="shared" si="15"/>
        <v>0</v>
      </c>
      <c r="I164" s="451"/>
    </row>
    <row r="165" spans="4:10" x14ac:dyDescent="0.2">
      <c r="D165" s="281" t="s">
        <v>927</v>
      </c>
      <c r="E165" s="331" t="s">
        <v>928</v>
      </c>
      <c r="F165" s="331" t="s">
        <v>518</v>
      </c>
      <c r="G165" s="331" t="s">
        <v>929</v>
      </c>
      <c r="H165" s="531" t="str">
        <f t="shared" si="15"/>
        <v>Hinweise:</v>
      </c>
      <c r="I165" s="451"/>
    </row>
    <row r="166" spans="4:10" x14ac:dyDescent="0.2">
      <c r="D166" s="281" t="s">
        <v>804</v>
      </c>
      <c r="E166" s="332" t="s">
        <v>812</v>
      </c>
      <c r="F166" s="331" t="s">
        <v>820</v>
      </c>
      <c r="G166" s="332" t="s">
        <v>828</v>
      </c>
      <c r="H166" s="531" t="str">
        <f t="shared" si="15"/>
        <v>Angabe erstöffnender Flügel</v>
      </c>
      <c r="I166" s="451"/>
    </row>
    <row r="167" spans="4:10" ht="102" x14ac:dyDescent="0.2">
      <c r="D167" s="330" t="s">
        <v>805</v>
      </c>
      <c r="E167" s="333" t="s">
        <v>813</v>
      </c>
      <c r="F167" s="333" t="s">
        <v>821</v>
      </c>
      <c r="G167" s="333" t="s">
        <v>829</v>
      </c>
      <c r="H167" s="531" t="str">
        <f t="shared" si="15"/>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1"/>
    </row>
    <row r="168" spans="4:10" x14ac:dyDescent="0.2">
      <c r="D168" s="330" t="s">
        <v>806</v>
      </c>
      <c r="E168" s="332" t="s">
        <v>814</v>
      </c>
      <c r="F168" s="332" t="s">
        <v>822</v>
      </c>
      <c r="G168" s="333" t="s">
        <v>830</v>
      </c>
      <c r="H168" s="531" t="str">
        <f t="shared" si="15"/>
        <v>Eingabe Ecke ≠ 90° (von 60° - 160°)</v>
      </c>
      <c r="I168" s="451"/>
    </row>
    <row r="169" spans="4:10" ht="63.75" x14ac:dyDescent="0.2">
      <c r="D169" s="330" t="s">
        <v>807</v>
      </c>
      <c r="E169" s="333" t="s">
        <v>815</v>
      </c>
      <c r="F169" s="333" t="s">
        <v>823</v>
      </c>
      <c r="G169" s="333" t="s">
        <v>831</v>
      </c>
      <c r="H169" s="531" t="str">
        <f t="shared" si="15"/>
        <v xml:space="preserve">Um eine Ecke auszuwählen, welche grösser oder kleiner wie 90° ist, muss das dementsprechende Feld ausgewählt werden. Danach muss der gewünschte Wert angegeben werden. </v>
      </c>
      <c r="I169" s="451"/>
    </row>
    <row r="170" spans="4:10" ht="25.5" x14ac:dyDescent="0.2">
      <c r="D170" s="330" t="s">
        <v>808</v>
      </c>
      <c r="E170" s="332" t="s">
        <v>816</v>
      </c>
      <c r="F170" s="332" t="s">
        <v>824</v>
      </c>
      <c r="G170" s="333" t="s">
        <v>832</v>
      </c>
      <c r="H170" s="531" t="str">
        <f t="shared" si="15"/>
        <v>Breitenangabe bei Eckanlagen</v>
      </c>
      <c r="I170" s="451"/>
    </row>
    <row r="171" spans="4:10" ht="102" x14ac:dyDescent="0.2">
      <c r="D171" s="330" t="s">
        <v>809</v>
      </c>
      <c r="E171" s="333" t="s">
        <v>817</v>
      </c>
      <c r="F171" s="333" t="s">
        <v>825</v>
      </c>
      <c r="G171" s="333" t="s">
        <v>833</v>
      </c>
      <c r="H171" s="531" t="str">
        <f t="shared" si="15"/>
        <v>Wird eine Eckanlage eingegeben, erscheint bei der Angabe "Breite" automatisch ein neues Eingabefeld. Die Länge der einzelnen Fronten muss hier separat angegeben werden (Rahmenaussenmass). Die verschiedenen Fronten sind von links nach rechts anzugeben:</v>
      </c>
      <c r="I171" s="451"/>
    </row>
    <row r="172" spans="4:10" x14ac:dyDescent="0.2">
      <c r="D172" s="330" t="s">
        <v>810</v>
      </c>
      <c r="E172" s="332" t="s">
        <v>818</v>
      </c>
      <c r="F172" s="332" t="s">
        <v>826</v>
      </c>
      <c r="G172" s="333" t="s">
        <v>834</v>
      </c>
      <c r="H172" s="531" t="str">
        <f t="shared" si="15"/>
        <v>Rinnenlänge angeben</v>
      </c>
      <c r="I172" s="451"/>
    </row>
    <row r="173" spans="4:10" ht="140.25" x14ac:dyDescent="0.2">
      <c r="D173" s="442" t="s">
        <v>811</v>
      </c>
      <c r="E173" s="334" t="s">
        <v>819</v>
      </c>
      <c r="F173" s="333" t="s">
        <v>827</v>
      </c>
      <c r="G173" s="333" t="s">
        <v>835</v>
      </c>
      <c r="H173" s="531" t="str">
        <f t="shared" si="1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1"/>
    </row>
    <row r="174" spans="4:10" x14ac:dyDescent="0.2">
      <c r="D174" s="281" t="s">
        <v>16</v>
      </c>
      <c r="E174" s="316" t="s">
        <v>16</v>
      </c>
      <c r="F174" s="316" t="s">
        <v>16</v>
      </c>
      <c r="G174" s="317" t="s">
        <v>16</v>
      </c>
      <c r="H174" s="531" t="str">
        <f t="shared" si="15"/>
        <v>Standard</v>
      </c>
      <c r="I174" s="451"/>
      <c r="J174" s="280" t="str">
        <f>H174</f>
        <v>Standard</v>
      </c>
    </row>
    <row r="175" spans="4:10" x14ac:dyDescent="0.2">
      <c r="D175" s="281" t="s">
        <v>852</v>
      </c>
      <c r="E175" s="316" t="s">
        <v>853</v>
      </c>
      <c r="F175" s="316" t="s">
        <v>854</v>
      </c>
      <c r="G175" s="317" t="s">
        <v>855</v>
      </c>
      <c r="H175" s="531" t="str">
        <f t="shared" si="15"/>
        <v>Seaside (Pool/Meer)</v>
      </c>
      <c r="I175" s="451"/>
      <c r="J175" s="280" t="str">
        <f>H175</f>
        <v>Seaside (Pool/Meer)</v>
      </c>
    </row>
    <row r="176" spans="4:10" x14ac:dyDescent="0.2">
      <c r="D176" s="281" t="s">
        <v>862</v>
      </c>
      <c r="E176" s="316" t="s">
        <v>896</v>
      </c>
      <c r="F176" s="316" t="s">
        <v>863</v>
      </c>
      <c r="G176" s="317" t="s">
        <v>864</v>
      </c>
      <c r="H176" s="531" t="str">
        <f t="shared" si="15"/>
        <v>Pulverlack Klasse:</v>
      </c>
      <c r="I176" s="451"/>
    </row>
    <row r="177" spans="4:10" x14ac:dyDescent="0.2">
      <c r="D177" s="281" t="s">
        <v>860</v>
      </c>
      <c r="E177" s="316" t="s">
        <v>860</v>
      </c>
      <c r="F177" s="316" t="s">
        <v>860</v>
      </c>
      <c r="G177" s="317" t="s">
        <v>860</v>
      </c>
      <c r="H177" s="531" t="str">
        <f t="shared" si="15"/>
        <v>Qualicoat 1</v>
      </c>
      <c r="I177" s="451"/>
      <c r="J177" s="280" t="str">
        <f t="shared" ref="J177:J178" si="16">H177</f>
        <v>Qualicoat 1</v>
      </c>
    </row>
    <row r="178" spans="4:10" x14ac:dyDescent="0.2">
      <c r="D178" s="281" t="s">
        <v>861</v>
      </c>
      <c r="E178" s="316" t="s">
        <v>861</v>
      </c>
      <c r="F178" s="316" t="s">
        <v>861</v>
      </c>
      <c r="G178" s="317" t="s">
        <v>861</v>
      </c>
      <c r="H178" s="531" t="str">
        <f t="shared" si="15"/>
        <v>Qualicoat 2</v>
      </c>
      <c r="I178" s="451"/>
      <c r="J178" s="280" t="str">
        <f t="shared" si="16"/>
        <v>Qualicoat 2</v>
      </c>
    </row>
    <row r="179" spans="4:10" x14ac:dyDescent="0.2">
      <c r="D179" s="281" t="s">
        <v>888</v>
      </c>
      <c r="E179" s="316" t="s">
        <v>889</v>
      </c>
      <c r="F179" s="316" t="s">
        <v>890</v>
      </c>
      <c r="G179" s="317" t="s">
        <v>891</v>
      </c>
      <c r="H179" s="531" t="str">
        <f t="shared" si="15"/>
        <v>Übersicht:</v>
      </c>
      <c r="I179" s="451"/>
    </row>
    <row r="180" spans="4:10" x14ac:dyDescent="0.2">
      <c r="D180" s="281" t="s">
        <v>875</v>
      </c>
      <c r="E180" s="316" t="s">
        <v>876</v>
      </c>
      <c r="F180" s="316" t="s">
        <v>877</v>
      </c>
      <c r="G180" s="317" t="s">
        <v>878</v>
      </c>
      <c r="H180" s="531" t="str">
        <f t="shared" si="15"/>
        <v>VE</v>
      </c>
      <c r="I180" s="451"/>
    </row>
    <row r="181" spans="4:10" x14ac:dyDescent="0.2">
      <c r="D181" s="281" t="s">
        <v>893</v>
      </c>
      <c r="E181" s="316" t="s">
        <v>947</v>
      </c>
      <c r="F181" s="316" t="s">
        <v>954</v>
      </c>
      <c r="G181" s="317" t="s">
        <v>922</v>
      </c>
      <c r="H181" s="531" t="str">
        <f t="shared" ref="H181:H205" si="17">IF($B$3=$A$3,D181,IF($B$3=$A$4,E181,IF($B$3=$A$5,F181,IF($B$3=$A$6,G181,""))))</f>
        <v>Sky-Frame Beratung vorhanden:</v>
      </c>
      <c r="I181" s="451"/>
    </row>
    <row r="182" spans="4:10" x14ac:dyDescent="0.2">
      <c r="D182" s="281" t="s">
        <v>895</v>
      </c>
      <c r="E182" s="316" t="s">
        <v>948</v>
      </c>
      <c r="F182" s="316" t="s">
        <v>955</v>
      </c>
      <c r="G182" s="317" t="s">
        <v>921</v>
      </c>
      <c r="H182" s="531" t="str">
        <f t="shared" si="17"/>
        <v>Beratungsnummer: (z.B. P123456)</v>
      </c>
      <c r="I182" s="451"/>
    </row>
    <row r="183" spans="4:10" x14ac:dyDescent="0.2">
      <c r="D183" s="281" t="s">
        <v>897</v>
      </c>
      <c r="E183" s="316" t="s">
        <v>900</v>
      </c>
      <c r="F183" s="316" t="s">
        <v>956</v>
      </c>
      <c r="G183" s="317" t="s">
        <v>920</v>
      </c>
      <c r="H183" s="531" t="str">
        <f t="shared" si="17"/>
        <v>Inch-Rechner</v>
      </c>
      <c r="I183" s="451"/>
    </row>
    <row r="184" spans="4:10" x14ac:dyDescent="0.2">
      <c r="D184" s="281" t="s">
        <v>899</v>
      </c>
      <c r="E184" s="316" t="s">
        <v>901</v>
      </c>
      <c r="F184" s="316" t="s">
        <v>957</v>
      </c>
      <c r="G184" s="317" t="s">
        <v>919</v>
      </c>
      <c r="H184" s="531" t="str">
        <f t="shared" si="17"/>
        <v>Fuss:</v>
      </c>
      <c r="I184" s="451"/>
    </row>
    <row r="185" spans="4:10" x14ac:dyDescent="0.2">
      <c r="D185" s="281" t="s">
        <v>898</v>
      </c>
      <c r="E185" s="316" t="s">
        <v>902</v>
      </c>
      <c r="F185" s="316" t="s">
        <v>958</v>
      </c>
      <c r="G185" s="317" t="s">
        <v>918</v>
      </c>
      <c r="H185" s="531" t="str">
        <f t="shared" si="17"/>
        <v>Zoll:</v>
      </c>
      <c r="I185" s="451"/>
    </row>
    <row r="186" spans="4:10" x14ac:dyDescent="0.2">
      <c r="D186" s="281" t="s">
        <v>903</v>
      </c>
      <c r="E186" s="316" t="s">
        <v>949</v>
      </c>
      <c r="F186" s="316" t="s">
        <v>959</v>
      </c>
      <c r="G186" s="317" t="s">
        <v>917</v>
      </c>
      <c r="H186" s="531" t="str">
        <f t="shared" si="17"/>
        <v>Bemassung Bahnhof</v>
      </c>
      <c r="I186" s="451"/>
    </row>
    <row r="187" spans="4:10" ht="102" x14ac:dyDescent="0.2">
      <c r="D187" s="442" t="s">
        <v>904</v>
      </c>
      <c r="E187" s="334" t="s">
        <v>952</v>
      </c>
      <c r="F187" s="334" t="s">
        <v>953</v>
      </c>
      <c r="G187" s="443" t="s">
        <v>914</v>
      </c>
      <c r="H187" s="531" t="str">
        <f t="shared" si="17"/>
        <v>Die Vermassung von Bahnhofanlagen funktioniert gleich wie bei normalen Rahmen. Bitte geben Sie uns als Rahmenmass das komplette Mass von Aussenkant Rahmen an. Für die Vermassung der Labyrinthposition geben Sie bitte das Mass bis Achse Labyrinth an.</v>
      </c>
      <c r="I187" s="451"/>
    </row>
    <row r="188" spans="4:10" x14ac:dyDescent="0.2">
      <c r="D188" s="281" t="s">
        <v>905</v>
      </c>
      <c r="E188" s="316" t="s">
        <v>950</v>
      </c>
      <c r="F188" s="316" t="s">
        <v>960</v>
      </c>
      <c r="G188" s="317" t="s">
        <v>916</v>
      </c>
      <c r="H188" s="531" t="str">
        <f t="shared" si="17"/>
        <v>Bahnhof Typ 1:</v>
      </c>
      <c r="I188" s="451"/>
    </row>
    <row r="189" spans="4:10" x14ac:dyDescent="0.2">
      <c r="D189" s="281" t="s">
        <v>906</v>
      </c>
      <c r="E189" s="316" t="s">
        <v>951</v>
      </c>
      <c r="F189" s="316" t="s">
        <v>961</v>
      </c>
      <c r="G189" s="317" t="s">
        <v>915</v>
      </c>
      <c r="H189" s="531" t="str">
        <f t="shared" si="17"/>
        <v>Bahnhof Typ 2:</v>
      </c>
      <c r="I189" s="451"/>
    </row>
    <row r="190" spans="4:10" x14ac:dyDescent="0.2">
      <c r="D190" s="281" t="s">
        <v>908</v>
      </c>
      <c r="E190" s="316" t="s">
        <v>286</v>
      </c>
      <c r="F190" s="316" t="s">
        <v>304</v>
      </c>
      <c r="G190" s="317" t="s">
        <v>315</v>
      </c>
      <c r="H190" s="531" t="str">
        <f t="shared" si="17"/>
        <v>schwarz</v>
      </c>
      <c r="I190" s="451"/>
    </row>
    <row r="191" spans="4:10" x14ac:dyDescent="0.2">
      <c r="D191" s="281" t="s">
        <v>696</v>
      </c>
      <c r="E191" s="316" t="s">
        <v>911</v>
      </c>
      <c r="F191" s="316" t="s">
        <v>910</v>
      </c>
      <c r="G191" s="317" t="s">
        <v>909</v>
      </c>
      <c r="H191" s="531" t="str">
        <f t="shared" si="17"/>
        <v>Rahmenfarbe</v>
      </c>
      <c r="I191" s="451"/>
    </row>
    <row r="192" spans="4:10" x14ac:dyDescent="0.2">
      <c r="D192" s="281" t="s">
        <v>908</v>
      </c>
      <c r="E192" s="316" t="s">
        <v>286</v>
      </c>
      <c r="F192" s="316" t="s">
        <v>304</v>
      </c>
      <c r="G192" s="317" t="s">
        <v>315</v>
      </c>
      <c r="H192" s="531" t="str">
        <f t="shared" si="17"/>
        <v>schwarz</v>
      </c>
      <c r="I192" s="451"/>
    </row>
    <row r="193" spans="4:9" x14ac:dyDescent="0.2">
      <c r="D193" s="281" t="s">
        <v>930</v>
      </c>
      <c r="E193" s="316" t="s">
        <v>931</v>
      </c>
      <c r="F193" s="316" t="s">
        <v>962</v>
      </c>
      <c r="G193" s="317" t="s">
        <v>966</v>
      </c>
      <c r="H193" s="531" t="str">
        <f t="shared" si="17"/>
        <v>Sonstiges:</v>
      </c>
      <c r="I193" s="451"/>
    </row>
    <row r="194" spans="4:9" x14ac:dyDescent="0.2">
      <c r="D194" s="281" t="s">
        <v>946</v>
      </c>
      <c r="E194" s="316" t="s">
        <v>942</v>
      </c>
      <c r="F194" s="316" t="s">
        <v>968</v>
      </c>
      <c r="G194" s="317" t="s">
        <v>967</v>
      </c>
      <c r="H194" s="531" t="str">
        <f t="shared" si="17"/>
        <v>Sichtbare Rahmenprofile (aussen):</v>
      </c>
      <c r="I194" s="451"/>
    </row>
    <row r="195" spans="4:9" x14ac:dyDescent="0.2">
      <c r="D195" s="281" t="s">
        <v>941</v>
      </c>
      <c r="E195" s="316" t="s">
        <v>940</v>
      </c>
      <c r="F195" s="316" t="s">
        <v>969</v>
      </c>
      <c r="G195" s="317" t="s">
        <v>970</v>
      </c>
      <c r="H195" s="531" t="str">
        <f t="shared" si="17"/>
        <v>Lieferung Glas und Rahmen:</v>
      </c>
      <c r="I195" s="451"/>
    </row>
    <row r="196" spans="4:9" x14ac:dyDescent="0.2">
      <c r="D196" s="281" t="s">
        <v>932</v>
      </c>
      <c r="E196" s="316" t="s">
        <v>938</v>
      </c>
      <c r="F196" s="316" t="s">
        <v>963</v>
      </c>
      <c r="G196" s="317" t="s">
        <v>971</v>
      </c>
      <c r="H196" s="531" t="str">
        <f t="shared" si="17"/>
        <v>zusammen</v>
      </c>
      <c r="I196" s="451"/>
    </row>
    <row r="197" spans="4:9" x14ac:dyDescent="0.2">
      <c r="D197" s="281" t="s">
        <v>933</v>
      </c>
      <c r="E197" s="316" t="s">
        <v>939</v>
      </c>
      <c r="F197" s="316" t="s">
        <v>964</v>
      </c>
      <c r="G197" s="317" t="s">
        <v>972</v>
      </c>
      <c r="H197" s="531" t="str">
        <f t="shared" si="17"/>
        <v>getrennt</v>
      </c>
      <c r="I197" s="451"/>
    </row>
    <row r="198" spans="4:9" x14ac:dyDescent="0.2">
      <c r="D198" s="281" t="s">
        <v>934</v>
      </c>
      <c r="E198" s="316" t="s">
        <v>936</v>
      </c>
      <c r="F198" s="316" t="s">
        <v>936</v>
      </c>
      <c r="G198" s="317" t="s">
        <v>973</v>
      </c>
      <c r="H198" s="531" t="str">
        <f t="shared" si="17"/>
        <v>sichtbar</v>
      </c>
      <c r="I198" s="451"/>
    </row>
    <row r="199" spans="4:9" x14ac:dyDescent="0.2">
      <c r="D199" s="281" t="s">
        <v>935</v>
      </c>
      <c r="E199" s="316" t="s">
        <v>937</v>
      </c>
      <c r="F199" s="316" t="s">
        <v>965</v>
      </c>
      <c r="G199" s="317" t="s">
        <v>974</v>
      </c>
      <c r="H199" s="531" t="str">
        <f t="shared" si="17"/>
        <v>nicht sichtbar</v>
      </c>
      <c r="I199" s="451"/>
    </row>
    <row r="200" spans="4:9" x14ac:dyDescent="0.2">
      <c r="D200" s="281"/>
      <c r="E200" s="316"/>
      <c r="F200" s="316"/>
      <c r="G200" s="317"/>
      <c r="H200" s="531">
        <f t="shared" si="17"/>
        <v>0</v>
      </c>
      <c r="I200" s="451"/>
    </row>
    <row r="201" spans="4:9" x14ac:dyDescent="0.2">
      <c r="D201" s="281"/>
      <c r="E201" s="316"/>
      <c r="F201" s="316"/>
      <c r="G201" s="317"/>
      <c r="H201" s="531">
        <f t="shared" si="17"/>
        <v>0</v>
      </c>
      <c r="I201" s="451"/>
    </row>
    <row r="202" spans="4:9" x14ac:dyDescent="0.2">
      <c r="D202" s="281"/>
      <c r="E202" s="316"/>
      <c r="F202" s="316"/>
      <c r="G202" s="317"/>
      <c r="H202" s="531">
        <f t="shared" si="17"/>
        <v>0</v>
      </c>
      <c r="I202" s="451"/>
    </row>
    <row r="203" spans="4:9" x14ac:dyDescent="0.2">
      <c r="D203" s="281"/>
      <c r="E203" s="316"/>
      <c r="F203" s="316"/>
      <c r="G203" s="317"/>
      <c r="H203" s="531">
        <f t="shared" si="17"/>
        <v>0</v>
      </c>
      <c r="I203" s="451"/>
    </row>
    <row r="204" spans="4:9" x14ac:dyDescent="0.2">
      <c r="D204" s="281"/>
      <c r="E204" s="316"/>
      <c r="F204" s="316"/>
      <c r="G204" s="317"/>
      <c r="H204" s="531">
        <f t="shared" si="17"/>
        <v>0</v>
      </c>
      <c r="I204" s="451"/>
    </row>
    <row r="205" spans="4:9" x14ac:dyDescent="0.2">
      <c r="D205" s="281"/>
      <c r="E205" s="316"/>
      <c r="F205" s="316"/>
      <c r="G205" s="317"/>
      <c r="H205" s="531">
        <f t="shared" si="17"/>
        <v>0</v>
      </c>
      <c r="I205" s="451"/>
    </row>
  </sheetData>
  <mergeCells count="5">
    <mergeCell ref="AB4:AB18"/>
    <mergeCell ref="N40:P40"/>
    <mergeCell ref="M60:M61"/>
    <mergeCell ref="L85:M85"/>
    <mergeCell ref="B87:C87"/>
  </mergeCells>
  <dataValidations count="1">
    <dataValidation type="list" allowBlank="1" showInputMessage="1" showErrorMessage="1" sqref="P38" xr:uid="{18C5887F-98B1-4EE0-9727-970F46333CEE}">
      <formula1>$O$45:$O$46</formula1>
    </dataValidation>
  </dataValidations>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02C0F1DF393D49A49997C7F3FF49ED" ma:contentTypeVersion="6" ma:contentTypeDescription="Create a new document." ma:contentTypeScope="" ma:versionID="245fe1a52091f69cfbbb9f39b2e6a4cf">
  <xsd:schema xmlns:xsd="http://www.w3.org/2001/XMLSchema" xmlns:xs="http://www.w3.org/2001/XMLSchema" xmlns:p="http://schemas.microsoft.com/office/2006/metadata/properties" xmlns:ns2="efac78f3-c8ba-4178-9ea7-4b8ba0705f15" targetNamespace="http://schemas.microsoft.com/office/2006/metadata/properties" ma:root="true" ma:fieldsID="0660b116fc745cd2c3395df3f9073a34" ns2:_="">
    <xsd:import namespace="efac78f3-c8ba-4178-9ea7-4b8ba0705f1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c78f3-c8ba-4178-9ea7-4b8ba0705f1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150515-7866-41F0-B531-5554C0665FE9}"/>
</file>

<file path=customXml/itemProps2.xml><?xml version="1.0" encoding="utf-8"?>
<ds:datastoreItem xmlns:ds="http://schemas.openxmlformats.org/officeDocument/2006/customXml" ds:itemID="{2BBA2DFA-8D17-44C9-9BD5-6878EA835B14}"/>
</file>

<file path=customXml/itemProps3.xml><?xml version="1.0" encoding="utf-8"?>
<ds:datastoreItem xmlns:ds="http://schemas.openxmlformats.org/officeDocument/2006/customXml" ds:itemID="{F4FE288A-E33F-4F6D-AEA6-ECCFE53A437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7</vt:i4>
      </vt:variant>
    </vt:vector>
  </HeadingPairs>
  <TitlesOfParts>
    <vt:vector size="20" baseType="lpstr">
      <vt:lpstr>INDEX</vt:lpstr>
      <vt:lpstr>NOTES</vt:lpstr>
      <vt:lpstr>Sprachen &amp; Rückgabewerte</vt:lpstr>
      <vt:lpstr>Pos. 1</vt:lpstr>
      <vt:lpstr>Sprachen &amp; Rückgabewerte(2)</vt:lpstr>
      <vt:lpstr>Pos. 2</vt:lpstr>
      <vt:lpstr>Sprachen &amp; Rückgabewerte(3)</vt:lpstr>
      <vt:lpstr>Pos. 3</vt:lpstr>
      <vt:lpstr>Sprachen &amp; Rückgabewerte(4)</vt:lpstr>
      <vt:lpstr>Pos. 4</vt:lpstr>
      <vt:lpstr>Sprachen &amp; Rückgabewerte(5)</vt:lpstr>
      <vt:lpstr>Pos. 5</vt:lpstr>
      <vt:lpstr>INFO</vt:lpstr>
      <vt:lpstr>INFO!Druckbereich</vt:lpstr>
      <vt:lpstr>NOTES!Druckbereich</vt:lpstr>
      <vt:lpstr>'Pos. 1'!Druckbereich</vt:lpstr>
      <vt:lpstr>'Pos. 2'!Druckbereich</vt:lpstr>
      <vt:lpstr>'Pos. 3'!Druckbereich</vt:lpstr>
      <vt:lpstr>'Pos. 4'!Druckbereich</vt:lpstr>
      <vt:lpstr>'Pos. 5'!Druckbereich</vt:lpstr>
    </vt:vector>
  </TitlesOfParts>
  <Company>Sky-Frame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Maurin Müller</dc:creator>
  <cp:lastModifiedBy>Maurin Müller</cp:lastModifiedBy>
  <cp:lastPrinted>2018-07-10T12:35:52Z</cp:lastPrinted>
  <dcterms:created xsi:type="dcterms:W3CDTF">2015-11-10T13:23:10Z</dcterms:created>
  <dcterms:modified xsi:type="dcterms:W3CDTF">2018-08-15T08:41:28Z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0x0101009D02C0F1DF393D49A49997C7F3FF49ED</vt:lpwstr>
  </property>
</Properties>
</file>